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On-Going Support\03 Projects\Support Packs\Support Pack testing - 2013\Notes by Support Pack\SAP_AP FI\"/>
    </mc:Choice>
  </mc:AlternateContent>
  <bookViews>
    <workbookView xWindow="195" yWindow="105" windowWidth="18840" windowHeight="11370"/>
  </bookViews>
  <sheets>
    <sheet name="notes" sheetId="1" r:id="rId1"/>
  </sheets>
  <calcPr calcId="152511"/>
</workbook>
</file>

<file path=xl/calcChain.xml><?xml version="1.0" encoding="utf-8"?>
<calcChain xmlns="http://schemas.openxmlformats.org/spreadsheetml/2006/main">
  <c r="D13333" i="1" l="1"/>
  <c r="D13330" i="1"/>
  <c r="D13329" i="1"/>
  <c r="D13328" i="1"/>
  <c r="D13327" i="1"/>
  <c r="D13326" i="1"/>
  <c r="D13325" i="1"/>
  <c r="D13324" i="1"/>
  <c r="D13323" i="1"/>
  <c r="D13322" i="1"/>
  <c r="D13321" i="1"/>
  <c r="D13320" i="1"/>
  <c r="D13319" i="1"/>
  <c r="D13318" i="1"/>
  <c r="D13317" i="1"/>
  <c r="D13316" i="1"/>
  <c r="D13315" i="1"/>
  <c r="D13314" i="1"/>
  <c r="D13313" i="1"/>
  <c r="D13312" i="1"/>
  <c r="D13311" i="1"/>
  <c r="D13310" i="1"/>
  <c r="D13309" i="1"/>
  <c r="D13308" i="1"/>
  <c r="D13307" i="1"/>
  <c r="D13306" i="1"/>
  <c r="D13304" i="1"/>
  <c r="D13303" i="1"/>
  <c r="D13302" i="1"/>
  <c r="D13301" i="1"/>
  <c r="D13300" i="1"/>
  <c r="D13299" i="1"/>
  <c r="D13298" i="1"/>
  <c r="D13297" i="1"/>
  <c r="D13296" i="1"/>
  <c r="D13295" i="1"/>
  <c r="D13294" i="1"/>
  <c r="D13293" i="1"/>
  <c r="D13292" i="1"/>
  <c r="D13291" i="1"/>
  <c r="D13290" i="1"/>
  <c r="D13289" i="1"/>
  <c r="D13287" i="1"/>
  <c r="D13286" i="1"/>
  <c r="D13285" i="1"/>
  <c r="D13284" i="1"/>
  <c r="D13283" i="1"/>
  <c r="D13282" i="1"/>
  <c r="D13281" i="1"/>
  <c r="D13280" i="1"/>
  <c r="D13279" i="1"/>
  <c r="D13278" i="1"/>
  <c r="D13277" i="1"/>
  <c r="D13276" i="1"/>
  <c r="D13275" i="1"/>
  <c r="D13274" i="1"/>
  <c r="D13273" i="1"/>
  <c r="D13272" i="1"/>
  <c r="D13271" i="1"/>
  <c r="D13270" i="1"/>
  <c r="D13269" i="1"/>
  <c r="D13268" i="1"/>
  <c r="D13267" i="1"/>
  <c r="D13266" i="1"/>
  <c r="D13265" i="1"/>
  <c r="D13264" i="1"/>
  <c r="D13263" i="1"/>
  <c r="D13262" i="1"/>
  <c r="D13261" i="1"/>
  <c r="D13260" i="1"/>
  <c r="D13259" i="1"/>
  <c r="D13258" i="1"/>
  <c r="D13257" i="1"/>
  <c r="D13256" i="1"/>
  <c r="D13255" i="1"/>
  <c r="D13254" i="1"/>
  <c r="D13253" i="1"/>
  <c r="D13252" i="1"/>
  <c r="D13251" i="1"/>
  <c r="D13250" i="1"/>
  <c r="D13249" i="1"/>
  <c r="D13248" i="1"/>
  <c r="D13247" i="1"/>
  <c r="D13246" i="1"/>
  <c r="D13245" i="1"/>
  <c r="D13244" i="1"/>
  <c r="D13243" i="1"/>
  <c r="D13242" i="1"/>
  <c r="D13241" i="1"/>
  <c r="D13240" i="1"/>
  <c r="D13239" i="1"/>
  <c r="D13238" i="1"/>
  <c r="D13237" i="1"/>
  <c r="D13236" i="1"/>
  <c r="D13235" i="1"/>
  <c r="D13234" i="1"/>
  <c r="D13233" i="1"/>
  <c r="D13232" i="1"/>
  <c r="D13231" i="1"/>
  <c r="D13230" i="1"/>
  <c r="D13229" i="1"/>
  <c r="D13228" i="1"/>
  <c r="D13227" i="1"/>
  <c r="D13226" i="1"/>
  <c r="D13225" i="1"/>
  <c r="D13224" i="1"/>
  <c r="D13223" i="1"/>
  <c r="D13222" i="1"/>
  <c r="D13219" i="1"/>
  <c r="D13218" i="1"/>
  <c r="D13217" i="1"/>
  <c r="D13216" i="1"/>
  <c r="D13215" i="1"/>
  <c r="D13212" i="1"/>
  <c r="D13210" i="1"/>
  <c r="D13209" i="1"/>
  <c r="D13208" i="1"/>
  <c r="D13207" i="1"/>
  <c r="D13206" i="1"/>
  <c r="D13205" i="1"/>
  <c r="D13204" i="1"/>
  <c r="D13203" i="1"/>
  <c r="D13202" i="1"/>
  <c r="D13199" i="1"/>
  <c r="D13198" i="1"/>
  <c r="D13197" i="1"/>
  <c r="D13196" i="1"/>
  <c r="D13195" i="1"/>
  <c r="D13191" i="1"/>
  <c r="D13190" i="1"/>
  <c r="D13189" i="1"/>
  <c r="D13188" i="1"/>
  <c r="D13187" i="1"/>
  <c r="D13186" i="1"/>
  <c r="D13185" i="1"/>
  <c r="D13184" i="1"/>
  <c r="D13183" i="1"/>
  <c r="D13182" i="1"/>
  <c r="D13181" i="1"/>
  <c r="D13179" i="1"/>
  <c r="D13178" i="1"/>
  <c r="D13177" i="1"/>
  <c r="D13176" i="1"/>
  <c r="D13175" i="1"/>
  <c r="D13174" i="1"/>
  <c r="D13173" i="1"/>
  <c r="D13172" i="1"/>
  <c r="D13171" i="1"/>
  <c r="D13170" i="1"/>
  <c r="D13169" i="1"/>
  <c r="D13168" i="1"/>
  <c r="D13167" i="1"/>
  <c r="D13166" i="1"/>
  <c r="D13165" i="1"/>
  <c r="D13164" i="1"/>
  <c r="D13163" i="1"/>
  <c r="D13162" i="1"/>
  <c r="D13161" i="1"/>
  <c r="D13160" i="1"/>
  <c r="D13159" i="1"/>
  <c r="D13158" i="1"/>
  <c r="D13157" i="1"/>
  <c r="D13156" i="1"/>
  <c r="D13155" i="1"/>
  <c r="D13154" i="1"/>
  <c r="D13153" i="1"/>
  <c r="D13152" i="1"/>
  <c r="D13151" i="1"/>
  <c r="D13150" i="1"/>
  <c r="D13149" i="1"/>
  <c r="D13148" i="1"/>
  <c r="D13147" i="1"/>
  <c r="D13146" i="1"/>
  <c r="D13145" i="1"/>
  <c r="D13144" i="1"/>
  <c r="D13143" i="1"/>
  <c r="D13142" i="1"/>
  <c r="D13141" i="1"/>
  <c r="D13140" i="1"/>
  <c r="D13139" i="1"/>
  <c r="D13138" i="1"/>
  <c r="D13137" i="1"/>
  <c r="D13135" i="1"/>
  <c r="D13134" i="1"/>
  <c r="D13133" i="1"/>
  <c r="D13132" i="1"/>
  <c r="D13131" i="1"/>
  <c r="D13130" i="1"/>
  <c r="D13129" i="1"/>
  <c r="D13128" i="1"/>
  <c r="D13126" i="1"/>
  <c r="D13125" i="1"/>
  <c r="D13124" i="1"/>
  <c r="D13123" i="1"/>
  <c r="D13122" i="1"/>
  <c r="D13121" i="1"/>
  <c r="D13118" i="1"/>
  <c r="D13117" i="1"/>
  <c r="D13116" i="1"/>
  <c r="D13115" i="1"/>
  <c r="D13114" i="1"/>
  <c r="D13113" i="1"/>
  <c r="D13112" i="1"/>
  <c r="D13111" i="1"/>
  <c r="D13110" i="1"/>
  <c r="D13109" i="1"/>
  <c r="D13108" i="1"/>
  <c r="D13107" i="1"/>
  <c r="D13106" i="1"/>
  <c r="D13105" i="1"/>
  <c r="D13104" i="1"/>
  <c r="D13103" i="1"/>
  <c r="D13102" i="1"/>
  <c r="D13101" i="1"/>
  <c r="D13100" i="1"/>
  <c r="D13099" i="1"/>
  <c r="D13098" i="1"/>
  <c r="D13097" i="1"/>
  <c r="D13096" i="1"/>
  <c r="D13095" i="1"/>
  <c r="D13094" i="1"/>
  <c r="D13093" i="1"/>
  <c r="D13092" i="1"/>
  <c r="D13091" i="1"/>
  <c r="D13090" i="1"/>
  <c r="D13089" i="1"/>
  <c r="D13088" i="1"/>
  <c r="D13087" i="1"/>
  <c r="D13086" i="1"/>
  <c r="D13085" i="1"/>
  <c r="D13084" i="1"/>
  <c r="D13083" i="1"/>
  <c r="D13082" i="1"/>
  <c r="D13081" i="1"/>
  <c r="D13080" i="1"/>
  <c r="D13079" i="1"/>
  <c r="D13078" i="1"/>
  <c r="D13077" i="1"/>
  <c r="D13076" i="1"/>
  <c r="D13075" i="1"/>
  <c r="D13074" i="1"/>
  <c r="D13073" i="1"/>
  <c r="D13072" i="1"/>
  <c r="D13071" i="1"/>
  <c r="D13070" i="1"/>
  <c r="D13069" i="1"/>
  <c r="D13068" i="1"/>
  <c r="D13067" i="1"/>
  <c r="D13066" i="1"/>
  <c r="D13063" i="1"/>
  <c r="D13062" i="1"/>
  <c r="D13061" i="1"/>
  <c r="D13059" i="1"/>
  <c r="D13058" i="1"/>
  <c r="D13057" i="1"/>
  <c r="D13056" i="1"/>
  <c r="D13055" i="1"/>
  <c r="D13054" i="1"/>
  <c r="D13053" i="1"/>
  <c r="D13052" i="1"/>
  <c r="D13051" i="1"/>
  <c r="D13050" i="1"/>
  <c r="D13049" i="1"/>
  <c r="D13048" i="1"/>
  <c r="D13047" i="1"/>
  <c r="D13045" i="1"/>
  <c r="D13043" i="1"/>
  <c r="D13042" i="1"/>
  <c r="D13040" i="1"/>
  <c r="D13039" i="1"/>
  <c r="D13038" i="1"/>
  <c r="D13037" i="1"/>
  <c r="D13036" i="1"/>
  <c r="D13035" i="1"/>
  <c r="D13034" i="1"/>
  <c r="D13033" i="1"/>
  <c r="D13032" i="1"/>
  <c r="D13031" i="1"/>
  <c r="D13030" i="1"/>
  <c r="D13029" i="1"/>
  <c r="D13028" i="1"/>
  <c r="D13027" i="1"/>
  <c r="D13026" i="1"/>
  <c r="D13025" i="1"/>
  <c r="D13024" i="1"/>
  <c r="D13023" i="1"/>
  <c r="D13022" i="1"/>
  <c r="D13021" i="1"/>
  <c r="D13020" i="1"/>
  <c r="D13019" i="1"/>
  <c r="D13018" i="1"/>
  <c r="D13016" i="1"/>
  <c r="D13015" i="1"/>
  <c r="D13014" i="1"/>
  <c r="D13013" i="1"/>
  <c r="D13012" i="1"/>
  <c r="D13011" i="1"/>
  <c r="D13010" i="1"/>
  <c r="D13008" i="1"/>
  <c r="D13005" i="1"/>
  <c r="D13004" i="1"/>
  <c r="D13001" i="1"/>
  <c r="D13000" i="1"/>
  <c r="D12999" i="1"/>
  <c r="D12998" i="1"/>
  <c r="D12997" i="1"/>
  <c r="D12996" i="1"/>
  <c r="D12995" i="1"/>
  <c r="D12994" i="1"/>
  <c r="D12993" i="1"/>
  <c r="D12992" i="1"/>
  <c r="D12991" i="1"/>
  <c r="D12988" i="1"/>
  <c r="D12987" i="1"/>
  <c r="D12986" i="1"/>
  <c r="D12985" i="1"/>
  <c r="D12984" i="1"/>
  <c r="D12983" i="1"/>
  <c r="D12982" i="1"/>
  <c r="D12981" i="1"/>
  <c r="D12980" i="1"/>
  <c r="D12979" i="1"/>
  <c r="D12978" i="1"/>
  <c r="D12977" i="1"/>
  <c r="D12976" i="1"/>
  <c r="D12975" i="1"/>
  <c r="D12974" i="1"/>
  <c r="D12973" i="1"/>
  <c r="D12972" i="1"/>
  <c r="D12971" i="1"/>
  <c r="D12967" i="1"/>
  <c r="D12966" i="1"/>
  <c r="D12965" i="1"/>
  <c r="D12964" i="1"/>
  <c r="D12963" i="1"/>
  <c r="D12962" i="1"/>
  <c r="D12961" i="1"/>
  <c r="D12960" i="1"/>
  <c r="D12959" i="1"/>
  <c r="D12958" i="1"/>
  <c r="D12957" i="1"/>
  <c r="D12956" i="1"/>
  <c r="D12955" i="1"/>
  <c r="D12954" i="1"/>
  <c r="D12953" i="1"/>
  <c r="D12952" i="1"/>
  <c r="D12951" i="1"/>
  <c r="D12950" i="1"/>
  <c r="D12949" i="1"/>
  <c r="D12948" i="1"/>
  <c r="D12947" i="1"/>
  <c r="D12946" i="1"/>
  <c r="D12945" i="1"/>
  <c r="D12944" i="1"/>
  <c r="D12943" i="1"/>
  <c r="D12941" i="1"/>
  <c r="D12940" i="1"/>
  <c r="D12939" i="1"/>
  <c r="D12938" i="1"/>
  <c r="D12937" i="1"/>
  <c r="D12936" i="1"/>
  <c r="D12935" i="1"/>
  <c r="D12934" i="1"/>
  <c r="D12933" i="1"/>
  <c r="D12932" i="1"/>
  <c r="D12931" i="1"/>
  <c r="D12930" i="1"/>
  <c r="D12929" i="1"/>
  <c r="D12928" i="1"/>
  <c r="D12927" i="1"/>
  <c r="D12926" i="1"/>
  <c r="D12925" i="1"/>
  <c r="D12924" i="1"/>
  <c r="D12923" i="1"/>
  <c r="D12922" i="1"/>
  <c r="D12921" i="1"/>
  <c r="D12920" i="1"/>
  <c r="D12919" i="1"/>
  <c r="D12918" i="1"/>
  <c r="D12917" i="1"/>
  <c r="D12916" i="1"/>
  <c r="D12915" i="1"/>
  <c r="D12914" i="1"/>
  <c r="D12913" i="1"/>
  <c r="D12912" i="1"/>
  <c r="D12911" i="1"/>
  <c r="D12910" i="1"/>
  <c r="D12909" i="1"/>
  <c r="D12908" i="1"/>
  <c r="D12907" i="1"/>
  <c r="D12906" i="1"/>
  <c r="D12905" i="1"/>
  <c r="D12904" i="1"/>
  <c r="D12903" i="1"/>
  <c r="D12902" i="1"/>
  <c r="D12900" i="1"/>
  <c r="D12899" i="1"/>
  <c r="D12898" i="1"/>
  <c r="D12897" i="1"/>
  <c r="D12894" i="1"/>
  <c r="D12893" i="1"/>
  <c r="D12891" i="1"/>
  <c r="D12890" i="1"/>
  <c r="D12889" i="1"/>
  <c r="D12888" i="1"/>
  <c r="D12887" i="1"/>
  <c r="D12886" i="1"/>
  <c r="D12885" i="1"/>
  <c r="D12884" i="1"/>
  <c r="D12883" i="1"/>
  <c r="D12882" i="1"/>
  <c r="D12881" i="1"/>
  <c r="D12880" i="1"/>
  <c r="D12879" i="1"/>
  <c r="D12878" i="1"/>
  <c r="D12877" i="1"/>
  <c r="D12876" i="1"/>
  <c r="D12875" i="1"/>
  <c r="D12874" i="1"/>
  <c r="D12873" i="1"/>
  <c r="D12872" i="1"/>
  <c r="D12871" i="1"/>
  <c r="D12870" i="1"/>
  <c r="D12869" i="1"/>
  <c r="D12868" i="1"/>
  <c r="D12867" i="1"/>
  <c r="D12866" i="1"/>
  <c r="D12864" i="1"/>
  <c r="D12863" i="1"/>
  <c r="D12862" i="1"/>
  <c r="D12861" i="1"/>
  <c r="D12860" i="1"/>
  <c r="D12859" i="1"/>
  <c r="D12858" i="1"/>
  <c r="D12857" i="1"/>
  <c r="D12856" i="1"/>
  <c r="D12855" i="1"/>
  <c r="D12854" i="1"/>
  <c r="D12853" i="1"/>
  <c r="D12851" i="1"/>
  <c r="D12849" i="1"/>
  <c r="D12848" i="1"/>
  <c r="D12847" i="1"/>
  <c r="D12846" i="1"/>
  <c r="D12845" i="1"/>
  <c r="D12844" i="1"/>
  <c r="D12843" i="1"/>
  <c r="D12842" i="1"/>
  <c r="D12841" i="1"/>
  <c r="D12840" i="1"/>
  <c r="D12839" i="1"/>
  <c r="D12838" i="1"/>
  <c r="D12837" i="1"/>
  <c r="D12836" i="1"/>
  <c r="D12835" i="1"/>
  <c r="D12834" i="1"/>
  <c r="D12833" i="1"/>
  <c r="D12832" i="1"/>
  <c r="D12831" i="1"/>
  <c r="D12830" i="1"/>
  <c r="D12829" i="1"/>
  <c r="D12828" i="1"/>
  <c r="D12827" i="1"/>
  <c r="D12826" i="1"/>
  <c r="D12825" i="1"/>
  <c r="D12824" i="1"/>
  <c r="D12823" i="1"/>
  <c r="D12822" i="1"/>
  <c r="D12821" i="1"/>
  <c r="D12820" i="1"/>
  <c r="D12819" i="1"/>
  <c r="D12818" i="1"/>
  <c r="D12817" i="1"/>
  <c r="D12816" i="1"/>
  <c r="D12815" i="1"/>
  <c r="D12814" i="1"/>
  <c r="D12813" i="1"/>
  <c r="D12812" i="1"/>
  <c r="D12811" i="1"/>
  <c r="D12810" i="1"/>
  <c r="D12809" i="1"/>
  <c r="D12808" i="1"/>
  <c r="D12807" i="1"/>
  <c r="D12806" i="1"/>
  <c r="D12805" i="1"/>
  <c r="D12804" i="1"/>
  <c r="D12803" i="1"/>
  <c r="D12802" i="1"/>
  <c r="D12801" i="1"/>
  <c r="D12800" i="1"/>
  <c r="D12799" i="1"/>
  <c r="D12798" i="1"/>
  <c r="D12797" i="1"/>
  <c r="D12796" i="1"/>
  <c r="D12795" i="1"/>
  <c r="D12794" i="1"/>
  <c r="D12793" i="1"/>
  <c r="D12792" i="1"/>
  <c r="D12791" i="1"/>
  <c r="D12790" i="1"/>
  <c r="D12789" i="1"/>
  <c r="D12788" i="1"/>
  <c r="D12787" i="1"/>
  <c r="D12786" i="1"/>
  <c r="D12783" i="1"/>
  <c r="D12782" i="1"/>
  <c r="D12781" i="1"/>
  <c r="D12780" i="1"/>
  <c r="D12779" i="1"/>
  <c r="D12778" i="1"/>
  <c r="D12777" i="1"/>
  <c r="D12776" i="1"/>
  <c r="D12775" i="1"/>
  <c r="D12774" i="1"/>
  <c r="D12773" i="1"/>
  <c r="D12772" i="1"/>
  <c r="D12771" i="1"/>
  <c r="D12770" i="1"/>
  <c r="D12769" i="1"/>
  <c r="D12768" i="1"/>
  <c r="D12767" i="1"/>
  <c r="D12766" i="1"/>
  <c r="D12765" i="1"/>
  <c r="D12764" i="1"/>
  <c r="D12763" i="1"/>
  <c r="D12762" i="1"/>
  <c r="D12761" i="1"/>
  <c r="D12760" i="1"/>
  <c r="D12759" i="1"/>
  <c r="D12758" i="1"/>
  <c r="D12757" i="1"/>
  <c r="D12756" i="1"/>
  <c r="D12755" i="1"/>
  <c r="D12754" i="1"/>
  <c r="D12753" i="1"/>
  <c r="D12752" i="1"/>
  <c r="D12751" i="1"/>
  <c r="D12750" i="1"/>
  <c r="D12749" i="1"/>
  <c r="D12748" i="1"/>
  <c r="D12747" i="1"/>
  <c r="D12746" i="1"/>
  <c r="D12745" i="1"/>
  <c r="D12744" i="1"/>
  <c r="D12743" i="1"/>
  <c r="D12742" i="1"/>
  <c r="D12741" i="1"/>
  <c r="D12740" i="1"/>
  <c r="D12739" i="1"/>
  <c r="D12738" i="1"/>
  <c r="D12737" i="1"/>
  <c r="D12736" i="1"/>
  <c r="D12735" i="1"/>
  <c r="D12734" i="1"/>
  <c r="D12733" i="1"/>
  <c r="D12731" i="1"/>
  <c r="D12730" i="1"/>
  <c r="D12729" i="1"/>
  <c r="D12728" i="1"/>
  <c r="D12727" i="1"/>
  <c r="D12726" i="1"/>
  <c r="D12725" i="1"/>
  <c r="D12724" i="1"/>
  <c r="D12723" i="1"/>
  <c r="D12720" i="1"/>
  <c r="D12718" i="1"/>
  <c r="D12717" i="1"/>
  <c r="D12716" i="1"/>
  <c r="D12715" i="1"/>
  <c r="D12714" i="1"/>
  <c r="D12713" i="1"/>
  <c r="D12712" i="1"/>
  <c r="D12711" i="1"/>
  <c r="D12710" i="1"/>
  <c r="D12709" i="1"/>
  <c r="D12708" i="1"/>
  <c r="D12707" i="1"/>
  <c r="D12706" i="1"/>
  <c r="D12704" i="1"/>
  <c r="D12703" i="1"/>
  <c r="D12702" i="1"/>
  <c r="D12701" i="1"/>
  <c r="D12699" i="1"/>
  <c r="D12698" i="1"/>
  <c r="D12697" i="1"/>
  <c r="D12696" i="1"/>
  <c r="D12695" i="1"/>
  <c r="D12694" i="1"/>
  <c r="D12693" i="1"/>
  <c r="D12692" i="1"/>
  <c r="D12691" i="1"/>
  <c r="D12690" i="1"/>
  <c r="D12689" i="1"/>
  <c r="D12688" i="1"/>
  <c r="D12687" i="1"/>
  <c r="D12686" i="1"/>
  <c r="D12685" i="1"/>
  <c r="D12684" i="1"/>
  <c r="D12683" i="1"/>
  <c r="D12682" i="1"/>
  <c r="D12681" i="1"/>
  <c r="D12680" i="1"/>
  <c r="D12679" i="1"/>
  <c r="D12678" i="1"/>
  <c r="D12677" i="1"/>
  <c r="D12676" i="1"/>
  <c r="D12675" i="1"/>
  <c r="D12674" i="1"/>
  <c r="D12673" i="1"/>
  <c r="D12672" i="1"/>
  <c r="D12671" i="1"/>
  <c r="D12670" i="1"/>
  <c r="D12669" i="1"/>
  <c r="D12667" i="1"/>
  <c r="D12666" i="1"/>
  <c r="D12665" i="1"/>
  <c r="D12664" i="1"/>
  <c r="D12663" i="1"/>
  <c r="D12662" i="1"/>
  <c r="D12661" i="1"/>
  <c r="D12660" i="1"/>
  <c r="D12659" i="1"/>
  <c r="D12658" i="1"/>
  <c r="D12657" i="1"/>
  <c r="D12656" i="1"/>
  <c r="D12655" i="1"/>
  <c r="D12654" i="1"/>
  <c r="D12653" i="1"/>
  <c r="D12652" i="1"/>
  <c r="D12651" i="1"/>
  <c r="D12650" i="1"/>
  <c r="D12649" i="1"/>
  <c r="D12648" i="1"/>
  <c r="D12647" i="1"/>
  <c r="D12646" i="1"/>
  <c r="D12645" i="1"/>
  <c r="D12644" i="1"/>
  <c r="D12643" i="1"/>
  <c r="D12642" i="1"/>
  <c r="D12641" i="1"/>
  <c r="D12640" i="1"/>
  <c r="D12639" i="1"/>
  <c r="D12638" i="1"/>
  <c r="D12637" i="1"/>
  <c r="D12636" i="1"/>
  <c r="D12635" i="1"/>
  <c r="D12634" i="1"/>
  <c r="D12633" i="1"/>
  <c r="D12632" i="1"/>
  <c r="D12631" i="1"/>
  <c r="D12630" i="1"/>
  <c r="D12629" i="1"/>
  <c r="D12628" i="1"/>
  <c r="D12627" i="1"/>
  <c r="D12626" i="1"/>
  <c r="D12625" i="1"/>
  <c r="D12622" i="1"/>
  <c r="D12621" i="1"/>
  <c r="D12620" i="1"/>
  <c r="D12619" i="1"/>
  <c r="D12618" i="1"/>
  <c r="D12617" i="1"/>
  <c r="D12615" i="1"/>
  <c r="D12614" i="1"/>
  <c r="D12612" i="1"/>
  <c r="D12611" i="1"/>
  <c r="D12609" i="1"/>
  <c r="D12608" i="1"/>
  <c r="D12606" i="1"/>
  <c r="D12605" i="1"/>
  <c r="D12603" i="1"/>
  <c r="D12602" i="1"/>
  <c r="D12601" i="1"/>
  <c r="D12600" i="1"/>
  <c r="D12599" i="1"/>
  <c r="D12598" i="1"/>
  <c r="D12597" i="1"/>
  <c r="D12595" i="1"/>
  <c r="D12594" i="1"/>
  <c r="D12593" i="1"/>
  <c r="D12592" i="1"/>
  <c r="D12590" i="1"/>
  <c r="D12589" i="1"/>
  <c r="D12588" i="1"/>
  <c r="D12587" i="1"/>
  <c r="D12586" i="1"/>
  <c r="D12585" i="1"/>
  <c r="D12584" i="1"/>
  <c r="D12583" i="1"/>
  <c r="D12582" i="1"/>
  <c r="D12581" i="1"/>
  <c r="D12580" i="1"/>
  <c r="D12579" i="1"/>
  <c r="D12578" i="1"/>
  <c r="D12577" i="1"/>
  <c r="D12576" i="1"/>
  <c r="D12575" i="1"/>
  <c r="D12574" i="1"/>
  <c r="D12572" i="1"/>
  <c r="D12571" i="1"/>
  <c r="D12570" i="1"/>
  <c r="D12568" i="1"/>
  <c r="D12566" i="1"/>
  <c r="D12565" i="1"/>
  <c r="D12564" i="1"/>
  <c r="D12563" i="1"/>
  <c r="D12562" i="1"/>
  <c r="D12561" i="1"/>
  <c r="D12560" i="1"/>
  <c r="D12559" i="1"/>
  <c r="D12558" i="1"/>
  <c r="D12557" i="1"/>
  <c r="D12556" i="1"/>
  <c r="D12555" i="1"/>
  <c r="D12554" i="1"/>
  <c r="D12552" i="1"/>
  <c r="D12551" i="1"/>
  <c r="D12550" i="1"/>
  <c r="D12549" i="1"/>
  <c r="D12548" i="1"/>
  <c r="D12547" i="1"/>
  <c r="D12546" i="1"/>
  <c r="D12545" i="1"/>
  <c r="D12544" i="1"/>
  <c r="D12543" i="1"/>
  <c r="D12542" i="1"/>
  <c r="D12541" i="1"/>
  <c r="D12540" i="1"/>
  <c r="D12539" i="1"/>
  <c r="D12537" i="1"/>
  <c r="D12536" i="1"/>
  <c r="D12533" i="1"/>
  <c r="D12532" i="1"/>
  <c r="D12531" i="1"/>
  <c r="D12530" i="1"/>
  <c r="D12529" i="1"/>
  <c r="D12528" i="1"/>
  <c r="D12526" i="1"/>
  <c r="D12525" i="1"/>
  <c r="D12524" i="1"/>
  <c r="D12523" i="1"/>
  <c r="D12522" i="1"/>
  <c r="D12521" i="1"/>
  <c r="D12520" i="1"/>
  <c r="D12519" i="1"/>
  <c r="D12518" i="1"/>
  <c r="D12517" i="1"/>
  <c r="D12516" i="1"/>
  <c r="D12515" i="1"/>
  <c r="D12514" i="1"/>
  <c r="D12513" i="1"/>
  <c r="D12512" i="1"/>
  <c r="D12511" i="1"/>
  <c r="D12510" i="1"/>
  <c r="D12509" i="1"/>
  <c r="D12508" i="1"/>
  <c r="D12507" i="1"/>
  <c r="D12506" i="1"/>
  <c r="D12505" i="1"/>
  <c r="D12504" i="1"/>
  <c r="D12503" i="1"/>
  <c r="D12502" i="1"/>
  <c r="D12501" i="1"/>
  <c r="D12500" i="1"/>
  <c r="D12499" i="1"/>
  <c r="D12498" i="1"/>
  <c r="D12497" i="1"/>
  <c r="D12496" i="1"/>
  <c r="D12495" i="1"/>
  <c r="D12494" i="1"/>
  <c r="D12493" i="1"/>
  <c r="D12492" i="1"/>
  <c r="D12491" i="1"/>
  <c r="D12490" i="1"/>
  <c r="D12489" i="1"/>
  <c r="D12488" i="1"/>
  <c r="D12487" i="1"/>
  <c r="D12486" i="1"/>
  <c r="D12485" i="1"/>
  <c r="D12484" i="1"/>
  <c r="D12483" i="1"/>
  <c r="D12482" i="1"/>
  <c r="D12481" i="1"/>
  <c r="D12480" i="1"/>
  <c r="D12479" i="1"/>
  <c r="D12478" i="1"/>
  <c r="D12477" i="1"/>
  <c r="D12476" i="1"/>
  <c r="D12475" i="1"/>
  <c r="D12473" i="1"/>
  <c r="D12472" i="1"/>
  <c r="D12471" i="1"/>
  <c r="D12470" i="1"/>
  <c r="D12469" i="1"/>
  <c r="D12468" i="1"/>
  <c r="D12467" i="1"/>
  <c r="D12466" i="1"/>
  <c r="D12465" i="1"/>
  <c r="D12464" i="1"/>
  <c r="D12463" i="1"/>
  <c r="D12462" i="1"/>
  <c r="D12460" i="1"/>
  <c r="D12459" i="1"/>
  <c r="D12457" i="1"/>
  <c r="D12456" i="1"/>
  <c r="D12455" i="1"/>
  <c r="D12454" i="1"/>
  <c r="D12453" i="1"/>
  <c r="D12452" i="1"/>
  <c r="D12451" i="1"/>
  <c r="D12448" i="1"/>
  <c r="D12447" i="1"/>
  <c r="D12446" i="1"/>
  <c r="D12444" i="1"/>
  <c r="D12443" i="1"/>
  <c r="D12442" i="1"/>
  <c r="D12441" i="1"/>
  <c r="D12440" i="1"/>
  <c r="D12439" i="1"/>
  <c r="D12438" i="1"/>
  <c r="D12437" i="1"/>
  <c r="D12436" i="1"/>
  <c r="D12434" i="1"/>
  <c r="D12432" i="1"/>
  <c r="D12431" i="1"/>
  <c r="D12430" i="1"/>
  <c r="D12429" i="1"/>
  <c r="D12428" i="1"/>
  <c r="D12427" i="1"/>
  <c r="D12426" i="1"/>
  <c r="D12425" i="1"/>
  <c r="D12424" i="1"/>
  <c r="D12423" i="1"/>
  <c r="D12422" i="1"/>
  <c r="D12421" i="1"/>
  <c r="D12420" i="1"/>
  <c r="D12419" i="1"/>
  <c r="D12418" i="1"/>
  <c r="D12417" i="1"/>
  <c r="D12416" i="1"/>
  <c r="D12415" i="1"/>
  <c r="D12414" i="1"/>
  <c r="D12413" i="1"/>
  <c r="D12412" i="1"/>
  <c r="D12411" i="1"/>
  <c r="D12410" i="1"/>
  <c r="D12409" i="1"/>
  <c r="D12408" i="1"/>
  <c r="D12407" i="1"/>
  <c r="D12405" i="1"/>
  <c r="D12404" i="1"/>
  <c r="D12403" i="1"/>
  <c r="D12402" i="1"/>
  <c r="D12401" i="1"/>
  <c r="D12400" i="1"/>
  <c r="D12399" i="1"/>
  <c r="D12398" i="1"/>
  <c r="D12397" i="1"/>
  <c r="D12396" i="1"/>
  <c r="D12395" i="1"/>
  <c r="D12394" i="1"/>
  <c r="D12393" i="1"/>
  <c r="D12392" i="1"/>
  <c r="D12391" i="1"/>
  <c r="D12390" i="1"/>
  <c r="D12389" i="1"/>
  <c r="D12388" i="1"/>
  <c r="D12387" i="1"/>
  <c r="D12386" i="1"/>
  <c r="D12385" i="1"/>
  <c r="D12384" i="1"/>
  <c r="D12383" i="1"/>
  <c r="D12382" i="1"/>
  <c r="D12381" i="1"/>
  <c r="D12380" i="1"/>
  <c r="D12379" i="1"/>
  <c r="D12378" i="1"/>
  <c r="D12377" i="1"/>
  <c r="D12376" i="1"/>
  <c r="D12375" i="1"/>
  <c r="D12374" i="1"/>
  <c r="D12373" i="1"/>
  <c r="D12372" i="1"/>
  <c r="D12371" i="1"/>
  <c r="D12370" i="1"/>
  <c r="D12369" i="1"/>
  <c r="D12368" i="1"/>
  <c r="D12367" i="1"/>
  <c r="D12366" i="1"/>
  <c r="D12365" i="1"/>
  <c r="D12364" i="1"/>
  <c r="D12363" i="1"/>
  <c r="D12361" i="1"/>
  <c r="D12360" i="1"/>
  <c r="D12359" i="1"/>
  <c r="D12358" i="1"/>
  <c r="D12357" i="1"/>
  <c r="D12356" i="1"/>
  <c r="D12355" i="1"/>
  <c r="D12354" i="1"/>
  <c r="D12353" i="1"/>
  <c r="D12352" i="1"/>
  <c r="D12351" i="1"/>
  <c r="D12350" i="1"/>
  <c r="D12349" i="1"/>
  <c r="D12347" i="1"/>
  <c r="D12346" i="1"/>
  <c r="D12345" i="1"/>
  <c r="D12344" i="1"/>
  <c r="D12343" i="1"/>
  <c r="D12342" i="1"/>
  <c r="D12341" i="1"/>
  <c r="D12340" i="1"/>
  <c r="D12339" i="1"/>
  <c r="D12338" i="1"/>
  <c r="D12337" i="1"/>
  <c r="D12336" i="1"/>
  <c r="D12335" i="1"/>
  <c r="D12334" i="1"/>
  <c r="D12333" i="1"/>
  <c r="D12332" i="1"/>
  <c r="D12331" i="1"/>
  <c r="D12330" i="1"/>
  <c r="D12329" i="1"/>
  <c r="D12328" i="1"/>
  <c r="D12327" i="1"/>
  <c r="D12326" i="1"/>
  <c r="D12325" i="1"/>
  <c r="D12323" i="1"/>
  <c r="D12322" i="1"/>
  <c r="D12321" i="1"/>
  <c r="D12320" i="1"/>
  <c r="D12319" i="1"/>
  <c r="D12318" i="1"/>
  <c r="D12317" i="1"/>
  <c r="D12316" i="1"/>
  <c r="D12315" i="1"/>
  <c r="D12314" i="1"/>
  <c r="D12313" i="1"/>
  <c r="D12312" i="1"/>
  <c r="D12311" i="1"/>
  <c r="D12310" i="1"/>
  <c r="D12308" i="1"/>
  <c r="D12307" i="1"/>
  <c r="D12305" i="1"/>
  <c r="D12304" i="1"/>
  <c r="D12303" i="1"/>
  <c r="D12302" i="1"/>
  <c r="D12300" i="1"/>
  <c r="D12299" i="1"/>
  <c r="D12298" i="1"/>
  <c r="D12297" i="1"/>
  <c r="D12296" i="1"/>
  <c r="D12295" i="1"/>
  <c r="D12293" i="1"/>
  <c r="D12292" i="1"/>
  <c r="D12291" i="1"/>
  <c r="D12290" i="1"/>
  <c r="D12289" i="1"/>
  <c r="D12288" i="1"/>
  <c r="D12287" i="1"/>
  <c r="D12286" i="1"/>
  <c r="D12285" i="1"/>
  <c r="D12284" i="1"/>
  <c r="D12283" i="1"/>
  <c r="D12282" i="1"/>
  <c r="D12281" i="1"/>
  <c r="D12280" i="1"/>
  <c r="D12279" i="1"/>
  <c r="D12277" i="1"/>
  <c r="D12276" i="1"/>
  <c r="D12275" i="1"/>
  <c r="D12274" i="1"/>
  <c r="D12273" i="1"/>
  <c r="D12271" i="1"/>
  <c r="D12270" i="1"/>
  <c r="D12268" i="1"/>
  <c r="D12266" i="1"/>
  <c r="D12265" i="1"/>
  <c r="D12264" i="1"/>
  <c r="D12263" i="1"/>
  <c r="D12261" i="1"/>
  <c r="D12260" i="1"/>
  <c r="D12259" i="1"/>
  <c r="D12258" i="1"/>
  <c r="D12257" i="1"/>
  <c r="D12256" i="1"/>
  <c r="D12253" i="1"/>
  <c r="D12252" i="1"/>
  <c r="D12251" i="1"/>
  <c r="D12250" i="1"/>
  <c r="D12249" i="1"/>
  <c r="D12248" i="1"/>
  <c r="D12247" i="1"/>
  <c r="D12246" i="1"/>
  <c r="D12245" i="1"/>
  <c r="D12244" i="1"/>
  <c r="D12243" i="1"/>
  <c r="D12241" i="1"/>
  <c r="D12240" i="1"/>
  <c r="D12239" i="1"/>
  <c r="D12238" i="1"/>
  <c r="D12237" i="1"/>
  <c r="D12236" i="1"/>
  <c r="D12235" i="1"/>
  <c r="D12234" i="1"/>
  <c r="D12233" i="1"/>
  <c r="D12232" i="1"/>
  <c r="D12231" i="1"/>
  <c r="D12228" i="1"/>
  <c r="D12227" i="1"/>
  <c r="D12225" i="1"/>
  <c r="D12224" i="1"/>
  <c r="D12223" i="1"/>
  <c r="D12222" i="1"/>
  <c r="D12220" i="1"/>
  <c r="D12219" i="1"/>
  <c r="D12218" i="1"/>
  <c r="D12217" i="1"/>
  <c r="D12216" i="1"/>
  <c r="D12212" i="1"/>
  <c r="D12210" i="1"/>
  <c r="D12209" i="1"/>
  <c r="D12208" i="1"/>
  <c r="D12207" i="1"/>
  <c r="D12206" i="1"/>
  <c r="D12205" i="1"/>
  <c r="D12204" i="1"/>
  <c r="D12202" i="1"/>
  <c r="D12201" i="1"/>
  <c r="D12197" i="1"/>
  <c r="D12194" i="1"/>
  <c r="D12191" i="1"/>
  <c r="D12190" i="1"/>
  <c r="D12189" i="1"/>
  <c r="D12187" i="1"/>
  <c r="D12185" i="1"/>
  <c r="D12184" i="1"/>
  <c r="D12181" i="1"/>
  <c r="D12179" i="1"/>
  <c r="D12178" i="1"/>
  <c r="D12177" i="1"/>
  <c r="D12176" i="1"/>
  <c r="D12175" i="1"/>
  <c r="D12171" i="1"/>
  <c r="D12170" i="1"/>
  <c r="D12168" i="1"/>
  <c r="D12165" i="1"/>
  <c r="D12164" i="1"/>
  <c r="D12163" i="1"/>
  <c r="D12162" i="1"/>
  <c r="D12161" i="1"/>
  <c r="D12160" i="1"/>
  <c r="D12159" i="1"/>
  <c r="D12158" i="1"/>
  <c r="D12157" i="1"/>
  <c r="D12156" i="1"/>
  <c r="D12155" i="1"/>
  <c r="D12154" i="1"/>
  <c r="D12153" i="1"/>
  <c r="D12152" i="1"/>
  <c r="D12149" i="1"/>
  <c r="D12148" i="1"/>
  <c r="D12147" i="1"/>
  <c r="D12146" i="1"/>
  <c r="D12145" i="1"/>
  <c r="D12144" i="1"/>
  <c r="D12142" i="1"/>
  <c r="D12141" i="1"/>
  <c r="D12140" i="1"/>
  <c r="D12138" i="1"/>
  <c r="D12137" i="1"/>
  <c r="D12136" i="1"/>
  <c r="D12135" i="1"/>
  <c r="D12134" i="1"/>
  <c r="D12133" i="1"/>
  <c r="D12132" i="1"/>
  <c r="D12131" i="1"/>
  <c r="D12130" i="1"/>
  <c r="D12129" i="1"/>
  <c r="D12128" i="1"/>
  <c r="D12127" i="1"/>
  <c r="D12126" i="1"/>
  <c r="D12125" i="1"/>
  <c r="D12124" i="1"/>
  <c r="D12123" i="1"/>
  <c r="D12122" i="1"/>
  <c r="D12121" i="1"/>
  <c r="D12120" i="1"/>
  <c r="D12119" i="1"/>
  <c r="D12118" i="1"/>
  <c r="D12117" i="1"/>
  <c r="D12116" i="1"/>
  <c r="D12114" i="1"/>
  <c r="D12113" i="1"/>
  <c r="D12111" i="1"/>
  <c r="D12109" i="1"/>
  <c r="D12107" i="1"/>
  <c r="D12106" i="1"/>
  <c r="D12105" i="1"/>
  <c r="D12104" i="1"/>
  <c r="D12103" i="1"/>
  <c r="D12102" i="1"/>
  <c r="D12100" i="1"/>
  <c r="D12099" i="1"/>
  <c r="D12097" i="1"/>
  <c r="D12095" i="1"/>
  <c r="D12094" i="1"/>
  <c r="D12090" i="1"/>
  <c r="D12089" i="1"/>
  <c r="D12088" i="1"/>
  <c r="D12085" i="1"/>
  <c r="D12084" i="1"/>
  <c r="D12082" i="1"/>
  <c r="D12079" i="1"/>
  <c r="D12078" i="1"/>
  <c r="D12077" i="1"/>
  <c r="D9656" i="1"/>
  <c r="D9657" i="1"/>
  <c r="D9658" i="1"/>
  <c r="D9659" i="1"/>
  <c r="D9660" i="1"/>
  <c r="D9661" i="1"/>
  <c r="D9662" i="1"/>
  <c r="D9663" i="1"/>
  <c r="D9664" i="1"/>
  <c r="D9665" i="1"/>
  <c r="D9666" i="1"/>
  <c r="D9667" i="1"/>
  <c r="D9671" i="1"/>
  <c r="D9673" i="1"/>
  <c r="D9674" i="1"/>
  <c r="D9675" i="1"/>
  <c r="D9676" i="1"/>
  <c r="D9679" i="1"/>
  <c r="D9681" i="1"/>
  <c r="D9682" i="1"/>
  <c r="D9683" i="1"/>
  <c r="D9684" i="1"/>
  <c r="D9685" i="1"/>
  <c r="D9689" i="1"/>
  <c r="D9690" i="1"/>
  <c r="D9691" i="1"/>
  <c r="D9692" i="1"/>
  <c r="D9693" i="1"/>
  <c r="D9695" i="1"/>
  <c r="D9696" i="1"/>
  <c r="D9697" i="1"/>
  <c r="D9698" i="1"/>
  <c r="D9699" i="1"/>
  <c r="D9700" i="1"/>
  <c r="D9701" i="1"/>
  <c r="D9702" i="1"/>
  <c r="D9704" i="1"/>
  <c r="D9705" i="1"/>
  <c r="D9706" i="1"/>
  <c r="D9707" i="1"/>
  <c r="D9708" i="1"/>
  <c r="D9709" i="1"/>
  <c r="D9710" i="1"/>
  <c r="D9711" i="1"/>
  <c r="D9712" i="1"/>
  <c r="D9713" i="1"/>
  <c r="D9714" i="1"/>
  <c r="D9715" i="1"/>
  <c r="D9716" i="1"/>
  <c r="D9717" i="1"/>
  <c r="D9718" i="1"/>
  <c r="D9719" i="1"/>
  <c r="D9720" i="1"/>
  <c r="D9721" i="1"/>
  <c r="D9722" i="1"/>
  <c r="D9723" i="1"/>
  <c r="D9724" i="1"/>
  <c r="D9725" i="1"/>
  <c r="D9726" i="1"/>
  <c r="D9727" i="1"/>
  <c r="D9728" i="1"/>
  <c r="D9729" i="1"/>
  <c r="D9730" i="1"/>
  <c r="D9731" i="1"/>
  <c r="D9732" i="1"/>
  <c r="D9734" i="1"/>
  <c r="D9735" i="1"/>
  <c r="D9736" i="1"/>
  <c r="D9737" i="1"/>
  <c r="D9738" i="1"/>
  <c r="D9740" i="1"/>
  <c r="D9741" i="1"/>
  <c r="D9743" i="1"/>
  <c r="D9745" i="1"/>
  <c r="D9746" i="1"/>
  <c r="D9747" i="1"/>
  <c r="D9748" i="1"/>
  <c r="D9750" i="1"/>
  <c r="D9752" i="1"/>
  <c r="D9753" i="1"/>
  <c r="D9754" i="1"/>
  <c r="D9755" i="1"/>
  <c r="D9756" i="1"/>
  <c r="D9757" i="1"/>
  <c r="D9758" i="1"/>
  <c r="D9759" i="1"/>
  <c r="D9760" i="1"/>
  <c r="D9761" i="1"/>
  <c r="D9762" i="1"/>
  <c r="D9763" i="1"/>
  <c r="D9764" i="1"/>
  <c r="D9765" i="1"/>
  <c r="D9766" i="1"/>
  <c r="D9767" i="1"/>
  <c r="D9768" i="1"/>
  <c r="D9769" i="1"/>
  <c r="D9770" i="1"/>
  <c r="D9771" i="1"/>
  <c r="D9772" i="1"/>
  <c r="D9773" i="1"/>
  <c r="D9774" i="1"/>
  <c r="D9775" i="1"/>
  <c r="D9776" i="1"/>
  <c r="D9777" i="1"/>
  <c r="D9778" i="1"/>
  <c r="D9779" i="1"/>
  <c r="D9780" i="1"/>
  <c r="D9781" i="1"/>
  <c r="D9782" i="1"/>
  <c r="D9783" i="1"/>
  <c r="D9784" i="1"/>
  <c r="D9785" i="1"/>
  <c r="D9786" i="1"/>
  <c r="D9787" i="1"/>
  <c r="D9789" i="1"/>
  <c r="D9790" i="1"/>
  <c r="D9792" i="1"/>
  <c r="D9793" i="1"/>
  <c r="D9794" i="1"/>
  <c r="D9795" i="1"/>
  <c r="D9796" i="1"/>
  <c r="D9799" i="1"/>
  <c r="D9800" i="1"/>
  <c r="D9801" i="1"/>
  <c r="D9802" i="1"/>
  <c r="D9803" i="1"/>
  <c r="D9804" i="1"/>
  <c r="D9805" i="1"/>
  <c r="D9806" i="1"/>
  <c r="D9807" i="1"/>
  <c r="D9808" i="1"/>
  <c r="D9809" i="1"/>
  <c r="D9810" i="1"/>
  <c r="D9811" i="1"/>
  <c r="D9812" i="1"/>
  <c r="D9813" i="1"/>
  <c r="D9814" i="1"/>
  <c r="D9815" i="1"/>
  <c r="D9816" i="1"/>
  <c r="D9817" i="1"/>
  <c r="D9818" i="1"/>
  <c r="D9820" i="1"/>
  <c r="D9821" i="1"/>
  <c r="D9822" i="1"/>
  <c r="D9823" i="1"/>
  <c r="D9824" i="1"/>
  <c r="D9825" i="1"/>
  <c r="D9826" i="1"/>
  <c r="D9827" i="1"/>
  <c r="D9829" i="1"/>
  <c r="D9830" i="1"/>
  <c r="D9832" i="1"/>
  <c r="D9833" i="1"/>
  <c r="D9834" i="1"/>
  <c r="D9836" i="1"/>
  <c r="D9837" i="1"/>
  <c r="D9838" i="1"/>
  <c r="D9839" i="1"/>
  <c r="D9840" i="1"/>
  <c r="D9841" i="1"/>
  <c r="D9842" i="1"/>
  <c r="D9843" i="1"/>
  <c r="D9844" i="1"/>
  <c r="D9845" i="1"/>
  <c r="D9846" i="1"/>
  <c r="D9847" i="1"/>
  <c r="D9848" i="1"/>
  <c r="D9849" i="1"/>
  <c r="D9850" i="1"/>
  <c r="D9852" i="1"/>
  <c r="D9853" i="1"/>
  <c r="D9854" i="1"/>
  <c r="D9855" i="1"/>
  <c r="D9856" i="1"/>
  <c r="D9858" i="1"/>
  <c r="D9859" i="1"/>
  <c r="D9860" i="1"/>
  <c r="D9861" i="1"/>
  <c r="D9862" i="1"/>
  <c r="D9863" i="1"/>
  <c r="D9864" i="1"/>
  <c r="D9865" i="1"/>
  <c r="D9866" i="1"/>
  <c r="D9867" i="1"/>
  <c r="D9868" i="1"/>
  <c r="D9869" i="1"/>
  <c r="D9870" i="1"/>
  <c r="D9871" i="1"/>
  <c r="D9872" i="1"/>
  <c r="D9873" i="1"/>
  <c r="D9874" i="1"/>
  <c r="D9875" i="1"/>
  <c r="D9876" i="1"/>
  <c r="D9877" i="1"/>
  <c r="D9878" i="1"/>
  <c r="D9879" i="1"/>
  <c r="D9880" i="1"/>
  <c r="D9881" i="1"/>
  <c r="D9882" i="1"/>
  <c r="D9883" i="1"/>
  <c r="D9884" i="1"/>
  <c r="D9885" i="1"/>
  <c r="D9886" i="1"/>
  <c r="D9887" i="1"/>
  <c r="D9888" i="1"/>
  <c r="D9889" i="1"/>
  <c r="D9890" i="1"/>
  <c r="D9891" i="1"/>
  <c r="D9892" i="1"/>
  <c r="D9893" i="1"/>
  <c r="D9894" i="1"/>
  <c r="D9896" i="1"/>
  <c r="D9897" i="1"/>
  <c r="D9898" i="1"/>
  <c r="D9899" i="1"/>
  <c r="D9900" i="1"/>
  <c r="D9901" i="1"/>
  <c r="D9902" i="1"/>
  <c r="D9903" i="1"/>
  <c r="D9904" i="1"/>
  <c r="D9905" i="1"/>
  <c r="D9906" i="1"/>
  <c r="D9907" i="1"/>
  <c r="D9908" i="1"/>
  <c r="D9909" i="1"/>
  <c r="D9910" i="1"/>
  <c r="D9911" i="1"/>
  <c r="D9912" i="1"/>
  <c r="D9913" i="1"/>
  <c r="D9914" i="1"/>
  <c r="D9915" i="1"/>
  <c r="D9916" i="1"/>
  <c r="D9917" i="1"/>
  <c r="D9918" i="1"/>
  <c r="D9919" i="1"/>
  <c r="D9920" i="1"/>
  <c r="D9921" i="1"/>
  <c r="D9922" i="1"/>
  <c r="D9923" i="1"/>
  <c r="D9924" i="1"/>
  <c r="D9925" i="1"/>
  <c r="D9926" i="1"/>
  <c r="D9927" i="1"/>
  <c r="D9928" i="1"/>
  <c r="D9929" i="1"/>
  <c r="D9930" i="1"/>
  <c r="D9931" i="1"/>
  <c r="D9932" i="1"/>
  <c r="D9933" i="1"/>
  <c r="D9934" i="1"/>
  <c r="D9935" i="1"/>
  <c r="D9936" i="1"/>
  <c r="D9939" i="1"/>
  <c r="D9942" i="1"/>
  <c r="D9943" i="1"/>
  <c r="D9944" i="1"/>
  <c r="D9945" i="1"/>
  <c r="D9946" i="1"/>
  <c r="D9947" i="1"/>
  <c r="D9949" i="1"/>
  <c r="D9951" i="1"/>
  <c r="D9953" i="1"/>
  <c r="D9954" i="1"/>
  <c r="D9955" i="1"/>
  <c r="D9957" i="1"/>
  <c r="D9958" i="1"/>
  <c r="D9959" i="1"/>
  <c r="D9960" i="1"/>
  <c r="D9961" i="1"/>
  <c r="D9962" i="1"/>
  <c r="D9963" i="1"/>
  <c r="D9966" i="1"/>
  <c r="D9968" i="1"/>
  <c r="D9970" i="1"/>
  <c r="D9971" i="1"/>
  <c r="D9972" i="1"/>
  <c r="D9975" i="1"/>
  <c r="D9976" i="1"/>
  <c r="D9978" i="1"/>
  <c r="D9979" i="1"/>
  <c r="D9980" i="1"/>
  <c r="D9981" i="1"/>
  <c r="D9982" i="1"/>
  <c r="D9983" i="1"/>
  <c r="D9984" i="1"/>
  <c r="D9985" i="1"/>
  <c r="D9988" i="1"/>
  <c r="D9989" i="1"/>
  <c r="D9990" i="1"/>
  <c r="D9991" i="1"/>
  <c r="D9992" i="1"/>
  <c r="D9993" i="1"/>
  <c r="D9996" i="1"/>
  <c r="D10000" i="1"/>
  <c r="D10001" i="1"/>
  <c r="D10002" i="1"/>
  <c r="D10004" i="1"/>
  <c r="D10006" i="1"/>
  <c r="D10007" i="1"/>
  <c r="D10008" i="1"/>
  <c r="D10009" i="1"/>
  <c r="D10010" i="1"/>
  <c r="D10011" i="1"/>
  <c r="D10012" i="1"/>
  <c r="D10013" i="1"/>
  <c r="D10014" i="1"/>
  <c r="D10015" i="1"/>
  <c r="D10017" i="1"/>
  <c r="D10018" i="1"/>
  <c r="D10020" i="1"/>
  <c r="D10021" i="1"/>
  <c r="D10022" i="1"/>
  <c r="D10023" i="1"/>
  <c r="D10024" i="1"/>
  <c r="D10025" i="1"/>
  <c r="D10026" i="1"/>
  <c r="D10027" i="1"/>
  <c r="D10028" i="1"/>
  <c r="D10029" i="1"/>
  <c r="D10030" i="1"/>
  <c r="D10031" i="1"/>
  <c r="D10032" i="1"/>
  <c r="D10033" i="1"/>
  <c r="D10034" i="1"/>
  <c r="D10035" i="1"/>
  <c r="D10036" i="1"/>
  <c r="D10037" i="1"/>
  <c r="D10038" i="1"/>
  <c r="D10039" i="1"/>
  <c r="D10040" i="1"/>
  <c r="D10041" i="1"/>
  <c r="D10042" i="1"/>
  <c r="D10043" i="1"/>
  <c r="D10044" i="1"/>
  <c r="D10045" i="1"/>
  <c r="D10046" i="1"/>
  <c r="D10047" i="1"/>
  <c r="D10048" i="1"/>
  <c r="D10049" i="1"/>
  <c r="D10050" i="1"/>
  <c r="D10051" i="1"/>
  <c r="D10052" i="1"/>
  <c r="D10053" i="1"/>
  <c r="D10054" i="1"/>
  <c r="D10055" i="1"/>
  <c r="D10056" i="1"/>
  <c r="D10057" i="1"/>
  <c r="D10058" i="1"/>
  <c r="D10059" i="1"/>
  <c r="D10060" i="1"/>
  <c r="D10061" i="1"/>
  <c r="D10062" i="1"/>
  <c r="D10063" i="1"/>
  <c r="D10064" i="1"/>
  <c r="D10065" i="1"/>
  <c r="D10066" i="1"/>
  <c r="D10067" i="1"/>
  <c r="D10068" i="1"/>
  <c r="D10069" i="1"/>
  <c r="D10070" i="1"/>
  <c r="D10071" i="1"/>
  <c r="D10073" i="1"/>
  <c r="D10074" i="1"/>
  <c r="D10075" i="1"/>
  <c r="D10076" i="1"/>
  <c r="D10078" i="1"/>
  <c r="D10079" i="1"/>
  <c r="D10080" i="1"/>
  <c r="D10081" i="1"/>
  <c r="D10082" i="1"/>
  <c r="D10083" i="1"/>
  <c r="D10084" i="1"/>
  <c r="D10085" i="1"/>
  <c r="D10086" i="1"/>
  <c r="D10087" i="1"/>
  <c r="D10088" i="1"/>
  <c r="D10089" i="1"/>
  <c r="D10090" i="1"/>
  <c r="D10091" i="1"/>
  <c r="D10092" i="1"/>
  <c r="D10093" i="1"/>
  <c r="D10094" i="1"/>
  <c r="D10095" i="1"/>
  <c r="D10096" i="1"/>
  <c r="D10097" i="1"/>
  <c r="D10098" i="1"/>
  <c r="D10099" i="1"/>
  <c r="D10100" i="1"/>
  <c r="D10101" i="1"/>
  <c r="D10102" i="1"/>
  <c r="D10103" i="1"/>
  <c r="D10104" i="1"/>
  <c r="D10105" i="1"/>
  <c r="D10106" i="1"/>
  <c r="D10107" i="1"/>
  <c r="D10108" i="1"/>
  <c r="D10109" i="1"/>
  <c r="D10110" i="1"/>
  <c r="D10111" i="1"/>
  <c r="D10112" i="1"/>
  <c r="D10113" i="1"/>
  <c r="D10114" i="1"/>
  <c r="D10115" i="1"/>
  <c r="D10116" i="1"/>
  <c r="D10117" i="1"/>
  <c r="D10118" i="1"/>
  <c r="D10119" i="1"/>
  <c r="D10120" i="1"/>
  <c r="D10121" i="1"/>
  <c r="D10122" i="1"/>
  <c r="D10123" i="1"/>
  <c r="D10124" i="1"/>
  <c r="D10125" i="1"/>
  <c r="D10126" i="1"/>
  <c r="D10127" i="1"/>
  <c r="D10128" i="1"/>
  <c r="D10129" i="1"/>
  <c r="D10130" i="1"/>
  <c r="D10131" i="1"/>
  <c r="D10132" i="1"/>
  <c r="D10133" i="1"/>
  <c r="D10134" i="1"/>
  <c r="D10135" i="1"/>
  <c r="D10136" i="1"/>
  <c r="D10137" i="1"/>
  <c r="D10138" i="1"/>
  <c r="D10139" i="1"/>
  <c r="D10140" i="1"/>
  <c r="D10141" i="1"/>
  <c r="D10142" i="1"/>
  <c r="D10143" i="1"/>
  <c r="D10144" i="1"/>
  <c r="D10145" i="1"/>
  <c r="D10146" i="1"/>
  <c r="D10147" i="1"/>
  <c r="D10148" i="1"/>
  <c r="D10149" i="1"/>
  <c r="D10150" i="1"/>
  <c r="D10151" i="1"/>
  <c r="D10152" i="1"/>
  <c r="D10153" i="1"/>
  <c r="D10154" i="1"/>
  <c r="D10155" i="1"/>
  <c r="D10156" i="1"/>
  <c r="D10157" i="1"/>
  <c r="D10158" i="1"/>
  <c r="D10159" i="1"/>
  <c r="D10160" i="1"/>
  <c r="D10161" i="1"/>
  <c r="D10162" i="1"/>
  <c r="D10163" i="1"/>
  <c r="D10164" i="1"/>
  <c r="D10165" i="1"/>
  <c r="D10166" i="1"/>
  <c r="D10167" i="1"/>
  <c r="D10168" i="1"/>
  <c r="D10169" i="1"/>
  <c r="D10170" i="1"/>
  <c r="D10171" i="1"/>
  <c r="D10172" i="1"/>
  <c r="D10173" i="1"/>
  <c r="D10174" i="1"/>
  <c r="D10175" i="1"/>
  <c r="D10176" i="1"/>
  <c r="D10177" i="1"/>
  <c r="D10178" i="1"/>
  <c r="D10179" i="1"/>
  <c r="D10180" i="1"/>
  <c r="D10181" i="1"/>
  <c r="D10182" i="1"/>
  <c r="D10183" i="1"/>
  <c r="D10184" i="1"/>
  <c r="D10185" i="1"/>
  <c r="D10186" i="1"/>
  <c r="D10187" i="1"/>
  <c r="D10188" i="1"/>
  <c r="D10189" i="1"/>
  <c r="D10190" i="1"/>
  <c r="D10191" i="1"/>
  <c r="D10192" i="1"/>
  <c r="D10193" i="1"/>
  <c r="D10194" i="1"/>
  <c r="D10195" i="1"/>
  <c r="D10196" i="1"/>
  <c r="D10197" i="1"/>
  <c r="D10198" i="1"/>
  <c r="D10199" i="1"/>
  <c r="D10200" i="1"/>
  <c r="D10201" i="1"/>
  <c r="D10202" i="1"/>
  <c r="D10203" i="1"/>
  <c r="D10204" i="1"/>
  <c r="D10205" i="1"/>
  <c r="D10206" i="1"/>
  <c r="D10207" i="1"/>
  <c r="D10208" i="1"/>
  <c r="D10209" i="1"/>
  <c r="D10210" i="1"/>
  <c r="D10211" i="1"/>
  <c r="D10212" i="1"/>
  <c r="D10213" i="1"/>
  <c r="D10214" i="1"/>
  <c r="D10215" i="1"/>
  <c r="D10216" i="1"/>
  <c r="D10217" i="1"/>
  <c r="D10218" i="1"/>
  <c r="D10219" i="1"/>
  <c r="D10220" i="1"/>
  <c r="D10221" i="1"/>
  <c r="D10222" i="1"/>
  <c r="D10223" i="1"/>
  <c r="D10224" i="1"/>
  <c r="D10225" i="1"/>
  <c r="D10226" i="1"/>
  <c r="D10227" i="1"/>
  <c r="D10228" i="1"/>
  <c r="D10229" i="1"/>
  <c r="D10230" i="1"/>
  <c r="D10232" i="1"/>
  <c r="D10234" i="1"/>
  <c r="D10235" i="1"/>
  <c r="D10236" i="1"/>
  <c r="D10237" i="1"/>
  <c r="D10238" i="1"/>
  <c r="D10239" i="1"/>
  <c r="D10240" i="1"/>
  <c r="D10241" i="1"/>
  <c r="D10242" i="1"/>
  <c r="D10243" i="1"/>
  <c r="D10244" i="1"/>
  <c r="D10245" i="1"/>
  <c r="D10246" i="1"/>
  <c r="D10247" i="1"/>
  <c r="D10248" i="1"/>
  <c r="D10249" i="1"/>
  <c r="D10250" i="1"/>
  <c r="D10251" i="1"/>
  <c r="D10252" i="1"/>
  <c r="D10253" i="1"/>
  <c r="D10254" i="1"/>
  <c r="D10255" i="1"/>
  <c r="D10256" i="1"/>
  <c r="D10257" i="1"/>
  <c r="D10258" i="1"/>
  <c r="D10259" i="1"/>
  <c r="D10260" i="1"/>
  <c r="D10261" i="1"/>
  <c r="D10262" i="1"/>
  <c r="D10263" i="1"/>
  <c r="D10264" i="1"/>
  <c r="D10265" i="1"/>
  <c r="D10266" i="1"/>
  <c r="D10267" i="1"/>
  <c r="D10268" i="1"/>
  <c r="D10269" i="1"/>
  <c r="D10270" i="1"/>
  <c r="D10271" i="1"/>
  <c r="D10272" i="1"/>
  <c r="D10273" i="1"/>
  <c r="D10274" i="1"/>
  <c r="D10275" i="1"/>
  <c r="D10276" i="1"/>
  <c r="D10277" i="1"/>
  <c r="D10278" i="1"/>
  <c r="D10279" i="1"/>
  <c r="D10280" i="1"/>
  <c r="D10281" i="1"/>
  <c r="D10282" i="1"/>
  <c r="D10283" i="1"/>
  <c r="D10285" i="1"/>
  <c r="D10286" i="1"/>
  <c r="D10287" i="1"/>
  <c r="D10288" i="1"/>
  <c r="D10289" i="1"/>
  <c r="D10290" i="1"/>
  <c r="D10291" i="1"/>
  <c r="D10292" i="1"/>
  <c r="D10293" i="1"/>
  <c r="D10294" i="1"/>
  <c r="D10295" i="1"/>
  <c r="D10296" i="1"/>
  <c r="D10297" i="1"/>
  <c r="D10298" i="1"/>
  <c r="D10299" i="1"/>
  <c r="D10300" i="1"/>
  <c r="D10301" i="1"/>
  <c r="D10302" i="1"/>
  <c r="D10303" i="1"/>
  <c r="D10304" i="1"/>
  <c r="D10306" i="1"/>
  <c r="D10307" i="1"/>
  <c r="D10308" i="1"/>
  <c r="D10309" i="1"/>
  <c r="D10310" i="1"/>
  <c r="D10311" i="1"/>
  <c r="D10312" i="1"/>
  <c r="D10313" i="1"/>
  <c r="D10314" i="1"/>
  <c r="D10315" i="1"/>
  <c r="D10316" i="1"/>
  <c r="D10317" i="1"/>
  <c r="D10318" i="1"/>
  <c r="D10319" i="1"/>
  <c r="D10320" i="1"/>
  <c r="D10321" i="1"/>
  <c r="D10322" i="1"/>
  <c r="D10323" i="1"/>
  <c r="D10324" i="1"/>
  <c r="D10325" i="1"/>
  <c r="D10326" i="1"/>
  <c r="D10327" i="1"/>
  <c r="D10328" i="1"/>
  <c r="D10329" i="1"/>
  <c r="D10330" i="1"/>
  <c r="D10331" i="1"/>
  <c r="D10332" i="1"/>
  <c r="D10333" i="1"/>
  <c r="D10334" i="1"/>
  <c r="D10335" i="1"/>
  <c r="D10336" i="1"/>
  <c r="D10337" i="1"/>
  <c r="D10338" i="1"/>
  <c r="D10339" i="1"/>
  <c r="D10340" i="1"/>
  <c r="D10341" i="1"/>
  <c r="D10342" i="1"/>
  <c r="D10343" i="1"/>
  <c r="D10344" i="1"/>
  <c r="D10345" i="1"/>
  <c r="D10346" i="1"/>
  <c r="D10347" i="1"/>
  <c r="D10348" i="1"/>
  <c r="D10349" i="1"/>
  <c r="D10350" i="1"/>
  <c r="D10351" i="1"/>
  <c r="D10352" i="1"/>
  <c r="D10353" i="1"/>
  <c r="D10354" i="1"/>
  <c r="D10355" i="1"/>
  <c r="D10356" i="1"/>
  <c r="D10357" i="1"/>
  <c r="D10358" i="1"/>
  <c r="D10359" i="1"/>
  <c r="D10360" i="1"/>
  <c r="D10361" i="1"/>
  <c r="D10362" i="1"/>
  <c r="D10363" i="1"/>
  <c r="D10364" i="1"/>
  <c r="D10365" i="1"/>
  <c r="D10366" i="1"/>
  <c r="D10367" i="1"/>
  <c r="D10368" i="1"/>
  <c r="D10369" i="1"/>
  <c r="D10370" i="1"/>
  <c r="D10371" i="1"/>
  <c r="D10372" i="1"/>
  <c r="D10373" i="1"/>
  <c r="D10374" i="1"/>
  <c r="D10375" i="1"/>
  <c r="D10376" i="1"/>
  <c r="D10377" i="1"/>
  <c r="D10378" i="1"/>
  <c r="D10379" i="1"/>
  <c r="D10380" i="1"/>
  <c r="D10381" i="1"/>
  <c r="D10382" i="1"/>
  <c r="D10383" i="1"/>
  <c r="D10384" i="1"/>
  <c r="D10385" i="1"/>
  <c r="D10386" i="1"/>
  <c r="D10387" i="1"/>
  <c r="D10388" i="1"/>
  <c r="D10389" i="1"/>
  <c r="D10390" i="1"/>
  <c r="D10391" i="1"/>
  <c r="D10392" i="1"/>
  <c r="D10393" i="1"/>
  <c r="D10394" i="1"/>
  <c r="D10395" i="1"/>
  <c r="D10396" i="1"/>
  <c r="D10397" i="1"/>
  <c r="D10398" i="1"/>
  <c r="D10399" i="1"/>
  <c r="D10400" i="1"/>
  <c r="D10401" i="1"/>
  <c r="D10402" i="1"/>
  <c r="D10403" i="1"/>
  <c r="D10404" i="1"/>
  <c r="D10405" i="1"/>
  <c r="D10406" i="1"/>
  <c r="D10407" i="1"/>
  <c r="D10408" i="1"/>
  <c r="D10409" i="1"/>
  <c r="D10410" i="1"/>
  <c r="D10411" i="1"/>
  <c r="D10412" i="1"/>
  <c r="D10413" i="1"/>
  <c r="D10414" i="1"/>
  <c r="D10415" i="1"/>
  <c r="D10416" i="1"/>
  <c r="D10417" i="1"/>
  <c r="D10418" i="1"/>
  <c r="D10419" i="1"/>
  <c r="D10420" i="1"/>
  <c r="D10421" i="1"/>
  <c r="D10422" i="1"/>
  <c r="D10423" i="1"/>
  <c r="D10424" i="1"/>
  <c r="D10425" i="1"/>
  <c r="D10426" i="1"/>
  <c r="D10427" i="1"/>
  <c r="D10428" i="1"/>
  <c r="D10429" i="1"/>
  <c r="D10430" i="1"/>
  <c r="D10431" i="1"/>
  <c r="D10432" i="1"/>
  <c r="D10433" i="1"/>
  <c r="D10434" i="1"/>
  <c r="D10435" i="1"/>
  <c r="D10436" i="1"/>
  <c r="D10437" i="1"/>
  <c r="D10438" i="1"/>
  <c r="D10439" i="1"/>
  <c r="D10440" i="1"/>
  <c r="D10441" i="1"/>
  <c r="D10442" i="1"/>
  <c r="D10443" i="1"/>
  <c r="D10444" i="1"/>
  <c r="D10445" i="1"/>
  <c r="D10446" i="1"/>
  <c r="D10447" i="1"/>
  <c r="D10448" i="1"/>
  <c r="D10449" i="1"/>
  <c r="D10450" i="1"/>
  <c r="D10451" i="1"/>
  <c r="D10452" i="1"/>
  <c r="D10453" i="1"/>
  <c r="D10454" i="1"/>
  <c r="D10455" i="1"/>
  <c r="D10456" i="1"/>
  <c r="D10458" i="1"/>
  <c r="D10459" i="1"/>
  <c r="D10460" i="1"/>
  <c r="D10461" i="1"/>
  <c r="D10462" i="1"/>
  <c r="D10463" i="1"/>
  <c r="D10464" i="1"/>
  <c r="D10465" i="1"/>
  <c r="D10466" i="1"/>
  <c r="D10467" i="1"/>
  <c r="D10468" i="1"/>
  <c r="D10469" i="1"/>
  <c r="D10470" i="1"/>
  <c r="D10471" i="1"/>
  <c r="D10472" i="1"/>
  <c r="D10473" i="1"/>
  <c r="D10475" i="1"/>
  <c r="D10476" i="1"/>
  <c r="D10477" i="1"/>
  <c r="D10478" i="1"/>
  <c r="D10479" i="1"/>
  <c r="D10480" i="1"/>
  <c r="D10481" i="1"/>
  <c r="D10482" i="1"/>
  <c r="D10483" i="1"/>
  <c r="D10484" i="1"/>
  <c r="D10486" i="1"/>
  <c r="D10487" i="1"/>
  <c r="D10488" i="1"/>
  <c r="D10489" i="1"/>
  <c r="D10490" i="1"/>
  <c r="D10492" i="1"/>
  <c r="D10493" i="1"/>
  <c r="D10497" i="1"/>
  <c r="D10498" i="1"/>
  <c r="D10499" i="1"/>
  <c r="D10500" i="1"/>
  <c r="D10501" i="1"/>
  <c r="D10502" i="1"/>
  <c r="D10503" i="1"/>
  <c r="D10504" i="1"/>
  <c r="D10505" i="1"/>
  <c r="D10506" i="1"/>
  <c r="D10507" i="1"/>
  <c r="D10508" i="1"/>
  <c r="D10509" i="1"/>
  <c r="D10510" i="1"/>
  <c r="D10511" i="1"/>
  <c r="D10512" i="1"/>
  <c r="D10513" i="1"/>
  <c r="D10514" i="1"/>
  <c r="D10515" i="1"/>
  <c r="D10516" i="1"/>
  <c r="D10517" i="1"/>
  <c r="D10518" i="1"/>
  <c r="D10519" i="1"/>
  <c r="D10520" i="1"/>
  <c r="D10521" i="1"/>
  <c r="D10522" i="1"/>
  <c r="D10523" i="1"/>
  <c r="D10524" i="1"/>
  <c r="D10525" i="1"/>
  <c r="D10526" i="1"/>
  <c r="D10527" i="1"/>
  <c r="D10528" i="1"/>
  <c r="D10529" i="1"/>
  <c r="D10530" i="1"/>
  <c r="D10531" i="1"/>
  <c r="D10532" i="1"/>
  <c r="D10533" i="1"/>
  <c r="D10534" i="1"/>
  <c r="D10536" i="1"/>
  <c r="D10537" i="1"/>
  <c r="D10538" i="1"/>
  <c r="D10539" i="1"/>
  <c r="D10540" i="1"/>
  <c r="D10541" i="1"/>
  <c r="D10542" i="1"/>
  <c r="D10543" i="1"/>
  <c r="D10545" i="1"/>
  <c r="D10546" i="1"/>
  <c r="D10547" i="1"/>
  <c r="D10548" i="1"/>
  <c r="D10549" i="1"/>
  <c r="D10550" i="1"/>
  <c r="D10552" i="1"/>
  <c r="D10553" i="1"/>
  <c r="D10554" i="1"/>
  <c r="D10555" i="1"/>
  <c r="D10556" i="1"/>
  <c r="D10557" i="1"/>
  <c r="D10558" i="1"/>
  <c r="D10559" i="1"/>
  <c r="D10560" i="1"/>
  <c r="D10561" i="1"/>
  <c r="D10562" i="1"/>
  <c r="D10564" i="1"/>
  <c r="D10565" i="1"/>
  <c r="D10566" i="1"/>
  <c r="D10567" i="1"/>
  <c r="D10568" i="1"/>
  <c r="D10569" i="1"/>
  <c r="D10570" i="1"/>
  <c r="D10571" i="1"/>
  <c r="D10573" i="1"/>
  <c r="D10574" i="1"/>
  <c r="D10575" i="1"/>
  <c r="D10576" i="1"/>
  <c r="D10577" i="1"/>
  <c r="D10578" i="1"/>
  <c r="D10579" i="1"/>
  <c r="D10580" i="1"/>
  <c r="D10581" i="1"/>
  <c r="D10583" i="1"/>
  <c r="D10584" i="1"/>
  <c r="D10585" i="1"/>
  <c r="D10586" i="1"/>
  <c r="D10587" i="1"/>
  <c r="D10588" i="1"/>
  <c r="D10589" i="1"/>
  <c r="D10590" i="1"/>
  <c r="D10591" i="1"/>
  <c r="D10593" i="1"/>
  <c r="D10594" i="1"/>
  <c r="D10597" i="1"/>
  <c r="D10598" i="1"/>
  <c r="D10600" i="1"/>
  <c r="D10601" i="1"/>
  <c r="D10602" i="1"/>
  <c r="D10603" i="1"/>
  <c r="D10604" i="1"/>
  <c r="D10605" i="1"/>
  <c r="D10606" i="1"/>
  <c r="D10607" i="1"/>
  <c r="D10608" i="1"/>
  <c r="D10609" i="1"/>
  <c r="D10610" i="1"/>
  <c r="D10611" i="1"/>
  <c r="D10612" i="1"/>
  <c r="D10613" i="1"/>
  <c r="D10614" i="1"/>
  <c r="D10616" i="1"/>
  <c r="D10617" i="1"/>
  <c r="D10618" i="1"/>
  <c r="D10619" i="1"/>
  <c r="D10620" i="1"/>
  <c r="D10622" i="1"/>
  <c r="D10623" i="1"/>
  <c r="D10624" i="1"/>
  <c r="D10625" i="1"/>
  <c r="D10626" i="1"/>
  <c r="D10629" i="1"/>
  <c r="D10631" i="1"/>
  <c r="D10632" i="1"/>
  <c r="D10633" i="1"/>
  <c r="D10634" i="1"/>
  <c r="D10635" i="1"/>
  <c r="D10636" i="1"/>
  <c r="D10637" i="1"/>
  <c r="D10638" i="1"/>
  <c r="D10639" i="1"/>
  <c r="D10640" i="1"/>
  <c r="D10641" i="1"/>
  <c r="D10642" i="1"/>
  <c r="D10643" i="1"/>
  <c r="D10644" i="1"/>
  <c r="D10645" i="1"/>
  <c r="D10646" i="1"/>
  <c r="D10647" i="1"/>
  <c r="D10648" i="1"/>
  <c r="D10649" i="1"/>
  <c r="D10650" i="1"/>
  <c r="D10651" i="1"/>
  <c r="D10652" i="1"/>
  <c r="D10653" i="1"/>
  <c r="D10654" i="1"/>
  <c r="D10655" i="1"/>
  <c r="D10656" i="1"/>
  <c r="D10657" i="1"/>
  <c r="D10658" i="1"/>
  <c r="D10659" i="1"/>
  <c r="D10660" i="1"/>
  <c r="D10661" i="1"/>
  <c r="D10662" i="1"/>
  <c r="D10663" i="1"/>
  <c r="D10664" i="1"/>
  <c r="D10665" i="1"/>
  <c r="D10666" i="1"/>
  <c r="D10667" i="1"/>
  <c r="D10668" i="1"/>
  <c r="D10669" i="1"/>
  <c r="D10670" i="1"/>
  <c r="D10671" i="1"/>
  <c r="D10672" i="1"/>
  <c r="D10673" i="1"/>
  <c r="D10674" i="1"/>
  <c r="D10675" i="1"/>
  <c r="D10676" i="1"/>
  <c r="D10677" i="1"/>
  <c r="D10678" i="1"/>
  <c r="D10679" i="1"/>
  <c r="D10680" i="1"/>
  <c r="D10681" i="1"/>
  <c r="D10683" i="1"/>
  <c r="D10684" i="1"/>
  <c r="D10686" i="1"/>
  <c r="D10687" i="1"/>
  <c r="D10689" i="1"/>
  <c r="D10690" i="1"/>
  <c r="D10692" i="1"/>
  <c r="D10693" i="1"/>
  <c r="D10694" i="1"/>
  <c r="D10695" i="1"/>
  <c r="D10696" i="1"/>
  <c r="D10697" i="1"/>
  <c r="D10698" i="1"/>
  <c r="D10699" i="1"/>
  <c r="D10700" i="1"/>
  <c r="D10701" i="1"/>
  <c r="D10702" i="1"/>
  <c r="D10703" i="1"/>
  <c r="D10704" i="1"/>
  <c r="D10705" i="1"/>
  <c r="D10706" i="1"/>
  <c r="D10707" i="1"/>
  <c r="D10708" i="1"/>
  <c r="D10709" i="1"/>
  <c r="D10710" i="1"/>
  <c r="D10711" i="1"/>
  <c r="D10712" i="1"/>
  <c r="D10713" i="1"/>
  <c r="D10714" i="1"/>
  <c r="D10715" i="1"/>
  <c r="D10716" i="1"/>
  <c r="D10717" i="1"/>
  <c r="D10718" i="1"/>
  <c r="D10719" i="1"/>
  <c r="D10720" i="1"/>
  <c r="D10721" i="1"/>
  <c r="D10722" i="1"/>
  <c r="D10723" i="1"/>
  <c r="D10724" i="1"/>
  <c r="D10725" i="1"/>
  <c r="D10726" i="1"/>
  <c r="D10727" i="1"/>
  <c r="D10728" i="1"/>
  <c r="D10729" i="1"/>
  <c r="D10730" i="1"/>
  <c r="D10731" i="1"/>
  <c r="D10732" i="1"/>
  <c r="D10733" i="1"/>
  <c r="D10734" i="1"/>
  <c r="D10735" i="1"/>
  <c r="D10736" i="1"/>
  <c r="D10737" i="1"/>
  <c r="D10738" i="1"/>
  <c r="D10739" i="1"/>
  <c r="D10740" i="1"/>
  <c r="D10741" i="1"/>
  <c r="D10742" i="1"/>
  <c r="D10743" i="1"/>
  <c r="D10744" i="1"/>
  <c r="D10745" i="1"/>
  <c r="D10746" i="1"/>
  <c r="D10747" i="1"/>
  <c r="D10748" i="1"/>
  <c r="D10749" i="1"/>
  <c r="D10750" i="1"/>
  <c r="D10752" i="1"/>
  <c r="D10753" i="1"/>
  <c r="D10754" i="1"/>
  <c r="D10755" i="1"/>
  <c r="D10756" i="1"/>
  <c r="D10757" i="1"/>
  <c r="D10758" i="1"/>
  <c r="D10759" i="1"/>
  <c r="D10760" i="1"/>
  <c r="D10761" i="1"/>
  <c r="D10762" i="1"/>
  <c r="D10763" i="1"/>
  <c r="D10764" i="1"/>
  <c r="D10765" i="1"/>
  <c r="D10766" i="1"/>
  <c r="D10767" i="1"/>
  <c r="D10768" i="1"/>
  <c r="D10769" i="1"/>
  <c r="D10770" i="1"/>
  <c r="D10772" i="1"/>
  <c r="D10773" i="1"/>
  <c r="D10774" i="1"/>
  <c r="D10775" i="1"/>
  <c r="D10776" i="1"/>
  <c r="D10777" i="1"/>
  <c r="D10778" i="1"/>
  <c r="D10779" i="1"/>
  <c r="D10780" i="1"/>
  <c r="D10781" i="1"/>
  <c r="D10782" i="1"/>
  <c r="D10783" i="1"/>
  <c r="D10785" i="1"/>
  <c r="D10786" i="1"/>
  <c r="D10787" i="1"/>
  <c r="D10790" i="1"/>
  <c r="D10791" i="1"/>
  <c r="D10792" i="1"/>
  <c r="D10793" i="1"/>
  <c r="D10794" i="1"/>
  <c r="D10795" i="1"/>
  <c r="D10796" i="1"/>
  <c r="D10797" i="1"/>
  <c r="D10799" i="1"/>
  <c r="D10800" i="1"/>
  <c r="D10802" i="1"/>
  <c r="D10803" i="1"/>
  <c r="D10804" i="1"/>
  <c r="D10806" i="1"/>
  <c r="D10807" i="1"/>
  <c r="D10808" i="1"/>
  <c r="D10810" i="1"/>
  <c r="D10811" i="1"/>
  <c r="D10812" i="1"/>
  <c r="D10813" i="1"/>
  <c r="D10814" i="1"/>
  <c r="D10815" i="1"/>
  <c r="D10816" i="1"/>
  <c r="D10817" i="1"/>
  <c r="D10818" i="1"/>
  <c r="D10819" i="1"/>
  <c r="D10820" i="1"/>
  <c r="D10821" i="1"/>
  <c r="D10822" i="1"/>
  <c r="D10823" i="1"/>
  <c r="D10824" i="1"/>
  <c r="D10825" i="1"/>
  <c r="D10826" i="1"/>
  <c r="D10827" i="1"/>
  <c r="D10828" i="1"/>
  <c r="D10829" i="1"/>
  <c r="D10830" i="1"/>
  <c r="D10831" i="1"/>
  <c r="D10832" i="1"/>
  <c r="D10833" i="1"/>
  <c r="D10834" i="1"/>
  <c r="D10835" i="1"/>
  <c r="D10836" i="1"/>
  <c r="D10837" i="1"/>
  <c r="D10838" i="1"/>
  <c r="D10839" i="1"/>
  <c r="D10840" i="1"/>
  <c r="D10841" i="1"/>
  <c r="D10842" i="1"/>
  <c r="D10843" i="1"/>
  <c r="D10844" i="1"/>
  <c r="D10845" i="1"/>
  <c r="D10846" i="1"/>
  <c r="D10847" i="1"/>
  <c r="D10848" i="1"/>
  <c r="D10849" i="1"/>
  <c r="D10850" i="1"/>
  <c r="D10851" i="1"/>
  <c r="D10852" i="1"/>
  <c r="D10853" i="1"/>
  <c r="D10854" i="1"/>
  <c r="D10855" i="1"/>
  <c r="D10856" i="1"/>
  <c r="D10857" i="1"/>
  <c r="D10858" i="1"/>
  <c r="D10859" i="1"/>
  <c r="D10860" i="1"/>
  <c r="D10861" i="1"/>
  <c r="D10862" i="1"/>
  <c r="D10864" i="1"/>
  <c r="D10865" i="1"/>
  <c r="D10866" i="1"/>
  <c r="D10869" i="1"/>
  <c r="D10871" i="1"/>
  <c r="D10872" i="1"/>
  <c r="D10873" i="1"/>
  <c r="D10874" i="1"/>
  <c r="D10875" i="1"/>
  <c r="D10876" i="1"/>
  <c r="D10877" i="1"/>
  <c r="D10878" i="1"/>
  <c r="D10879" i="1"/>
  <c r="D10880" i="1"/>
  <c r="D10881" i="1"/>
  <c r="D10882" i="1"/>
  <c r="D10883" i="1"/>
  <c r="D10884" i="1"/>
  <c r="D10885" i="1"/>
  <c r="D10886" i="1"/>
  <c r="D10887" i="1"/>
  <c r="D10888" i="1"/>
  <c r="D10889" i="1"/>
  <c r="D10890" i="1"/>
  <c r="D10891" i="1"/>
  <c r="D10892" i="1"/>
  <c r="D10893" i="1"/>
  <c r="D10894" i="1"/>
  <c r="D10895" i="1"/>
  <c r="D10896" i="1"/>
  <c r="D10897" i="1"/>
  <c r="D10898" i="1"/>
  <c r="D10899" i="1"/>
  <c r="D10900" i="1"/>
  <c r="D10901" i="1"/>
  <c r="D10902" i="1"/>
  <c r="D10903" i="1"/>
  <c r="D10904" i="1"/>
  <c r="D10905" i="1"/>
  <c r="D10906" i="1"/>
  <c r="D10907" i="1"/>
  <c r="D10908" i="1"/>
  <c r="D10909" i="1"/>
  <c r="D10910" i="1"/>
  <c r="D10911" i="1"/>
  <c r="D10912" i="1"/>
  <c r="D10913" i="1"/>
  <c r="D10914" i="1"/>
  <c r="D10916" i="1"/>
  <c r="D10917" i="1"/>
  <c r="D10920" i="1"/>
  <c r="D10921" i="1"/>
  <c r="D10923" i="1"/>
  <c r="D10924" i="1"/>
  <c r="D10925" i="1"/>
  <c r="D10926" i="1"/>
  <c r="D10927" i="1"/>
  <c r="D10928" i="1"/>
  <c r="D10929" i="1"/>
  <c r="D10930" i="1"/>
  <c r="D10931" i="1"/>
  <c r="D10932" i="1"/>
  <c r="D10933" i="1"/>
  <c r="D10934" i="1"/>
  <c r="D10935" i="1"/>
  <c r="D10936" i="1"/>
  <c r="D10937" i="1"/>
  <c r="D10938" i="1"/>
  <c r="D10939" i="1"/>
  <c r="D10940" i="1"/>
  <c r="D10941" i="1"/>
  <c r="D10942" i="1"/>
  <c r="D10943" i="1"/>
  <c r="D10944" i="1"/>
  <c r="D10945" i="1"/>
  <c r="D10946" i="1"/>
  <c r="D10947" i="1"/>
  <c r="D10948" i="1"/>
  <c r="D10949" i="1"/>
  <c r="D10951" i="1"/>
  <c r="D10952" i="1"/>
  <c r="D10953" i="1"/>
  <c r="D10954" i="1"/>
  <c r="D10955" i="1"/>
  <c r="D10956" i="1"/>
  <c r="D10957" i="1"/>
  <c r="D10958" i="1"/>
  <c r="D10960" i="1"/>
  <c r="D10962" i="1"/>
  <c r="D10963" i="1"/>
  <c r="D10964" i="1"/>
  <c r="D10965" i="1"/>
  <c r="D10966" i="1"/>
  <c r="D10967" i="1"/>
  <c r="D10968" i="1"/>
  <c r="D10969" i="1"/>
  <c r="D10970" i="1"/>
  <c r="D10971" i="1"/>
  <c r="D10972" i="1"/>
  <c r="D10974" i="1"/>
  <c r="D10977" i="1"/>
  <c r="D10978" i="1"/>
  <c r="D10979" i="1"/>
  <c r="D10981" i="1"/>
  <c r="D10983" i="1"/>
  <c r="D10984" i="1"/>
  <c r="D10985" i="1"/>
  <c r="D10986" i="1"/>
  <c r="D10987" i="1"/>
  <c r="D10988" i="1"/>
  <c r="D10989" i="1"/>
  <c r="D10990" i="1"/>
  <c r="D10991" i="1"/>
  <c r="D10992" i="1"/>
  <c r="D10993" i="1"/>
  <c r="D10994" i="1"/>
  <c r="D10995" i="1"/>
  <c r="D10996" i="1"/>
  <c r="D10997" i="1"/>
  <c r="D10998" i="1"/>
  <c r="D10999" i="1"/>
  <c r="D11002" i="1"/>
  <c r="D11004" i="1"/>
  <c r="D11005" i="1"/>
  <c r="D11006" i="1"/>
  <c r="D11007" i="1"/>
  <c r="D11008" i="1"/>
  <c r="D11009" i="1"/>
  <c r="D11010" i="1"/>
  <c r="D11011" i="1"/>
  <c r="D11012" i="1"/>
  <c r="D11013" i="1"/>
  <c r="D11014" i="1"/>
  <c r="D11015" i="1"/>
  <c r="D11016" i="1"/>
  <c r="D11017" i="1"/>
  <c r="D11018" i="1"/>
  <c r="D11019" i="1"/>
  <c r="D11020" i="1"/>
  <c r="D11021" i="1"/>
  <c r="D11022" i="1"/>
  <c r="D11023" i="1"/>
  <c r="D11024" i="1"/>
  <c r="D11025" i="1"/>
  <c r="D11026" i="1"/>
  <c r="D11027" i="1"/>
  <c r="D11028" i="1"/>
  <c r="D11029" i="1"/>
  <c r="D11030" i="1"/>
  <c r="D11031" i="1"/>
  <c r="D11032" i="1"/>
  <c r="D11033" i="1"/>
  <c r="D11034" i="1"/>
  <c r="D11035" i="1"/>
  <c r="D11036" i="1"/>
  <c r="D11037" i="1"/>
  <c r="D11038" i="1"/>
  <c r="D11039" i="1"/>
  <c r="D11040" i="1"/>
  <c r="D11041" i="1"/>
  <c r="D11042" i="1"/>
  <c r="D11043" i="1"/>
  <c r="D11044" i="1"/>
  <c r="D11045" i="1"/>
  <c r="D11046" i="1"/>
  <c r="D11047" i="1"/>
  <c r="D11048" i="1"/>
  <c r="D11049" i="1"/>
  <c r="D11050" i="1"/>
  <c r="D11051" i="1"/>
  <c r="D11052" i="1"/>
  <c r="D11053" i="1"/>
  <c r="D11054" i="1"/>
  <c r="D11055" i="1"/>
  <c r="D11056" i="1"/>
  <c r="D11057" i="1"/>
  <c r="D11058" i="1"/>
  <c r="D11059" i="1"/>
  <c r="D11060" i="1"/>
  <c r="D11061" i="1"/>
  <c r="D11062" i="1"/>
  <c r="D11063" i="1"/>
  <c r="D11064" i="1"/>
  <c r="D11065" i="1"/>
  <c r="D11066" i="1"/>
  <c r="D11067" i="1"/>
  <c r="D11068" i="1"/>
  <c r="D11069" i="1"/>
  <c r="D11070" i="1"/>
  <c r="D11071" i="1"/>
  <c r="D11072" i="1"/>
  <c r="D11073" i="1"/>
  <c r="D11074" i="1"/>
  <c r="D11075" i="1"/>
  <c r="D11076" i="1"/>
  <c r="D11077" i="1"/>
  <c r="D11078" i="1"/>
  <c r="D11079" i="1"/>
  <c r="D11080" i="1"/>
  <c r="D11081" i="1"/>
  <c r="D11082" i="1"/>
  <c r="D11083" i="1"/>
  <c r="D11084" i="1"/>
  <c r="D11085" i="1"/>
  <c r="D11086" i="1"/>
  <c r="D11087" i="1"/>
  <c r="D11088" i="1"/>
  <c r="D11089" i="1"/>
  <c r="D11090" i="1"/>
  <c r="D11091" i="1"/>
  <c r="D11092" i="1"/>
  <c r="D11093" i="1"/>
  <c r="D11094" i="1"/>
  <c r="D11095" i="1"/>
  <c r="D11096" i="1"/>
  <c r="D11097" i="1"/>
  <c r="D11098" i="1"/>
  <c r="D11099" i="1"/>
  <c r="D11100" i="1"/>
  <c r="D11101" i="1"/>
  <c r="D11102" i="1"/>
  <c r="D11103" i="1"/>
  <c r="D11104" i="1"/>
  <c r="D11105" i="1"/>
  <c r="D11106" i="1"/>
  <c r="D11107" i="1"/>
  <c r="D11108" i="1"/>
  <c r="D11109" i="1"/>
  <c r="D11110" i="1"/>
  <c r="D11111" i="1"/>
  <c r="D11112" i="1"/>
  <c r="D11113" i="1"/>
  <c r="D11114" i="1"/>
  <c r="D11115" i="1"/>
  <c r="D11116" i="1"/>
  <c r="D11117" i="1"/>
  <c r="D11118" i="1"/>
  <c r="D11119" i="1"/>
  <c r="D11120" i="1"/>
  <c r="D11121" i="1"/>
  <c r="D11122" i="1"/>
  <c r="D11123" i="1"/>
  <c r="D11124" i="1"/>
  <c r="D11125" i="1"/>
  <c r="D11126" i="1"/>
  <c r="D11127" i="1"/>
  <c r="D11128" i="1"/>
  <c r="D11129" i="1"/>
  <c r="D11130" i="1"/>
  <c r="D11131" i="1"/>
  <c r="D11132" i="1"/>
  <c r="D11133" i="1"/>
  <c r="D11135" i="1"/>
  <c r="D11136" i="1"/>
  <c r="D11137" i="1"/>
  <c r="D11138" i="1"/>
  <c r="D11139" i="1"/>
  <c r="D11140" i="1"/>
  <c r="D11141" i="1"/>
  <c r="D11142" i="1"/>
  <c r="D11143" i="1"/>
  <c r="D11144" i="1"/>
  <c r="D11145" i="1"/>
  <c r="D11146" i="1"/>
  <c r="D11147" i="1"/>
  <c r="D11148" i="1"/>
  <c r="D11149" i="1"/>
  <c r="D11150" i="1"/>
  <c r="D11151" i="1"/>
  <c r="D11152" i="1"/>
  <c r="D11153" i="1"/>
  <c r="D11154" i="1"/>
  <c r="D11155" i="1"/>
  <c r="D11156" i="1"/>
  <c r="D11157" i="1"/>
  <c r="D11158" i="1"/>
  <c r="D11162" i="1"/>
  <c r="D11165" i="1"/>
  <c r="D11169" i="1"/>
  <c r="D11170" i="1"/>
  <c r="D11172" i="1"/>
  <c r="D11173" i="1"/>
  <c r="D11174" i="1"/>
  <c r="D11175" i="1"/>
  <c r="D11176" i="1"/>
  <c r="D11177" i="1"/>
  <c r="D11178" i="1"/>
  <c r="D11179" i="1"/>
  <c r="D11180" i="1"/>
  <c r="D11182" i="1"/>
  <c r="D11184" i="1"/>
  <c r="D11185" i="1"/>
  <c r="D11186" i="1"/>
  <c r="D11187" i="1"/>
  <c r="D11188" i="1"/>
  <c r="D11189" i="1"/>
  <c r="D11190" i="1"/>
  <c r="D11191" i="1"/>
  <c r="D11192" i="1"/>
  <c r="D11193" i="1"/>
  <c r="D11194" i="1"/>
  <c r="D11195" i="1"/>
  <c r="D11196" i="1"/>
  <c r="D11197" i="1"/>
  <c r="D11198" i="1"/>
  <c r="D11199" i="1"/>
  <c r="D11200" i="1"/>
  <c r="D11201" i="1"/>
  <c r="D11202" i="1"/>
  <c r="D11203" i="1"/>
  <c r="D11204" i="1"/>
  <c r="D11205" i="1"/>
  <c r="D11206" i="1"/>
  <c r="D11207" i="1"/>
  <c r="D11208" i="1"/>
  <c r="D11209" i="1"/>
  <c r="D11210" i="1"/>
  <c r="D11211" i="1"/>
  <c r="D11212" i="1"/>
  <c r="D11213" i="1"/>
  <c r="D11214" i="1"/>
  <c r="D11215" i="1"/>
  <c r="D11216" i="1"/>
  <c r="D11217" i="1"/>
  <c r="D11218" i="1"/>
  <c r="D11219" i="1"/>
  <c r="D11220" i="1"/>
  <c r="D11221" i="1"/>
  <c r="D11222" i="1"/>
  <c r="D11223" i="1"/>
  <c r="D11224" i="1"/>
  <c r="D11225" i="1"/>
  <c r="D11226" i="1"/>
  <c r="D11227" i="1"/>
  <c r="D11228" i="1"/>
  <c r="D11229" i="1"/>
  <c r="D11230" i="1"/>
  <c r="D11231" i="1"/>
  <c r="D11234" i="1"/>
  <c r="D11235" i="1"/>
  <c r="D11236" i="1"/>
  <c r="D11237" i="1"/>
  <c r="D11238" i="1"/>
  <c r="D11239" i="1"/>
  <c r="D11240" i="1"/>
  <c r="D11241" i="1"/>
  <c r="D11242" i="1"/>
  <c r="D11243" i="1"/>
  <c r="D11244" i="1"/>
  <c r="D11245" i="1"/>
  <c r="D11246" i="1"/>
  <c r="D11247" i="1"/>
  <c r="D11248" i="1"/>
  <c r="D11249" i="1"/>
  <c r="D11250" i="1"/>
  <c r="D11251" i="1"/>
  <c r="D11252" i="1"/>
  <c r="D11253" i="1"/>
  <c r="D11254" i="1"/>
  <c r="D11255" i="1"/>
  <c r="D11256" i="1"/>
  <c r="D11257" i="1"/>
  <c r="D11258" i="1"/>
  <c r="D11259" i="1"/>
  <c r="D11260" i="1"/>
  <c r="D11261" i="1"/>
  <c r="D11262" i="1"/>
  <c r="D11263" i="1"/>
  <c r="D11264" i="1"/>
  <c r="D11266" i="1"/>
  <c r="D11267" i="1"/>
  <c r="D11268" i="1"/>
  <c r="D11269" i="1"/>
  <c r="D11270" i="1"/>
  <c r="D11271" i="1"/>
  <c r="D11272" i="1"/>
  <c r="D11273" i="1"/>
  <c r="D11274" i="1"/>
  <c r="D11275" i="1"/>
  <c r="D11276" i="1"/>
  <c r="D11277" i="1"/>
  <c r="D11278" i="1"/>
  <c r="D11279" i="1"/>
  <c r="D11280" i="1"/>
  <c r="D11281" i="1"/>
  <c r="D11282" i="1"/>
  <c r="D11283" i="1"/>
  <c r="D11285" i="1"/>
  <c r="D11286" i="1"/>
  <c r="D11287" i="1"/>
  <c r="D11288" i="1"/>
  <c r="D11289" i="1"/>
  <c r="D11290" i="1"/>
  <c r="D11291" i="1"/>
  <c r="D11292" i="1"/>
  <c r="D11293" i="1"/>
  <c r="D11294" i="1"/>
  <c r="D11295" i="1"/>
  <c r="D11296" i="1"/>
  <c r="D11297" i="1"/>
  <c r="D11298" i="1"/>
  <c r="D11299" i="1"/>
  <c r="D11300" i="1"/>
  <c r="D11301" i="1"/>
  <c r="D11302" i="1"/>
  <c r="D11304" i="1"/>
  <c r="D11305" i="1"/>
  <c r="D11306" i="1"/>
  <c r="D11307" i="1"/>
  <c r="D11308" i="1"/>
  <c r="D11309" i="1"/>
  <c r="D11310" i="1"/>
  <c r="D11311" i="1"/>
  <c r="D11313" i="1"/>
  <c r="D11314" i="1"/>
  <c r="D11315" i="1"/>
  <c r="D11316" i="1"/>
  <c r="D11317" i="1"/>
  <c r="D11318" i="1"/>
  <c r="D11319" i="1"/>
  <c r="D11320" i="1"/>
  <c r="D11321" i="1"/>
  <c r="D11322" i="1"/>
  <c r="D11323" i="1"/>
  <c r="D11324" i="1"/>
  <c r="D11325" i="1"/>
  <c r="D11326" i="1"/>
  <c r="D11327" i="1"/>
  <c r="D11328" i="1"/>
  <c r="D11329" i="1"/>
  <c r="D11330" i="1"/>
  <c r="D11331" i="1"/>
  <c r="D11332" i="1"/>
  <c r="D11333" i="1"/>
  <c r="D11334" i="1"/>
  <c r="D11335" i="1"/>
  <c r="D11336" i="1"/>
  <c r="D11337" i="1"/>
  <c r="D11338" i="1"/>
  <c r="D11339" i="1"/>
  <c r="D11342" i="1"/>
  <c r="D11343" i="1"/>
  <c r="D11344" i="1"/>
  <c r="D11346" i="1"/>
  <c r="D11347" i="1"/>
  <c r="D11348" i="1"/>
  <c r="D11350" i="1"/>
  <c r="D11351" i="1"/>
  <c r="D11352" i="1"/>
  <c r="D11353" i="1"/>
  <c r="D11355" i="1"/>
  <c r="D11356" i="1"/>
  <c r="D11357" i="1"/>
  <c r="D11358" i="1"/>
  <c r="D11359" i="1"/>
  <c r="D11360" i="1"/>
  <c r="D11361" i="1"/>
  <c r="D11362" i="1"/>
  <c r="D11363" i="1"/>
  <c r="D11364" i="1"/>
  <c r="D11365" i="1"/>
  <c r="D11366" i="1"/>
  <c r="D11368" i="1"/>
  <c r="D11369" i="1"/>
  <c r="D11370" i="1"/>
  <c r="D11371" i="1"/>
  <c r="D11372" i="1"/>
  <c r="D11373" i="1"/>
  <c r="D11374" i="1"/>
  <c r="D11375" i="1"/>
  <c r="D11376" i="1"/>
  <c r="D11378" i="1"/>
  <c r="D11379" i="1"/>
  <c r="D11380" i="1"/>
  <c r="D11381" i="1"/>
  <c r="D11382" i="1"/>
  <c r="D11383" i="1"/>
  <c r="D11385" i="1"/>
  <c r="D11387" i="1"/>
  <c r="D11388" i="1"/>
  <c r="D11389" i="1"/>
  <c r="D11390" i="1"/>
  <c r="D11392" i="1"/>
  <c r="D11393" i="1"/>
  <c r="D11396" i="1"/>
  <c r="D11397" i="1"/>
  <c r="D11398" i="1"/>
  <c r="D11399" i="1"/>
  <c r="D11400" i="1"/>
  <c r="D11401" i="1"/>
  <c r="D11402" i="1"/>
  <c r="D11404" i="1"/>
  <c r="D11405" i="1"/>
  <c r="D11406" i="1"/>
  <c r="D11407" i="1"/>
  <c r="D11408" i="1"/>
  <c r="D11410" i="1"/>
  <c r="D11412" i="1"/>
  <c r="D11413" i="1"/>
  <c r="D11414" i="1"/>
  <c r="D11415" i="1"/>
  <c r="D11416" i="1"/>
  <c r="D11417" i="1"/>
  <c r="D11418" i="1"/>
  <c r="D11419" i="1"/>
  <c r="D11420" i="1"/>
  <c r="D11421" i="1"/>
  <c r="D11422" i="1"/>
  <c r="D11423" i="1"/>
  <c r="D11424" i="1"/>
  <c r="D11425" i="1"/>
  <c r="D11426" i="1"/>
  <c r="D11427" i="1"/>
  <c r="D11428" i="1"/>
  <c r="D11429" i="1"/>
  <c r="D11432" i="1"/>
  <c r="D11433" i="1"/>
  <c r="D11435" i="1"/>
  <c r="D11436" i="1"/>
  <c r="D11437" i="1"/>
  <c r="D11438" i="1"/>
  <c r="D11439" i="1"/>
  <c r="D11440" i="1"/>
  <c r="D11441" i="1"/>
  <c r="D11444" i="1"/>
  <c r="D11445" i="1"/>
  <c r="D11446" i="1"/>
  <c r="D11447" i="1"/>
  <c r="D11448" i="1"/>
  <c r="D11449" i="1"/>
  <c r="D11451" i="1"/>
  <c r="D11452" i="1"/>
  <c r="D11453" i="1"/>
  <c r="D11454" i="1"/>
  <c r="D11455" i="1"/>
  <c r="D11456" i="1"/>
  <c r="D11457" i="1"/>
  <c r="D11458" i="1"/>
  <c r="D11459" i="1"/>
  <c r="D11460" i="1"/>
  <c r="D11462" i="1"/>
  <c r="D11463" i="1"/>
  <c r="D11464" i="1"/>
  <c r="D11465" i="1"/>
  <c r="D11466" i="1"/>
  <c r="D11467" i="1"/>
  <c r="D11468" i="1"/>
  <c r="D11469" i="1"/>
  <c r="D11470" i="1"/>
  <c r="D11471" i="1"/>
  <c r="D11472" i="1"/>
  <c r="D11473" i="1"/>
  <c r="D11474" i="1"/>
  <c r="D11475" i="1"/>
  <c r="D11476" i="1"/>
  <c r="D11477" i="1"/>
  <c r="D11478" i="1"/>
  <c r="D11479" i="1"/>
  <c r="D11480" i="1"/>
  <c r="D11481" i="1"/>
  <c r="D11482" i="1"/>
  <c r="D11483" i="1"/>
  <c r="D11484" i="1"/>
  <c r="D11485" i="1"/>
  <c r="D11486" i="1"/>
  <c r="D11487" i="1"/>
  <c r="D11488" i="1"/>
  <c r="D11489" i="1"/>
  <c r="D11490" i="1"/>
  <c r="D11493" i="1"/>
  <c r="D11495" i="1"/>
  <c r="D11496" i="1"/>
  <c r="D11497" i="1"/>
  <c r="D11498" i="1"/>
  <c r="D11499" i="1"/>
  <c r="D11500" i="1"/>
  <c r="D11501" i="1"/>
  <c r="D11502" i="1"/>
  <c r="D11503" i="1"/>
  <c r="D11504" i="1"/>
  <c r="D11505" i="1"/>
  <c r="D11506" i="1"/>
  <c r="D11507" i="1"/>
  <c r="D11508" i="1"/>
  <c r="D11509" i="1"/>
  <c r="D11511" i="1"/>
  <c r="D11512" i="1"/>
  <c r="D11513" i="1"/>
  <c r="D11514" i="1"/>
  <c r="D11517" i="1"/>
  <c r="D11518" i="1"/>
  <c r="D11519" i="1"/>
  <c r="D11520" i="1"/>
  <c r="D11521" i="1"/>
  <c r="D11522" i="1"/>
  <c r="D11523" i="1"/>
  <c r="D11524" i="1"/>
  <c r="D11525" i="1"/>
  <c r="D11526" i="1"/>
  <c r="D11527" i="1"/>
  <c r="D11528" i="1"/>
  <c r="D11529" i="1"/>
  <c r="D11530" i="1"/>
  <c r="D11531" i="1"/>
  <c r="D11532" i="1"/>
  <c r="D11533" i="1"/>
  <c r="D11534" i="1"/>
  <c r="D11535" i="1"/>
  <c r="D11536" i="1"/>
  <c r="D11537" i="1"/>
  <c r="D11538" i="1"/>
  <c r="D11539" i="1"/>
  <c r="D11540" i="1"/>
  <c r="D11541" i="1"/>
  <c r="D11542" i="1"/>
  <c r="D11543" i="1"/>
  <c r="D11544" i="1"/>
  <c r="D11545" i="1"/>
  <c r="D11547" i="1"/>
  <c r="D11548" i="1"/>
  <c r="D11549" i="1"/>
  <c r="D11550" i="1"/>
  <c r="D11551" i="1"/>
  <c r="D11552" i="1"/>
  <c r="D11553" i="1"/>
  <c r="D11554" i="1"/>
  <c r="D11555" i="1"/>
  <c r="D11556" i="1"/>
  <c r="D11557" i="1"/>
  <c r="D11558" i="1"/>
  <c r="D11559" i="1"/>
  <c r="D11560" i="1"/>
  <c r="D11561" i="1"/>
  <c r="D11562" i="1"/>
  <c r="D11563" i="1"/>
  <c r="D11564" i="1"/>
  <c r="D11566" i="1"/>
  <c r="D11568" i="1"/>
  <c r="D11570" i="1"/>
  <c r="D11571" i="1"/>
  <c r="D11572" i="1"/>
  <c r="D11573" i="1"/>
  <c r="D11574" i="1"/>
  <c r="D11577" i="1"/>
  <c r="D11578" i="1"/>
  <c r="D11579" i="1"/>
  <c r="D11580" i="1"/>
  <c r="D11581" i="1"/>
  <c r="D11582" i="1"/>
  <c r="D11583" i="1"/>
  <c r="D11585" i="1"/>
  <c r="D11586" i="1"/>
  <c r="D11587" i="1"/>
  <c r="D11588" i="1"/>
  <c r="D11589" i="1"/>
  <c r="D11590" i="1"/>
  <c r="D11591" i="1"/>
  <c r="D11592" i="1"/>
  <c r="D11593" i="1"/>
  <c r="D11594" i="1"/>
  <c r="D11595" i="1"/>
  <c r="D11596" i="1"/>
  <c r="D11597" i="1"/>
  <c r="D11598" i="1"/>
  <c r="D11599" i="1"/>
  <c r="D11600" i="1"/>
  <c r="D11601" i="1"/>
  <c r="D11602" i="1"/>
  <c r="D11603" i="1"/>
  <c r="D11604" i="1"/>
  <c r="D11605" i="1"/>
  <c r="D11606" i="1"/>
  <c r="D11608" i="1"/>
  <c r="D11609" i="1"/>
  <c r="D11610" i="1"/>
  <c r="D11611" i="1"/>
  <c r="D11612" i="1"/>
  <c r="D11613" i="1"/>
  <c r="D11614" i="1"/>
  <c r="D11615" i="1"/>
  <c r="D11616" i="1"/>
  <c r="D11617" i="1"/>
  <c r="D11618" i="1"/>
  <c r="D11619" i="1"/>
  <c r="D11620" i="1"/>
  <c r="D11621" i="1"/>
  <c r="D11622" i="1"/>
  <c r="D11623" i="1"/>
  <c r="D11624" i="1"/>
  <c r="D11625" i="1"/>
  <c r="D11626" i="1"/>
  <c r="D11627" i="1"/>
  <c r="D11628" i="1"/>
  <c r="D11629" i="1"/>
  <c r="D11630" i="1"/>
  <c r="D11631" i="1"/>
  <c r="D11632" i="1"/>
  <c r="D11633" i="1"/>
  <c r="D11634" i="1"/>
  <c r="D11635" i="1"/>
  <c r="D11636" i="1"/>
  <c r="D11637" i="1"/>
  <c r="D11638" i="1"/>
  <c r="D11639" i="1"/>
  <c r="D11643" i="1"/>
  <c r="D11647" i="1"/>
  <c r="D11648" i="1"/>
  <c r="D11649" i="1"/>
  <c r="D11650" i="1"/>
  <c r="D11651" i="1"/>
  <c r="D11652" i="1"/>
  <c r="D11653" i="1"/>
  <c r="D11654" i="1"/>
  <c r="D11655" i="1"/>
  <c r="D11660" i="1"/>
  <c r="D11661" i="1"/>
  <c r="D11662" i="1"/>
  <c r="D11663" i="1"/>
  <c r="D11665" i="1"/>
  <c r="D11666" i="1"/>
  <c r="D11668" i="1"/>
  <c r="D11669" i="1"/>
  <c r="D11670" i="1"/>
  <c r="D11671" i="1"/>
  <c r="D11672" i="1"/>
  <c r="D11673" i="1"/>
  <c r="D11674" i="1"/>
  <c r="D11675" i="1"/>
  <c r="D11676" i="1"/>
  <c r="D11679" i="1"/>
  <c r="D11682" i="1"/>
  <c r="D11683" i="1"/>
  <c r="D11684" i="1"/>
  <c r="D11685" i="1"/>
  <c r="D11686" i="1"/>
  <c r="D11687" i="1"/>
  <c r="D11688" i="1"/>
  <c r="D11689" i="1"/>
  <c r="D11690" i="1"/>
  <c r="D11691" i="1"/>
  <c r="D11694" i="1"/>
  <c r="D11695" i="1"/>
  <c r="D11696" i="1"/>
  <c r="D11697" i="1"/>
  <c r="D11698" i="1"/>
  <c r="D11699" i="1"/>
  <c r="D11700" i="1"/>
  <c r="D11701" i="1"/>
  <c r="D11702" i="1"/>
  <c r="D11703" i="1"/>
  <c r="D11704" i="1"/>
  <c r="D11705" i="1"/>
  <c r="D11706" i="1"/>
  <c r="D11707" i="1"/>
  <c r="D11708" i="1"/>
  <c r="D11709" i="1"/>
  <c r="D11710" i="1"/>
  <c r="D11711" i="1"/>
  <c r="D11712" i="1"/>
  <c r="D11713" i="1"/>
  <c r="D11714" i="1"/>
  <c r="D11715" i="1"/>
  <c r="D11716" i="1"/>
  <c r="D11717" i="1"/>
  <c r="D11718" i="1"/>
  <c r="D11719" i="1"/>
  <c r="D11720" i="1"/>
  <c r="D11721" i="1"/>
  <c r="D11722" i="1"/>
  <c r="D11723" i="1"/>
  <c r="D11724" i="1"/>
  <c r="D11725" i="1"/>
  <c r="D11726" i="1"/>
  <c r="D11727" i="1"/>
  <c r="D11728" i="1"/>
  <c r="D11729" i="1"/>
  <c r="D11730" i="1"/>
  <c r="D11731" i="1"/>
  <c r="D11732" i="1"/>
  <c r="D11733" i="1"/>
  <c r="D11734" i="1"/>
  <c r="D11735" i="1"/>
  <c r="D11736" i="1"/>
  <c r="D11737" i="1"/>
  <c r="D11738" i="1"/>
  <c r="D11739" i="1"/>
  <c r="D11740" i="1"/>
  <c r="D11741" i="1"/>
  <c r="D11742" i="1"/>
  <c r="D11743" i="1"/>
  <c r="D11744" i="1"/>
  <c r="D11745" i="1"/>
  <c r="D11746" i="1"/>
  <c r="D11747" i="1"/>
  <c r="D11748" i="1"/>
  <c r="D11749" i="1"/>
  <c r="D11750" i="1"/>
  <c r="D11751" i="1"/>
  <c r="D11752" i="1"/>
  <c r="D11753" i="1"/>
  <c r="D11754" i="1"/>
  <c r="D11755" i="1"/>
  <c r="D11756" i="1"/>
  <c r="D11757" i="1"/>
  <c r="D11758" i="1"/>
  <c r="D11759" i="1"/>
  <c r="D11760" i="1"/>
  <c r="D11761" i="1"/>
  <c r="D11762" i="1"/>
  <c r="D11763" i="1"/>
  <c r="D11764" i="1"/>
  <c r="D11765" i="1"/>
  <c r="D11766" i="1"/>
  <c r="D11767" i="1"/>
  <c r="D11768" i="1"/>
  <c r="D11769" i="1"/>
  <c r="D11770" i="1"/>
  <c r="D11771" i="1"/>
  <c r="D11772" i="1"/>
  <c r="D11773" i="1"/>
  <c r="D11774" i="1"/>
  <c r="D11775" i="1"/>
  <c r="D11776" i="1"/>
  <c r="D11777" i="1"/>
  <c r="D11778" i="1"/>
  <c r="D11779" i="1"/>
  <c r="D11780" i="1"/>
  <c r="D11781" i="1"/>
  <c r="D11782" i="1"/>
  <c r="D11783" i="1"/>
  <c r="D11784" i="1"/>
  <c r="D11785" i="1"/>
  <c r="D11786" i="1"/>
  <c r="D11787" i="1"/>
  <c r="D11788" i="1"/>
  <c r="D11789" i="1"/>
  <c r="D11790" i="1"/>
  <c r="D11791" i="1"/>
  <c r="D11792" i="1"/>
  <c r="D11793" i="1"/>
  <c r="D11794" i="1"/>
  <c r="D11795" i="1"/>
  <c r="D11796" i="1"/>
  <c r="D11797" i="1"/>
  <c r="D11798" i="1"/>
  <c r="D11799" i="1"/>
  <c r="D11800" i="1"/>
  <c r="D11801" i="1"/>
  <c r="D11802" i="1"/>
  <c r="D11803" i="1"/>
  <c r="D11804" i="1"/>
  <c r="D11805" i="1"/>
  <c r="D11806" i="1"/>
  <c r="D11807" i="1"/>
  <c r="D11808" i="1"/>
  <c r="D11809" i="1"/>
  <c r="D11810" i="1"/>
  <c r="D11811" i="1"/>
  <c r="D11812" i="1"/>
  <c r="D11813" i="1"/>
  <c r="D11814" i="1"/>
  <c r="D11816" i="1"/>
  <c r="D11817" i="1"/>
  <c r="D11818" i="1"/>
  <c r="D11819" i="1"/>
  <c r="D11820" i="1"/>
  <c r="D11821" i="1"/>
  <c r="D11822" i="1"/>
  <c r="D11823" i="1"/>
  <c r="D11824" i="1"/>
  <c r="D11825" i="1"/>
  <c r="D11826" i="1"/>
  <c r="D11827" i="1"/>
  <c r="D11828" i="1"/>
  <c r="D11829" i="1"/>
  <c r="D11830" i="1"/>
  <c r="D11831" i="1"/>
  <c r="D11832" i="1"/>
  <c r="D11833" i="1"/>
  <c r="D11834" i="1"/>
  <c r="D11835" i="1"/>
  <c r="D11836" i="1"/>
  <c r="D11837" i="1"/>
  <c r="D11838" i="1"/>
  <c r="D11839" i="1"/>
  <c r="D11840" i="1"/>
  <c r="D11841" i="1"/>
  <c r="D11842" i="1"/>
  <c r="D11843" i="1"/>
  <c r="D11844" i="1"/>
  <c r="D11845" i="1"/>
  <c r="D11846" i="1"/>
  <c r="D11847" i="1"/>
  <c r="D11848" i="1"/>
  <c r="D11849" i="1"/>
  <c r="D11851" i="1"/>
  <c r="D11852" i="1"/>
  <c r="D11853" i="1"/>
  <c r="D11855" i="1"/>
  <c r="D11857" i="1"/>
  <c r="D11858" i="1"/>
  <c r="D11859" i="1"/>
  <c r="D11860" i="1"/>
  <c r="D11862" i="1"/>
  <c r="D11863" i="1"/>
  <c r="D11864" i="1"/>
  <c r="D11865" i="1"/>
  <c r="D11866" i="1"/>
  <c r="D11867" i="1"/>
  <c r="D11868" i="1"/>
  <c r="D11869" i="1"/>
  <c r="D11870" i="1"/>
  <c r="D11871" i="1"/>
  <c r="D11872" i="1"/>
  <c r="D11873" i="1"/>
  <c r="D11874" i="1"/>
  <c r="D11875" i="1"/>
  <c r="D11876" i="1"/>
  <c r="D11877" i="1"/>
  <c r="D11878" i="1"/>
  <c r="D11879" i="1"/>
  <c r="D11880" i="1"/>
  <c r="D11881" i="1"/>
  <c r="D11882" i="1"/>
  <c r="D11883" i="1"/>
  <c r="D11884" i="1"/>
  <c r="D11885" i="1"/>
  <c r="D11886" i="1"/>
  <c r="D11887" i="1"/>
  <c r="D11888" i="1"/>
  <c r="D11889" i="1"/>
  <c r="D11890" i="1"/>
  <c r="D11891" i="1"/>
  <c r="D11892" i="1"/>
  <c r="D11893" i="1"/>
  <c r="D11894" i="1"/>
  <c r="D11895" i="1"/>
  <c r="D11896" i="1"/>
  <c r="D11897" i="1"/>
  <c r="D11898" i="1"/>
  <c r="D11899" i="1"/>
  <c r="D11900" i="1"/>
  <c r="D11901" i="1"/>
  <c r="D11902" i="1"/>
  <c r="D11903" i="1"/>
  <c r="D11904" i="1"/>
  <c r="D11905" i="1"/>
  <c r="D11906" i="1"/>
  <c r="D11907" i="1"/>
  <c r="D11908" i="1"/>
  <c r="D11909" i="1"/>
  <c r="D11910" i="1"/>
  <c r="D11912" i="1"/>
  <c r="D11914" i="1"/>
  <c r="D11916" i="1"/>
  <c r="D11917" i="1"/>
  <c r="D11918" i="1"/>
  <c r="D11919" i="1"/>
  <c r="D11920" i="1"/>
  <c r="D11922" i="1"/>
  <c r="D11923" i="1"/>
  <c r="D11924" i="1"/>
  <c r="D11925" i="1"/>
  <c r="D11926" i="1"/>
  <c r="D11927" i="1"/>
  <c r="D11928" i="1"/>
  <c r="D11929" i="1"/>
  <c r="D11930" i="1"/>
  <c r="D11931" i="1"/>
  <c r="D11932" i="1"/>
  <c r="D11933" i="1"/>
  <c r="D11934" i="1"/>
  <c r="D11935" i="1"/>
  <c r="D11936" i="1"/>
  <c r="D11937" i="1"/>
  <c r="D11938" i="1"/>
  <c r="D11939" i="1"/>
  <c r="D11940" i="1"/>
  <c r="D11941" i="1"/>
  <c r="D11942" i="1"/>
  <c r="D11943" i="1"/>
  <c r="D11944" i="1"/>
  <c r="D11945" i="1"/>
  <c r="D11946" i="1"/>
  <c r="D11947" i="1"/>
  <c r="D11948" i="1"/>
  <c r="D11949" i="1"/>
  <c r="D11950" i="1"/>
  <c r="D11951" i="1"/>
  <c r="D11952" i="1"/>
  <c r="D11953" i="1"/>
  <c r="D11954" i="1"/>
  <c r="D11955" i="1"/>
  <c r="D11956" i="1"/>
  <c r="D11957" i="1"/>
  <c r="D11958" i="1"/>
  <c r="D11959" i="1"/>
  <c r="D11960" i="1"/>
  <c r="D11961" i="1"/>
  <c r="D11962" i="1"/>
  <c r="D11963" i="1"/>
  <c r="D11964" i="1"/>
  <c r="D11966" i="1"/>
  <c r="D11967" i="1"/>
  <c r="D11968" i="1"/>
  <c r="D11969" i="1"/>
  <c r="D11970" i="1"/>
  <c r="D11971" i="1"/>
  <c r="D11972" i="1"/>
  <c r="D11973" i="1"/>
  <c r="D11974" i="1"/>
  <c r="D11975" i="1"/>
  <c r="D11976" i="1"/>
  <c r="D11977" i="1"/>
  <c r="D11978" i="1"/>
  <c r="D11979" i="1"/>
  <c r="D11980" i="1"/>
  <c r="D11981" i="1"/>
  <c r="D11982" i="1"/>
  <c r="D11983" i="1"/>
  <c r="D11984" i="1"/>
  <c r="D11985" i="1"/>
  <c r="D11986" i="1"/>
  <c r="D11987" i="1"/>
  <c r="D11988" i="1"/>
  <c r="D11989" i="1"/>
  <c r="D11990" i="1"/>
  <c r="D11991" i="1"/>
  <c r="D11992" i="1"/>
  <c r="D11993" i="1"/>
  <c r="D11994" i="1"/>
  <c r="D11995" i="1"/>
  <c r="D11996" i="1"/>
  <c r="D11997" i="1"/>
  <c r="D11998" i="1"/>
  <c r="D11999" i="1"/>
  <c r="D12000" i="1"/>
  <c r="D12001" i="1"/>
  <c r="D12002" i="1"/>
  <c r="D12003" i="1"/>
  <c r="D12004" i="1"/>
  <c r="D12005" i="1"/>
  <c r="D12006" i="1"/>
  <c r="D12007" i="1"/>
  <c r="D12008" i="1"/>
  <c r="D12009" i="1"/>
  <c r="D12010" i="1"/>
  <c r="D12011" i="1"/>
  <c r="D12012" i="1"/>
  <c r="D12013" i="1"/>
  <c r="D12014" i="1"/>
  <c r="D12015" i="1"/>
  <c r="D12016" i="1"/>
  <c r="D12017" i="1"/>
  <c r="D12018" i="1"/>
  <c r="D12019" i="1"/>
  <c r="D12020" i="1"/>
  <c r="D12021" i="1"/>
  <c r="D12022" i="1"/>
  <c r="D12023" i="1"/>
  <c r="D12024" i="1"/>
  <c r="D12025" i="1"/>
  <c r="D12026" i="1"/>
  <c r="D12027" i="1"/>
  <c r="D12028" i="1"/>
  <c r="D12029" i="1"/>
  <c r="D12030" i="1"/>
  <c r="D12031" i="1"/>
  <c r="D12032" i="1"/>
  <c r="D12033" i="1"/>
  <c r="D12034" i="1"/>
  <c r="D12035" i="1"/>
  <c r="D12036" i="1"/>
  <c r="D12037" i="1"/>
  <c r="D12038" i="1"/>
  <c r="D12039" i="1"/>
  <c r="D12040" i="1"/>
  <c r="D12041" i="1"/>
  <c r="D12042" i="1"/>
  <c r="D12043" i="1"/>
  <c r="D12044" i="1"/>
  <c r="D12045" i="1"/>
  <c r="D12046" i="1"/>
  <c r="D12047" i="1"/>
  <c r="D12048" i="1"/>
  <c r="D12049" i="1"/>
  <c r="D12050" i="1"/>
  <c r="D12051" i="1"/>
  <c r="D12052" i="1"/>
  <c r="D12053" i="1"/>
  <c r="D12055" i="1"/>
  <c r="D12056" i="1"/>
  <c r="D12057" i="1"/>
  <c r="D12058" i="1"/>
  <c r="D12060" i="1"/>
  <c r="D12061" i="1"/>
  <c r="D12063" i="1"/>
  <c r="D12067" i="1"/>
  <c r="D12068" i="1"/>
  <c r="D12069" i="1"/>
  <c r="D12071" i="1"/>
  <c r="D12072" i="1"/>
  <c r="D9654" i="1" l="1"/>
  <c r="D9651" i="1"/>
  <c r="D9649" i="1"/>
  <c r="D9648" i="1"/>
  <c r="D9647" i="1"/>
  <c r="D9646" i="1"/>
  <c r="D9644" i="1"/>
  <c r="D9642" i="1"/>
  <c r="D9641" i="1"/>
  <c r="D9640" i="1"/>
  <c r="D9639" i="1"/>
  <c r="D9638" i="1"/>
  <c r="D9637" i="1"/>
  <c r="D9636" i="1"/>
  <c r="D9635" i="1"/>
  <c r="D9634" i="1"/>
  <c r="D9633" i="1"/>
  <c r="D9632" i="1"/>
  <c r="D9631" i="1"/>
  <c r="D9630" i="1"/>
  <c r="D9629" i="1"/>
  <c r="D9628" i="1"/>
  <c r="D9627" i="1"/>
  <c r="D9626" i="1"/>
  <c r="D9625" i="1"/>
  <c r="D9624" i="1"/>
  <c r="D9623" i="1"/>
  <c r="D9622" i="1"/>
  <c r="D9621" i="1"/>
  <c r="D9620" i="1"/>
  <c r="D9619" i="1"/>
  <c r="D9618" i="1"/>
  <c r="D9617" i="1"/>
  <c r="D9616" i="1"/>
  <c r="D9615" i="1"/>
  <c r="D9614" i="1"/>
  <c r="D9613" i="1"/>
  <c r="D9612" i="1"/>
  <c r="D9611" i="1"/>
  <c r="D9610" i="1"/>
  <c r="D9609" i="1"/>
  <c r="D9608" i="1"/>
  <c r="D9607" i="1"/>
  <c r="D9606" i="1"/>
  <c r="D9605" i="1"/>
  <c r="D9604" i="1"/>
  <c r="D9603" i="1"/>
  <c r="D9602" i="1"/>
  <c r="D9601" i="1"/>
  <c r="D9600" i="1"/>
  <c r="D9599" i="1"/>
  <c r="D9598" i="1"/>
  <c r="D9597" i="1"/>
  <c r="D9596" i="1"/>
  <c r="D9595" i="1"/>
  <c r="D9594" i="1"/>
  <c r="D9593" i="1"/>
  <c r="D9592" i="1"/>
  <c r="D9591" i="1"/>
  <c r="D9590" i="1"/>
  <c r="D9589" i="1"/>
  <c r="D9588" i="1"/>
  <c r="D9587" i="1"/>
  <c r="D9586" i="1"/>
  <c r="D9585" i="1"/>
  <c r="D9584" i="1"/>
  <c r="D9583" i="1"/>
  <c r="D9582" i="1"/>
  <c r="D9581" i="1"/>
  <c r="D9580" i="1"/>
  <c r="D9579" i="1"/>
  <c r="D9578" i="1"/>
  <c r="D9577" i="1"/>
  <c r="D9576" i="1"/>
  <c r="D9575" i="1"/>
  <c r="D9574" i="1"/>
  <c r="D9573" i="1"/>
  <c r="D9572" i="1"/>
  <c r="D9571" i="1"/>
  <c r="D9570" i="1"/>
  <c r="D9569" i="1"/>
  <c r="D9568" i="1"/>
  <c r="D9567" i="1"/>
  <c r="D9566" i="1"/>
  <c r="D9565" i="1"/>
  <c r="D9564" i="1"/>
  <c r="D9563" i="1"/>
  <c r="D9562" i="1"/>
  <c r="D9561" i="1"/>
  <c r="D9560" i="1"/>
  <c r="D9559" i="1"/>
  <c r="D9558" i="1"/>
  <c r="D9557" i="1"/>
  <c r="D9556" i="1"/>
  <c r="D9555" i="1"/>
  <c r="D9554" i="1"/>
  <c r="D9553" i="1"/>
  <c r="D9552" i="1"/>
  <c r="D9551" i="1"/>
  <c r="D9550" i="1"/>
  <c r="D9549" i="1"/>
  <c r="D9548" i="1"/>
  <c r="D9547" i="1"/>
  <c r="D9546" i="1"/>
  <c r="D9545" i="1"/>
  <c r="D9544" i="1"/>
  <c r="D9543" i="1"/>
  <c r="D9542" i="1"/>
  <c r="D9541" i="1"/>
  <c r="D9540" i="1"/>
  <c r="D9539" i="1"/>
  <c r="D9538" i="1"/>
  <c r="D9537" i="1"/>
  <c r="D9536" i="1"/>
  <c r="D9535" i="1"/>
  <c r="D9534" i="1"/>
  <c r="D9533" i="1"/>
  <c r="D9532" i="1"/>
  <c r="D9531" i="1"/>
  <c r="D9530" i="1"/>
  <c r="D9529" i="1"/>
  <c r="D9528" i="1"/>
  <c r="D9527" i="1"/>
  <c r="D9526" i="1"/>
  <c r="D9525" i="1"/>
  <c r="D9524" i="1"/>
  <c r="D9523" i="1"/>
  <c r="D9522" i="1"/>
  <c r="D9521" i="1"/>
  <c r="D9520" i="1"/>
  <c r="D9519" i="1"/>
  <c r="D9518" i="1"/>
  <c r="D9517" i="1"/>
  <c r="D9516" i="1"/>
  <c r="D9515" i="1"/>
  <c r="D9514" i="1"/>
  <c r="D9513" i="1"/>
  <c r="D9512" i="1"/>
  <c r="D9511" i="1"/>
  <c r="D9510" i="1"/>
  <c r="D9509" i="1"/>
  <c r="D9508" i="1"/>
  <c r="D9507" i="1"/>
  <c r="D9506" i="1"/>
  <c r="D9505" i="1"/>
  <c r="D9504" i="1"/>
  <c r="D9503" i="1"/>
  <c r="D9502" i="1"/>
  <c r="D9501" i="1"/>
  <c r="D9500" i="1"/>
  <c r="D9499" i="1"/>
  <c r="D9498" i="1"/>
  <c r="D9497" i="1"/>
  <c r="D9496" i="1"/>
  <c r="D9495" i="1"/>
  <c r="D9494" i="1"/>
  <c r="D9493" i="1"/>
  <c r="D9492" i="1"/>
  <c r="D9491" i="1"/>
  <c r="D9490" i="1"/>
  <c r="D9489" i="1"/>
  <c r="D9488" i="1"/>
  <c r="D9487" i="1"/>
  <c r="D9486" i="1"/>
  <c r="D9485" i="1"/>
  <c r="D9484" i="1"/>
  <c r="D9483" i="1"/>
  <c r="D9482" i="1"/>
  <c r="D9481" i="1"/>
  <c r="D9480" i="1"/>
  <c r="D9479" i="1"/>
  <c r="D9478" i="1"/>
  <c r="D9477" i="1"/>
  <c r="D9476" i="1"/>
  <c r="D9475" i="1"/>
  <c r="D9474" i="1"/>
  <c r="D9473" i="1"/>
  <c r="D9472" i="1"/>
  <c r="D9471" i="1"/>
  <c r="D9470" i="1"/>
  <c r="D9468" i="1"/>
  <c r="D9467" i="1"/>
  <c r="D9466" i="1"/>
  <c r="D9465" i="1"/>
  <c r="D9464" i="1"/>
  <c r="D9463" i="1"/>
  <c r="D9462" i="1"/>
  <c r="D9461" i="1"/>
  <c r="D9460" i="1"/>
  <c r="D9459" i="1"/>
  <c r="D9458" i="1"/>
  <c r="D9457" i="1"/>
  <c r="D9456" i="1"/>
  <c r="D9455" i="1"/>
  <c r="D9454" i="1"/>
  <c r="D9453" i="1"/>
  <c r="D9452" i="1"/>
  <c r="D9451" i="1"/>
  <c r="D9450" i="1"/>
  <c r="D9449" i="1"/>
  <c r="D9448" i="1"/>
  <c r="D9447" i="1"/>
  <c r="D9446" i="1"/>
  <c r="D9445" i="1"/>
  <c r="D9444" i="1"/>
  <c r="D9443" i="1"/>
  <c r="D9442" i="1"/>
  <c r="D9441" i="1"/>
  <c r="D9440" i="1"/>
  <c r="D9439" i="1"/>
  <c r="D9438" i="1"/>
  <c r="D9437" i="1"/>
  <c r="D9436" i="1"/>
  <c r="D9435" i="1"/>
  <c r="D9434" i="1"/>
  <c r="D9433" i="1"/>
  <c r="D9432" i="1"/>
  <c r="D9431" i="1"/>
  <c r="D9430" i="1"/>
  <c r="D9429" i="1"/>
  <c r="D9428" i="1"/>
  <c r="D9427" i="1"/>
  <c r="D9426" i="1"/>
  <c r="D9425" i="1"/>
  <c r="D9424" i="1"/>
  <c r="D9423" i="1"/>
  <c r="D9422" i="1"/>
  <c r="D9421" i="1"/>
  <c r="D9420" i="1"/>
  <c r="D9419" i="1"/>
  <c r="D9418" i="1"/>
  <c r="D9417" i="1"/>
  <c r="D9416" i="1"/>
  <c r="D9415" i="1"/>
  <c r="D9414" i="1"/>
  <c r="D9413" i="1"/>
  <c r="D9412" i="1"/>
  <c r="D9411" i="1"/>
  <c r="D9410" i="1"/>
  <c r="D9409" i="1"/>
  <c r="D9408" i="1"/>
  <c r="D9407" i="1"/>
  <c r="D9406" i="1"/>
  <c r="D9405" i="1"/>
  <c r="D9404" i="1"/>
  <c r="D9403" i="1"/>
  <c r="D9402" i="1"/>
  <c r="D9401" i="1"/>
  <c r="D9400" i="1"/>
  <c r="D9399" i="1"/>
  <c r="D9398" i="1"/>
  <c r="D9397" i="1"/>
  <c r="D9396" i="1"/>
  <c r="D9395" i="1"/>
  <c r="D9394" i="1"/>
  <c r="D9393" i="1"/>
  <c r="D9392" i="1"/>
  <c r="D9391" i="1"/>
  <c r="D9390" i="1"/>
  <c r="D9389" i="1"/>
  <c r="D9388" i="1"/>
  <c r="D9387" i="1"/>
  <c r="D9386" i="1"/>
  <c r="D9385" i="1"/>
  <c r="D9384" i="1"/>
  <c r="D9383" i="1"/>
  <c r="D9382" i="1"/>
  <c r="D9381" i="1"/>
  <c r="D9380" i="1"/>
  <c r="D9379" i="1"/>
  <c r="D9378" i="1"/>
  <c r="D9377" i="1"/>
  <c r="D9376" i="1"/>
  <c r="D9375" i="1"/>
  <c r="D9374" i="1"/>
  <c r="D9373" i="1"/>
  <c r="D9372" i="1"/>
  <c r="D9369" i="1"/>
  <c r="D9368" i="1"/>
  <c r="D9367" i="1"/>
  <c r="D9366" i="1"/>
  <c r="D9365" i="1"/>
  <c r="D9361" i="1"/>
  <c r="D9360" i="1"/>
  <c r="D9359" i="1"/>
  <c r="D9358" i="1"/>
  <c r="D9357" i="1"/>
  <c r="D9356" i="1"/>
  <c r="D9355" i="1"/>
  <c r="D9354" i="1"/>
  <c r="D9353" i="1"/>
  <c r="D9352" i="1"/>
  <c r="D9351" i="1"/>
  <c r="D9350" i="1"/>
  <c r="D9348" i="1"/>
  <c r="D9347" i="1"/>
  <c r="D9346" i="1"/>
  <c r="D9344" i="1"/>
  <c r="D9342" i="1"/>
  <c r="D9341" i="1"/>
  <c r="D9340" i="1"/>
  <c r="D9339" i="1"/>
  <c r="D9338" i="1"/>
  <c r="D9337" i="1"/>
  <c r="D9336" i="1"/>
  <c r="D9335" i="1"/>
  <c r="D9333" i="1"/>
  <c r="D9329" i="1"/>
  <c r="D9328" i="1"/>
  <c r="D9327" i="1"/>
  <c r="D9326" i="1"/>
  <c r="D9325" i="1"/>
  <c r="D9324" i="1"/>
  <c r="D9323" i="1"/>
  <c r="D9322" i="1"/>
  <c r="D9321" i="1"/>
  <c r="D9320" i="1"/>
  <c r="D9319" i="1"/>
  <c r="D9318" i="1"/>
  <c r="D9317" i="1"/>
  <c r="D9315" i="1"/>
  <c r="D9314" i="1"/>
  <c r="D9313" i="1"/>
  <c r="D9312" i="1"/>
  <c r="D9311" i="1"/>
  <c r="D9310" i="1"/>
  <c r="D9309" i="1"/>
  <c r="D9308" i="1"/>
  <c r="D9307" i="1"/>
  <c r="D9306" i="1"/>
  <c r="D9305" i="1"/>
  <c r="D9304" i="1"/>
  <c r="D9303" i="1"/>
  <c r="D9302" i="1"/>
  <c r="D9300" i="1"/>
  <c r="D9299" i="1"/>
  <c r="D9298" i="1"/>
  <c r="D9297" i="1"/>
  <c r="D9296" i="1"/>
  <c r="D9295" i="1"/>
  <c r="D9294" i="1"/>
  <c r="D9293" i="1"/>
  <c r="D9292" i="1"/>
  <c r="D9291" i="1"/>
  <c r="D9290" i="1"/>
  <c r="D9289" i="1"/>
  <c r="D9288" i="1"/>
  <c r="D9287" i="1"/>
  <c r="D9286" i="1"/>
  <c r="D9285" i="1"/>
  <c r="D9284" i="1"/>
  <c r="D9283" i="1"/>
  <c r="D9282" i="1"/>
  <c r="D9281" i="1"/>
  <c r="D9280" i="1"/>
  <c r="D9279" i="1"/>
  <c r="D9278" i="1"/>
  <c r="D9277" i="1"/>
  <c r="D9276" i="1"/>
  <c r="D9275" i="1"/>
  <c r="D9274" i="1"/>
  <c r="D9273" i="1"/>
  <c r="D9272" i="1"/>
  <c r="D9271" i="1"/>
  <c r="D9270" i="1"/>
  <c r="D9269" i="1"/>
  <c r="D9268" i="1"/>
  <c r="D9267" i="1"/>
  <c r="D9266" i="1"/>
  <c r="D9265" i="1"/>
  <c r="D9263" i="1"/>
  <c r="D9262" i="1"/>
  <c r="D9261" i="1"/>
  <c r="D9260" i="1"/>
  <c r="D9259" i="1"/>
  <c r="D9258" i="1"/>
  <c r="D9257" i="1"/>
  <c r="D9255" i="1"/>
  <c r="D9253" i="1"/>
  <c r="D9251" i="1"/>
  <c r="D9249" i="1"/>
  <c r="D9248" i="1"/>
  <c r="D9247" i="1"/>
  <c r="D9246" i="1"/>
  <c r="D9245" i="1"/>
  <c r="D9244" i="1"/>
  <c r="D9243" i="1"/>
  <c r="D9242" i="1"/>
  <c r="D9241" i="1"/>
  <c r="D9240" i="1"/>
  <c r="D9239" i="1"/>
  <c r="D9238" i="1"/>
  <c r="D9237" i="1"/>
  <c r="D9236" i="1"/>
  <c r="D9235" i="1"/>
  <c r="D9234" i="1"/>
  <c r="D9233" i="1"/>
  <c r="D9232" i="1"/>
  <c r="D9231" i="1"/>
  <c r="D9230" i="1"/>
  <c r="D9229" i="1"/>
  <c r="D9228" i="1"/>
  <c r="D9227" i="1"/>
  <c r="D9226" i="1"/>
  <c r="D9225" i="1"/>
  <c r="D9224" i="1"/>
  <c r="D9223" i="1"/>
  <c r="D9222" i="1"/>
  <c r="D9221" i="1"/>
  <c r="D9220" i="1"/>
  <c r="D9218" i="1"/>
  <c r="D9217" i="1"/>
  <c r="D9216" i="1"/>
  <c r="D9215" i="1"/>
  <c r="D9214" i="1"/>
  <c r="D9213" i="1"/>
  <c r="D9212" i="1"/>
  <c r="D9211" i="1"/>
  <c r="D9210" i="1"/>
  <c r="D9209" i="1"/>
  <c r="D9208" i="1"/>
  <c r="D9207" i="1"/>
  <c r="D9206" i="1"/>
  <c r="D9205" i="1"/>
  <c r="D9204" i="1"/>
  <c r="D9203" i="1"/>
  <c r="D9202" i="1"/>
  <c r="D9201" i="1"/>
  <c r="D9200" i="1"/>
  <c r="D9199" i="1"/>
  <c r="D9198" i="1"/>
  <c r="D9197" i="1"/>
  <c r="D9196" i="1"/>
  <c r="D9195" i="1"/>
  <c r="D9194" i="1"/>
  <c r="D9193" i="1"/>
  <c r="D9192" i="1"/>
  <c r="D9191" i="1"/>
  <c r="D9190" i="1"/>
  <c r="D9187" i="1"/>
  <c r="D9186" i="1"/>
  <c r="D9185" i="1"/>
  <c r="D9184" i="1"/>
  <c r="D9183" i="1"/>
  <c r="D9181" i="1"/>
  <c r="D9180" i="1"/>
  <c r="D9179" i="1"/>
  <c r="D9178" i="1"/>
  <c r="D9177" i="1"/>
  <c r="D9176" i="1"/>
  <c r="D9175" i="1"/>
  <c r="D9174" i="1"/>
  <c r="D9173" i="1"/>
  <c r="D9172" i="1"/>
  <c r="D9171" i="1"/>
  <c r="D9170" i="1"/>
  <c r="D9169" i="1"/>
  <c r="D9168" i="1"/>
  <c r="D9167" i="1"/>
  <c r="D9165" i="1"/>
  <c r="D9163" i="1"/>
  <c r="D9162" i="1"/>
  <c r="D9161" i="1"/>
  <c r="D9160" i="1"/>
  <c r="D9159" i="1"/>
  <c r="D9158" i="1"/>
  <c r="D9157" i="1"/>
  <c r="D9156" i="1"/>
  <c r="D9155" i="1"/>
  <c r="D9154" i="1"/>
  <c r="D9153" i="1"/>
  <c r="D9152" i="1"/>
  <c r="D9151" i="1"/>
  <c r="D9150" i="1"/>
  <c r="D9149" i="1"/>
  <c r="D9148" i="1"/>
  <c r="D9147" i="1"/>
  <c r="D9146" i="1"/>
  <c r="D9145" i="1"/>
  <c r="D9144" i="1"/>
  <c r="D9143" i="1"/>
  <c r="D9142" i="1"/>
  <c r="D9141" i="1"/>
  <c r="D9140" i="1"/>
  <c r="D9139" i="1"/>
  <c r="D9138" i="1"/>
  <c r="D9137" i="1"/>
  <c r="D9135" i="1"/>
  <c r="D9134" i="1"/>
  <c r="D9133" i="1"/>
  <c r="D9132" i="1"/>
  <c r="D9131" i="1"/>
  <c r="D9130" i="1"/>
  <c r="D9128" i="1"/>
  <c r="D9127" i="1"/>
  <c r="D9125" i="1"/>
  <c r="D9123" i="1"/>
  <c r="D9122" i="1"/>
  <c r="D9119" i="1"/>
  <c r="D9118" i="1"/>
  <c r="D9117" i="1"/>
  <c r="D9116" i="1"/>
  <c r="D9115" i="1"/>
  <c r="D9112" i="1"/>
  <c r="D9111" i="1"/>
  <c r="D9110" i="1"/>
  <c r="D9109" i="1"/>
  <c r="D9108" i="1"/>
  <c r="D9107" i="1"/>
  <c r="D9106" i="1"/>
  <c r="D9105" i="1"/>
  <c r="D9104" i="1"/>
  <c r="D9103" i="1"/>
  <c r="D9100" i="1"/>
  <c r="D9099" i="1"/>
  <c r="D9098" i="1"/>
  <c r="D9097" i="1"/>
  <c r="D9096" i="1"/>
  <c r="D9095" i="1"/>
  <c r="D9094" i="1"/>
  <c r="D9093" i="1"/>
  <c r="D9092" i="1"/>
  <c r="D9091" i="1"/>
  <c r="D9090" i="1"/>
  <c r="D9089" i="1"/>
  <c r="D9088" i="1"/>
  <c r="D9086" i="1"/>
  <c r="D9085" i="1"/>
  <c r="D9084" i="1"/>
  <c r="D9082" i="1"/>
  <c r="D9080" i="1"/>
  <c r="D9079" i="1"/>
  <c r="D9078" i="1"/>
  <c r="D9077" i="1"/>
  <c r="D9076" i="1"/>
  <c r="D9075" i="1"/>
  <c r="D9074" i="1"/>
  <c r="D9073" i="1"/>
  <c r="D9072" i="1"/>
  <c r="D9071" i="1"/>
  <c r="D9070" i="1"/>
  <c r="D9069" i="1"/>
  <c r="D9068" i="1"/>
  <c r="D9066" i="1"/>
  <c r="D9065" i="1"/>
  <c r="D9064" i="1"/>
  <c r="D9063" i="1"/>
  <c r="D9062" i="1"/>
  <c r="D9061" i="1"/>
  <c r="D9059" i="1"/>
  <c r="D9058" i="1"/>
  <c r="D9057" i="1"/>
  <c r="D9056" i="1"/>
  <c r="D9055" i="1"/>
  <c r="D9054" i="1"/>
  <c r="D9053" i="1"/>
  <c r="D9052" i="1"/>
  <c r="D9051" i="1"/>
  <c r="D9050" i="1"/>
  <c r="D9049" i="1"/>
  <c r="D9048" i="1"/>
  <c r="D9047" i="1"/>
  <c r="D9046" i="1"/>
  <c r="D9045" i="1"/>
  <c r="D9044" i="1"/>
  <c r="D9043" i="1"/>
  <c r="D9042" i="1"/>
  <c r="D9041" i="1"/>
  <c r="D9040" i="1"/>
  <c r="D9039" i="1"/>
  <c r="D9038" i="1"/>
  <c r="D9037" i="1"/>
  <c r="D9036" i="1"/>
  <c r="D9035" i="1"/>
  <c r="D9034" i="1"/>
  <c r="D9033" i="1"/>
  <c r="D9031" i="1"/>
  <c r="D9030" i="1"/>
  <c r="D9029" i="1"/>
  <c r="D9028" i="1"/>
  <c r="D9027" i="1"/>
  <c r="D9026" i="1"/>
  <c r="D9025" i="1"/>
  <c r="D9024" i="1"/>
  <c r="D9023" i="1"/>
  <c r="D9022" i="1"/>
  <c r="D9021" i="1"/>
  <c r="D9020" i="1"/>
  <c r="D9019" i="1"/>
  <c r="D9018" i="1"/>
  <c r="D9017" i="1"/>
  <c r="D9016" i="1"/>
  <c r="D9015" i="1"/>
  <c r="D9014" i="1"/>
  <c r="D9013" i="1"/>
  <c r="D9012" i="1"/>
  <c r="D9011" i="1"/>
  <c r="D9010" i="1"/>
  <c r="D9009" i="1"/>
  <c r="D9008" i="1"/>
  <c r="D9007" i="1"/>
  <c r="D9006" i="1"/>
  <c r="D9005" i="1"/>
  <c r="D9004" i="1"/>
  <c r="D9003" i="1"/>
  <c r="D9002" i="1"/>
  <c r="D9001" i="1"/>
  <c r="D9000" i="1"/>
  <c r="D8999" i="1"/>
  <c r="D8998" i="1"/>
  <c r="D8997" i="1"/>
  <c r="D8996" i="1"/>
  <c r="D8995" i="1"/>
  <c r="D8994" i="1"/>
  <c r="D8993" i="1"/>
  <c r="D8991" i="1"/>
  <c r="D8990" i="1"/>
  <c r="D8989" i="1"/>
  <c r="D8988" i="1"/>
  <c r="D8987" i="1"/>
  <c r="D8986" i="1"/>
  <c r="D8985" i="1"/>
  <c r="D8984" i="1"/>
  <c r="D8982" i="1"/>
  <c r="D8981" i="1"/>
  <c r="D8979" i="1"/>
  <c r="D8978" i="1"/>
  <c r="D8977" i="1"/>
  <c r="D8976" i="1"/>
  <c r="D8975" i="1"/>
  <c r="D8974" i="1"/>
  <c r="D8973" i="1"/>
  <c r="D8972" i="1"/>
  <c r="D8971" i="1"/>
  <c r="D8970" i="1"/>
  <c r="D8969" i="1"/>
  <c r="D8968" i="1"/>
  <c r="D8967" i="1"/>
  <c r="D8966" i="1"/>
  <c r="D8965" i="1"/>
  <c r="D8964" i="1"/>
  <c r="D8963" i="1"/>
  <c r="D8962" i="1"/>
  <c r="D8961" i="1"/>
  <c r="D8960" i="1"/>
  <c r="D8959" i="1"/>
  <c r="D8958" i="1"/>
  <c r="D8957" i="1"/>
  <c r="D8956" i="1"/>
  <c r="D8955" i="1"/>
  <c r="D8954" i="1"/>
  <c r="D8953" i="1"/>
  <c r="D8952" i="1"/>
  <c r="D8951" i="1"/>
  <c r="D8950" i="1"/>
  <c r="D8949" i="1"/>
  <c r="D8948" i="1"/>
  <c r="D8947" i="1"/>
  <c r="D8945" i="1"/>
  <c r="D8944" i="1"/>
  <c r="D8943" i="1"/>
  <c r="D8942" i="1"/>
  <c r="D8941" i="1"/>
  <c r="D8940" i="1"/>
  <c r="D8939" i="1"/>
  <c r="D8938" i="1"/>
  <c r="D8937" i="1"/>
  <c r="D8936" i="1"/>
  <c r="D8935" i="1"/>
  <c r="D8932" i="1"/>
  <c r="D8931" i="1"/>
  <c r="D8930" i="1"/>
  <c r="D8929" i="1"/>
  <c r="D8928" i="1"/>
  <c r="D8927" i="1"/>
  <c r="D8926" i="1"/>
  <c r="D8925" i="1"/>
  <c r="D8924" i="1"/>
  <c r="D8923" i="1"/>
  <c r="D8922" i="1"/>
  <c r="D8921" i="1"/>
  <c r="D8920" i="1"/>
  <c r="D8919" i="1"/>
  <c r="D8918" i="1"/>
  <c r="D8917" i="1"/>
  <c r="D8916" i="1"/>
  <c r="D8915" i="1"/>
  <c r="D8914" i="1"/>
  <c r="D8913" i="1"/>
  <c r="D8912" i="1"/>
  <c r="D8911" i="1"/>
  <c r="D8910" i="1"/>
  <c r="D8909" i="1"/>
  <c r="D8908" i="1"/>
  <c r="D8907" i="1"/>
  <c r="D8906" i="1"/>
  <c r="D8905" i="1"/>
  <c r="D8904" i="1"/>
  <c r="D8903" i="1"/>
  <c r="D8902" i="1"/>
  <c r="D8901" i="1"/>
  <c r="D8900" i="1"/>
  <c r="D8899" i="1"/>
  <c r="D8898" i="1"/>
  <c r="D8897" i="1"/>
  <c r="D8896" i="1"/>
  <c r="D8895" i="1"/>
  <c r="D8894" i="1"/>
  <c r="D8893" i="1"/>
  <c r="D8892" i="1"/>
  <c r="D8891" i="1"/>
  <c r="D8890" i="1"/>
  <c r="D8889" i="1"/>
  <c r="D8886" i="1"/>
  <c r="D8885" i="1"/>
  <c r="D8884" i="1"/>
  <c r="D8883" i="1"/>
  <c r="D8882" i="1"/>
  <c r="D8881" i="1"/>
  <c r="D8880" i="1"/>
  <c r="D8879" i="1"/>
  <c r="D8878" i="1"/>
  <c r="D8877" i="1"/>
  <c r="D8876" i="1"/>
  <c r="D8875" i="1"/>
  <c r="D8874" i="1"/>
  <c r="D8873" i="1"/>
  <c r="D8872" i="1"/>
  <c r="D8871" i="1"/>
  <c r="D8870" i="1"/>
  <c r="D8869" i="1"/>
  <c r="D8868" i="1"/>
  <c r="D8867" i="1"/>
  <c r="D8866" i="1"/>
  <c r="D8865" i="1"/>
  <c r="D8864" i="1"/>
  <c r="D8863" i="1"/>
  <c r="D8862" i="1"/>
  <c r="D8861" i="1"/>
  <c r="D8860" i="1"/>
  <c r="D8859" i="1"/>
  <c r="D8858" i="1"/>
  <c r="D8857" i="1"/>
  <c r="D8856" i="1"/>
  <c r="D8855" i="1"/>
  <c r="D8854" i="1"/>
  <c r="D8853" i="1"/>
  <c r="D8852" i="1"/>
  <c r="D8851" i="1"/>
  <c r="D8850" i="1"/>
  <c r="D8849" i="1"/>
  <c r="D8848" i="1"/>
  <c r="D8847" i="1"/>
  <c r="D8846" i="1"/>
  <c r="D8845" i="1"/>
  <c r="D8844" i="1"/>
  <c r="D8843" i="1"/>
  <c r="D8842" i="1"/>
  <c r="D8841" i="1"/>
  <c r="D8840" i="1"/>
  <c r="D8839" i="1"/>
  <c r="D8838" i="1"/>
  <c r="D8837" i="1"/>
  <c r="D8836" i="1"/>
  <c r="D8835" i="1"/>
  <c r="D8834" i="1"/>
  <c r="D8833" i="1"/>
  <c r="D8832" i="1"/>
  <c r="D8831" i="1"/>
  <c r="D8830" i="1"/>
  <c r="D8829" i="1"/>
  <c r="D8828" i="1"/>
  <c r="D8827" i="1"/>
  <c r="D8826" i="1"/>
  <c r="D8825" i="1"/>
  <c r="D8824" i="1"/>
  <c r="D8823" i="1"/>
  <c r="D8822" i="1"/>
  <c r="D8821" i="1"/>
  <c r="D8819" i="1"/>
  <c r="D8818" i="1"/>
  <c r="D8817" i="1"/>
  <c r="D8816" i="1"/>
  <c r="D8815" i="1"/>
  <c r="D8814" i="1"/>
  <c r="D8813" i="1"/>
  <c r="D8812" i="1"/>
  <c r="D8811" i="1"/>
  <c r="D8810" i="1"/>
  <c r="D8809" i="1"/>
  <c r="D8808" i="1"/>
  <c r="D8807" i="1"/>
  <c r="D8806" i="1"/>
  <c r="D8805" i="1"/>
  <c r="D8804" i="1"/>
  <c r="D8803" i="1"/>
  <c r="D8802" i="1"/>
  <c r="D8801" i="1"/>
  <c r="D8800" i="1"/>
  <c r="D8797" i="1"/>
  <c r="D8795" i="1"/>
  <c r="D8792" i="1"/>
  <c r="D8791" i="1"/>
  <c r="D8790" i="1"/>
  <c r="D8789" i="1"/>
  <c r="D8788" i="1"/>
  <c r="D8787" i="1"/>
  <c r="D8786" i="1"/>
  <c r="D8785" i="1"/>
  <c r="D8784" i="1"/>
  <c r="D8783" i="1"/>
  <c r="D8782" i="1"/>
  <c r="D8781" i="1"/>
  <c r="D8780" i="1"/>
  <c r="D8779" i="1"/>
  <c r="D8778" i="1"/>
  <c r="D8777" i="1"/>
  <c r="D8776" i="1"/>
  <c r="D8775" i="1"/>
  <c r="D8774" i="1"/>
  <c r="D8772" i="1"/>
  <c r="D8771" i="1"/>
  <c r="D8770" i="1"/>
  <c r="D8769" i="1"/>
  <c r="D8768" i="1"/>
  <c r="D8767" i="1"/>
  <c r="D8766" i="1"/>
  <c r="D8765" i="1"/>
  <c r="D8764" i="1"/>
  <c r="D8763" i="1"/>
  <c r="D8762" i="1"/>
  <c r="D8761" i="1"/>
  <c r="D8760" i="1"/>
  <c r="D8759" i="1"/>
  <c r="D8758" i="1"/>
  <c r="D8757" i="1"/>
  <c r="D8756" i="1"/>
  <c r="D8755" i="1"/>
  <c r="D8754" i="1"/>
  <c r="D8753" i="1"/>
  <c r="D8752" i="1"/>
  <c r="D8751" i="1"/>
  <c r="D8750" i="1"/>
  <c r="D8749" i="1"/>
  <c r="D8748" i="1"/>
  <c r="D8747" i="1"/>
  <c r="D8746" i="1"/>
  <c r="D8745" i="1"/>
  <c r="D8744" i="1"/>
  <c r="D8743" i="1"/>
  <c r="D8742" i="1"/>
  <c r="D8741" i="1"/>
  <c r="D8740" i="1"/>
  <c r="D8739" i="1"/>
  <c r="D8738" i="1"/>
  <c r="D8737" i="1"/>
  <c r="D8736" i="1"/>
  <c r="D8735" i="1"/>
  <c r="D8734" i="1"/>
  <c r="D8733" i="1"/>
  <c r="D8732" i="1"/>
  <c r="D8731" i="1"/>
  <c r="D8730" i="1"/>
  <c r="D8729" i="1"/>
  <c r="D8728" i="1"/>
  <c r="D8727" i="1"/>
  <c r="D8726" i="1"/>
  <c r="D8725" i="1"/>
  <c r="D8724" i="1"/>
  <c r="D8723" i="1"/>
  <c r="D8721" i="1"/>
  <c r="D8720" i="1"/>
  <c r="D8719" i="1"/>
  <c r="D8718" i="1"/>
  <c r="D8717" i="1"/>
  <c r="D8716" i="1"/>
  <c r="D8715" i="1"/>
  <c r="D8714" i="1"/>
  <c r="D8713" i="1"/>
  <c r="D8712" i="1"/>
  <c r="D8711" i="1"/>
  <c r="D8710" i="1"/>
  <c r="D8709" i="1"/>
  <c r="D8708" i="1"/>
  <c r="D8707" i="1"/>
  <c r="D8706" i="1"/>
  <c r="D8705" i="1"/>
  <c r="D8704" i="1"/>
  <c r="D8703" i="1"/>
  <c r="D8702" i="1"/>
  <c r="D8701" i="1"/>
  <c r="D8700" i="1"/>
  <c r="D8699" i="1"/>
  <c r="D8698" i="1"/>
  <c r="D8697" i="1"/>
  <c r="D8696" i="1"/>
  <c r="D8695" i="1"/>
  <c r="D8694" i="1"/>
  <c r="D8693" i="1"/>
  <c r="D8692" i="1"/>
  <c r="D8691" i="1"/>
  <c r="D8690" i="1"/>
  <c r="D8689" i="1"/>
  <c r="D8688" i="1"/>
  <c r="D8687" i="1"/>
  <c r="D8686" i="1"/>
  <c r="D8685" i="1"/>
  <c r="D8684" i="1"/>
  <c r="D8683" i="1"/>
  <c r="D8682" i="1"/>
  <c r="D8681" i="1"/>
  <c r="D8680" i="1"/>
  <c r="D8679" i="1"/>
  <c r="D8678" i="1"/>
  <c r="D8677" i="1"/>
  <c r="D8676" i="1"/>
  <c r="D8675" i="1"/>
  <c r="D8674" i="1"/>
  <c r="D8673" i="1"/>
  <c r="D8672" i="1"/>
  <c r="D8671" i="1"/>
  <c r="D8670" i="1"/>
  <c r="D8669" i="1"/>
  <c r="D8668" i="1"/>
  <c r="D8667" i="1"/>
  <c r="D8666" i="1"/>
  <c r="D8665" i="1"/>
  <c r="D8664" i="1"/>
  <c r="D8663" i="1"/>
  <c r="D8661" i="1"/>
  <c r="D8660" i="1"/>
  <c r="D8659" i="1"/>
  <c r="D8658" i="1"/>
  <c r="D8657" i="1"/>
  <c r="D8656" i="1"/>
  <c r="D8655" i="1"/>
  <c r="D8654" i="1"/>
  <c r="D8653" i="1"/>
  <c r="D8651" i="1"/>
  <c r="D8650" i="1"/>
  <c r="D8649" i="1"/>
  <c r="D8647" i="1"/>
  <c r="D8646" i="1"/>
  <c r="D8644" i="1"/>
  <c r="D8643" i="1"/>
  <c r="D8642" i="1"/>
  <c r="D8640" i="1"/>
  <c r="D8639" i="1"/>
  <c r="D8637" i="1"/>
  <c r="D8636" i="1"/>
  <c r="D8635" i="1"/>
  <c r="D8634" i="1"/>
  <c r="D8633" i="1"/>
  <c r="D8632" i="1"/>
  <c r="D8631" i="1"/>
  <c r="D8630" i="1"/>
  <c r="D8629" i="1"/>
  <c r="D8628" i="1"/>
  <c r="D8627" i="1"/>
  <c r="D8626" i="1"/>
  <c r="D8625" i="1"/>
  <c r="D8623" i="1"/>
  <c r="D8622" i="1"/>
  <c r="D8621" i="1"/>
  <c r="D8620" i="1"/>
  <c r="D8619" i="1"/>
  <c r="D8618" i="1"/>
  <c r="D8616" i="1"/>
  <c r="D8615" i="1"/>
  <c r="D8614" i="1"/>
  <c r="D8613" i="1"/>
  <c r="D8612" i="1"/>
  <c r="D8611" i="1"/>
  <c r="D8610" i="1"/>
  <c r="D8609" i="1"/>
  <c r="D8608" i="1"/>
  <c r="D8607" i="1"/>
  <c r="D8606" i="1"/>
  <c r="D8605" i="1"/>
  <c r="D8604" i="1"/>
  <c r="D8603" i="1"/>
  <c r="D8602" i="1"/>
  <c r="D8601" i="1"/>
  <c r="D8600" i="1"/>
  <c r="D8599" i="1"/>
  <c r="D8598" i="1"/>
  <c r="D8595" i="1"/>
  <c r="D8593" i="1"/>
  <c r="D8590" i="1"/>
  <c r="D8589" i="1"/>
  <c r="D8588" i="1"/>
  <c r="D8587" i="1"/>
  <c r="D8586" i="1"/>
  <c r="D8585" i="1"/>
  <c r="D8584" i="1"/>
  <c r="D8583" i="1"/>
  <c r="D8582" i="1"/>
  <c r="D8581" i="1"/>
  <c r="D8580" i="1"/>
  <c r="D8579" i="1"/>
  <c r="D8578" i="1"/>
  <c r="D8577" i="1"/>
  <c r="D8575" i="1"/>
  <c r="D8574" i="1"/>
  <c r="D8573" i="1"/>
  <c r="D8572" i="1"/>
  <c r="D8571" i="1"/>
  <c r="D8570" i="1"/>
  <c r="D8569" i="1"/>
  <c r="D8568" i="1"/>
  <c r="D8567" i="1"/>
  <c r="D8566" i="1"/>
  <c r="D8565" i="1"/>
  <c r="D8564" i="1"/>
  <c r="D8563" i="1"/>
  <c r="D8562" i="1"/>
  <c r="D8561" i="1"/>
  <c r="D8560" i="1"/>
  <c r="D8559" i="1"/>
  <c r="D8558" i="1"/>
  <c r="D8557" i="1"/>
  <c r="D8556" i="1"/>
  <c r="D8555" i="1"/>
  <c r="D8554" i="1"/>
  <c r="D8553" i="1"/>
  <c r="D8552" i="1"/>
  <c r="D8550" i="1"/>
  <c r="D8547" i="1"/>
  <c r="D8546" i="1"/>
  <c r="D8545" i="1"/>
  <c r="D8544" i="1"/>
  <c r="D8543" i="1"/>
  <c r="D8542" i="1"/>
  <c r="D8541" i="1"/>
  <c r="D8540" i="1"/>
  <c r="D8538" i="1"/>
  <c r="D8537" i="1"/>
  <c r="D8536" i="1"/>
  <c r="D8535" i="1"/>
  <c r="D8534" i="1"/>
  <c r="D8533" i="1"/>
  <c r="D8532" i="1"/>
  <c r="D8531" i="1"/>
  <c r="D8530" i="1"/>
  <c r="D8529" i="1"/>
  <c r="D8528" i="1"/>
  <c r="D8527" i="1"/>
  <c r="D8526" i="1"/>
  <c r="D8525" i="1"/>
  <c r="D8524" i="1"/>
  <c r="D8523" i="1"/>
  <c r="D8522" i="1"/>
  <c r="D8521" i="1"/>
  <c r="D8520" i="1"/>
  <c r="D8519" i="1"/>
  <c r="D8518" i="1"/>
  <c r="D8517" i="1"/>
  <c r="D8516" i="1"/>
  <c r="D8515" i="1"/>
  <c r="D8514" i="1"/>
  <c r="D8513" i="1"/>
  <c r="D8512" i="1"/>
  <c r="D8511" i="1"/>
  <c r="D8510" i="1"/>
  <c r="D8509" i="1"/>
  <c r="D8508" i="1"/>
  <c r="D8507" i="1"/>
  <c r="D8506" i="1"/>
  <c r="D8505" i="1"/>
  <c r="D8504" i="1"/>
  <c r="D8503" i="1"/>
  <c r="D8502" i="1"/>
  <c r="D8501" i="1"/>
  <c r="D8500" i="1"/>
  <c r="D8499" i="1"/>
  <c r="D8498" i="1"/>
  <c r="D8497" i="1"/>
  <c r="D8496" i="1"/>
  <c r="D8495" i="1"/>
  <c r="D8494" i="1"/>
  <c r="D8493" i="1"/>
  <c r="D8492" i="1"/>
  <c r="D8491" i="1"/>
  <c r="D8490" i="1"/>
  <c r="D8489" i="1"/>
  <c r="D8488" i="1"/>
  <c r="D8487" i="1"/>
  <c r="D8486" i="1"/>
  <c r="D8485" i="1"/>
  <c r="D8484" i="1"/>
  <c r="D8483" i="1"/>
  <c r="D8482" i="1"/>
  <c r="D8481" i="1"/>
  <c r="D8480" i="1"/>
  <c r="D8478" i="1"/>
  <c r="D8477" i="1"/>
  <c r="D8476" i="1"/>
  <c r="D8475" i="1"/>
  <c r="D8474" i="1"/>
  <c r="D8473" i="1"/>
  <c r="D8472" i="1"/>
  <c r="D8471" i="1"/>
  <c r="D8470" i="1"/>
  <c r="D8469" i="1"/>
  <c r="D8468" i="1"/>
  <c r="D8467" i="1"/>
  <c r="D8464" i="1"/>
  <c r="D8463" i="1"/>
  <c r="D8462" i="1"/>
  <c r="D8461" i="1"/>
  <c r="D8459" i="1"/>
  <c r="D8458" i="1"/>
  <c r="D8457" i="1"/>
  <c r="D8456" i="1"/>
  <c r="D8455" i="1"/>
  <c r="D8454" i="1"/>
  <c r="D8453" i="1"/>
  <c r="D8452" i="1"/>
  <c r="D8450" i="1"/>
  <c r="D8448" i="1"/>
  <c r="D8447" i="1"/>
  <c r="D8446" i="1"/>
  <c r="D8445" i="1"/>
  <c r="D8444" i="1"/>
  <c r="D8443" i="1"/>
  <c r="D8442" i="1"/>
  <c r="D8441" i="1"/>
  <c r="D8440" i="1"/>
  <c r="D8439" i="1"/>
  <c r="D8438" i="1"/>
  <c r="D8437" i="1"/>
  <c r="D8436" i="1"/>
  <c r="D8435" i="1"/>
  <c r="D8434" i="1"/>
  <c r="D8433" i="1"/>
  <c r="D8432" i="1"/>
  <c r="D8431" i="1"/>
  <c r="D8430" i="1"/>
  <c r="D8428" i="1"/>
  <c r="D8427" i="1"/>
  <c r="D8426" i="1"/>
  <c r="D8425" i="1"/>
  <c r="D8424" i="1"/>
  <c r="D8423" i="1"/>
  <c r="D8422" i="1"/>
  <c r="D8421" i="1"/>
  <c r="D8420" i="1"/>
  <c r="D8419" i="1"/>
  <c r="D8418" i="1"/>
  <c r="D8417" i="1"/>
  <c r="D8416" i="1"/>
  <c r="D8415" i="1"/>
  <c r="D8414" i="1"/>
  <c r="D8413" i="1"/>
  <c r="D8412" i="1"/>
  <c r="D8411" i="1"/>
  <c r="D8410" i="1"/>
  <c r="D8409" i="1"/>
  <c r="D8408" i="1"/>
  <c r="D8407" i="1"/>
  <c r="D8406" i="1"/>
  <c r="D8405" i="1"/>
  <c r="D8404" i="1"/>
  <c r="D8403" i="1"/>
  <c r="D8402" i="1"/>
  <c r="D8401" i="1"/>
  <c r="D8400" i="1"/>
  <c r="D8399" i="1"/>
  <c r="D8398" i="1"/>
  <c r="D8397" i="1"/>
  <c r="D8396" i="1"/>
  <c r="D8395" i="1"/>
  <c r="D8394" i="1"/>
  <c r="D8393" i="1"/>
  <c r="D8392" i="1"/>
  <c r="D8391" i="1"/>
  <c r="D8390" i="1"/>
  <c r="D8389" i="1"/>
  <c r="D8388" i="1"/>
  <c r="D8387" i="1"/>
  <c r="D8386" i="1"/>
  <c r="D8385" i="1"/>
  <c r="D8384" i="1"/>
  <c r="D8383" i="1"/>
  <c r="D8382" i="1"/>
  <c r="D8381" i="1"/>
  <c r="D8380" i="1"/>
  <c r="D8379" i="1"/>
  <c r="D8378" i="1"/>
  <c r="D8377" i="1"/>
  <c r="D8376" i="1"/>
  <c r="D8374" i="1"/>
  <c r="D8373" i="1"/>
  <c r="D8372" i="1"/>
  <c r="D8371" i="1"/>
  <c r="D8370" i="1"/>
  <c r="D8369" i="1"/>
  <c r="D8368" i="1"/>
  <c r="D8367" i="1"/>
  <c r="D8366" i="1"/>
  <c r="D8365" i="1"/>
  <c r="D8364" i="1"/>
  <c r="D8363" i="1"/>
  <c r="D8362" i="1"/>
  <c r="D8361" i="1"/>
  <c r="D8360" i="1"/>
  <c r="D8359" i="1"/>
  <c r="D8358" i="1"/>
  <c r="D8356" i="1"/>
  <c r="D8355" i="1"/>
  <c r="D8354" i="1"/>
  <c r="D8353" i="1"/>
  <c r="D8352" i="1"/>
  <c r="D8351" i="1"/>
  <c r="D8350" i="1"/>
  <c r="D8349" i="1"/>
  <c r="D8348" i="1"/>
  <c r="D8347" i="1"/>
  <c r="D8346" i="1"/>
  <c r="D8345" i="1"/>
  <c r="D8344" i="1"/>
  <c r="D8343" i="1"/>
  <c r="D8342" i="1"/>
  <c r="D8341" i="1"/>
  <c r="D8340" i="1"/>
  <c r="D8339" i="1"/>
  <c r="D8338" i="1"/>
  <c r="D8337" i="1"/>
  <c r="D8336" i="1"/>
  <c r="D8335" i="1"/>
  <c r="D8334" i="1"/>
  <c r="D8333" i="1"/>
  <c r="D8332" i="1"/>
  <c r="D8331" i="1"/>
  <c r="D8330" i="1"/>
  <c r="D8329" i="1"/>
  <c r="D8328" i="1"/>
  <c r="D8327" i="1"/>
  <c r="D8326" i="1"/>
  <c r="D8325" i="1"/>
  <c r="D8324" i="1"/>
  <c r="D8323" i="1"/>
  <c r="D8321" i="1"/>
  <c r="D8320" i="1"/>
  <c r="D8319" i="1"/>
  <c r="D8318" i="1"/>
  <c r="D8317" i="1"/>
  <c r="D8316" i="1"/>
  <c r="D8315" i="1"/>
  <c r="D8314" i="1"/>
  <c r="D8313" i="1"/>
  <c r="D8312" i="1"/>
  <c r="D8311" i="1"/>
  <c r="D8310" i="1"/>
  <c r="D8309" i="1"/>
  <c r="D8308" i="1"/>
  <c r="D8307" i="1"/>
  <c r="D8305" i="1"/>
  <c r="D8303" i="1"/>
  <c r="D8302" i="1"/>
  <c r="D8301" i="1"/>
  <c r="D8299" i="1"/>
  <c r="D8298" i="1"/>
  <c r="D8297" i="1"/>
  <c r="D8296" i="1"/>
  <c r="D8295" i="1"/>
  <c r="D8294" i="1"/>
  <c r="D8293" i="1"/>
  <c r="D8292" i="1"/>
  <c r="D8290" i="1"/>
  <c r="D8289" i="1"/>
  <c r="D8288" i="1"/>
  <c r="D8287" i="1"/>
  <c r="D8286" i="1"/>
  <c r="D8285" i="1"/>
  <c r="D8284" i="1"/>
  <c r="D8283" i="1"/>
  <c r="D8282" i="1"/>
  <c r="D8281" i="1"/>
  <c r="D8280" i="1"/>
  <c r="D8279" i="1"/>
  <c r="D8278" i="1"/>
  <c r="D8277" i="1"/>
  <c r="D8276" i="1"/>
  <c r="D8275" i="1"/>
  <c r="D8274" i="1"/>
  <c r="D8271" i="1"/>
  <c r="D8270" i="1"/>
  <c r="D8269" i="1"/>
  <c r="D8268" i="1"/>
  <c r="D8266" i="1"/>
  <c r="D8265" i="1"/>
  <c r="D8263" i="1"/>
  <c r="D8261" i="1"/>
  <c r="D8260" i="1"/>
  <c r="D8258" i="1"/>
  <c r="D8257" i="1"/>
  <c r="D8256" i="1"/>
  <c r="D8255" i="1"/>
  <c r="D8254" i="1"/>
  <c r="D8253" i="1"/>
  <c r="D8252" i="1"/>
  <c r="D8250" i="1"/>
  <c r="D8249" i="1"/>
  <c r="D8248" i="1"/>
  <c r="D8247" i="1"/>
  <c r="D8246" i="1"/>
  <c r="D8245" i="1"/>
  <c r="D8242" i="1"/>
  <c r="D8241" i="1"/>
  <c r="D8240" i="1"/>
  <c r="D8237" i="1"/>
  <c r="D8236" i="1"/>
  <c r="D8235" i="1"/>
  <c r="D8234" i="1"/>
  <c r="D8233" i="1"/>
  <c r="D8232" i="1"/>
  <c r="D8231" i="1"/>
  <c r="D8230" i="1"/>
  <c r="D8228" i="1"/>
  <c r="D8227" i="1"/>
  <c r="D8226" i="1"/>
  <c r="D8225" i="1"/>
  <c r="D8224" i="1"/>
  <c r="D8223" i="1"/>
  <c r="D8222" i="1"/>
  <c r="D8221" i="1"/>
  <c r="D8220" i="1"/>
  <c r="D8219" i="1"/>
  <c r="D8218" i="1"/>
  <c r="D8217" i="1"/>
  <c r="D8216" i="1"/>
  <c r="D8215" i="1"/>
  <c r="D8214" i="1"/>
  <c r="D8213" i="1"/>
  <c r="D8212" i="1"/>
  <c r="D8211" i="1"/>
  <c r="D8210" i="1"/>
  <c r="D8209" i="1"/>
  <c r="D8208" i="1"/>
  <c r="D8207" i="1"/>
  <c r="D8206" i="1"/>
  <c r="D8205" i="1"/>
  <c r="D8204" i="1"/>
  <c r="D8203" i="1"/>
  <c r="D8201" i="1"/>
  <c r="D8200" i="1"/>
  <c r="D8199" i="1"/>
  <c r="D8198" i="1"/>
  <c r="D8197" i="1"/>
  <c r="D8196" i="1"/>
  <c r="D8194" i="1"/>
  <c r="D8193" i="1"/>
  <c r="D8192" i="1"/>
  <c r="D8191" i="1"/>
  <c r="D8190" i="1"/>
  <c r="D8186" i="1"/>
  <c r="D8185" i="1"/>
  <c r="D8183" i="1"/>
  <c r="D8182" i="1"/>
  <c r="D8181" i="1"/>
  <c r="D8180" i="1"/>
  <c r="D8179" i="1"/>
  <c r="D8177" i="1"/>
  <c r="D8176" i="1"/>
  <c r="D8175" i="1"/>
  <c r="D8174" i="1"/>
  <c r="D8173" i="1"/>
  <c r="D8172" i="1"/>
  <c r="D8171" i="1"/>
  <c r="D8170" i="1"/>
  <c r="D8169" i="1"/>
  <c r="D8168" i="1"/>
  <c r="D8167" i="1"/>
  <c r="D8166" i="1"/>
  <c r="D8165" i="1"/>
  <c r="D8164" i="1"/>
  <c r="D8163" i="1"/>
  <c r="D8162" i="1"/>
  <c r="D8161" i="1"/>
  <c r="D8160" i="1"/>
  <c r="D8159" i="1"/>
  <c r="D8158" i="1"/>
  <c r="D8157" i="1"/>
  <c r="D8156" i="1"/>
  <c r="D8155" i="1"/>
  <c r="D8154" i="1"/>
  <c r="D8153" i="1"/>
  <c r="D8152" i="1"/>
  <c r="D8151" i="1"/>
  <c r="D8150" i="1"/>
  <c r="D8149" i="1"/>
  <c r="D8148" i="1"/>
  <c r="D8147" i="1"/>
  <c r="D8146" i="1"/>
  <c r="D8145" i="1"/>
  <c r="D8144" i="1"/>
  <c r="D8143" i="1"/>
  <c r="D8142" i="1"/>
  <c r="D8140" i="1"/>
  <c r="D8139" i="1"/>
  <c r="D8138" i="1"/>
  <c r="D8137" i="1"/>
  <c r="D8136" i="1"/>
  <c r="D8135" i="1"/>
  <c r="D8134" i="1"/>
  <c r="D8133" i="1"/>
  <c r="D8132" i="1"/>
  <c r="D8131" i="1"/>
  <c r="D8130" i="1"/>
  <c r="D8129" i="1"/>
  <c r="D8128" i="1"/>
  <c r="D8127" i="1"/>
  <c r="D8126" i="1"/>
  <c r="D8125" i="1"/>
  <c r="D8124" i="1"/>
  <c r="D8123" i="1"/>
  <c r="D8122" i="1"/>
  <c r="D8121" i="1"/>
  <c r="D8120" i="1"/>
  <c r="D8119" i="1"/>
  <c r="D8118" i="1"/>
  <c r="D8117" i="1"/>
  <c r="D8116" i="1"/>
  <c r="D8115" i="1"/>
  <c r="D8114" i="1"/>
  <c r="D8113" i="1"/>
  <c r="D8112" i="1"/>
  <c r="D8111" i="1"/>
  <c r="D8110" i="1"/>
  <c r="D8109" i="1"/>
  <c r="D8108" i="1"/>
  <c r="D8107" i="1"/>
  <c r="D8106" i="1"/>
  <c r="D8105" i="1"/>
  <c r="D8104" i="1"/>
  <c r="D8103" i="1"/>
  <c r="D8102" i="1"/>
  <c r="D8101" i="1"/>
  <c r="D8100" i="1"/>
  <c r="D8099" i="1"/>
  <c r="D8098" i="1"/>
  <c r="D8097" i="1"/>
  <c r="D8096" i="1"/>
  <c r="D8095" i="1"/>
  <c r="D8094" i="1"/>
  <c r="D8093" i="1"/>
  <c r="D8092" i="1"/>
  <c r="D8091" i="1"/>
  <c r="D8090" i="1"/>
  <c r="D8089" i="1"/>
  <c r="D8088" i="1"/>
  <c r="D8087" i="1"/>
  <c r="D8086" i="1"/>
  <c r="D8085" i="1"/>
  <c r="D8084" i="1"/>
  <c r="D8083" i="1"/>
  <c r="D8082" i="1"/>
  <c r="D8081" i="1"/>
  <c r="D8080" i="1"/>
  <c r="D8079" i="1"/>
  <c r="D8078" i="1"/>
  <c r="D8077" i="1"/>
  <c r="D8076" i="1"/>
  <c r="D8075" i="1"/>
  <c r="D8074" i="1"/>
  <c r="D8073" i="1"/>
  <c r="D8072" i="1"/>
  <c r="D8071" i="1"/>
  <c r="D8070" i="1"/>
  <c r="D8069" i="1"/>
  <c r="D8068" i="1"/>
  <c r="D8067" i="1"/>
  <c r="D8066" i="1"/>
  <c r="D8065" i="1"/>
  <c r="D8064" i="1"/>
  <c r="D8063" i="1"/>
  <c r="D8062" i="1"/>
  <c r="D8061" i="1"/>
  <c r="D8060" i="1"/>
  <c r="D8059" i="1"/>
  <c r="D8058" i="1"/>
  <c r="D8057" i="1"/>
  <c r="D8056" i="1"/>
  <c r="D8055" i="1"/>
  <c r="D8054" i="1"/>
  <c r="D8053" i="1"/>
  <c r="D8052" i="1"/>
  <c r="D8051" i="1"/>
  <c r="D8050" i="1"/>
  <c r="D8049" i="1"/>
  <c r="D8048" i="1"/>
  <c r="D8047" i="1"/>
  <c r="D8046" i="1"/>
  <c r="D8045" i="1"/>
  <c r="D8044" i="1"/>
  <c r="D8043" i="1"/>
  <c r="D8042" i="1"/>
  <c r="D8041" i="1"/>
  <c r="D8040" i="1"/>
  <c r="D8039" i="1"/>
  <c r="D8038" i="1"/>
  <c r="D8037" i="1"/>
  <c r="D8036" i="1"/>
  <c r="D8035" i="1"/>
  <c r="D8034" i="1"/>
  <c r="D8033" i="1"/>
  <c r="D8032" i="1"/>
  <c r="D8031" i="1"/>
  <c r="D8030" i="1"/>
  <c r="D8029" i="1"/>
  <c r="D8028" i="1"/>
  <c r="D8027" i="1"/>
  <c r="D8026" i="1"/>
  <c r="D8025" i="1"/>
  <c r="D8024" i="1"/>
  <c r="D8023" i="1"/>
  <c r="D8022" i="1"/>
  <c r="D8021" i="1"/>
  <c r="D8020" i="1"/>
  <c r="D8019" i="1"/>
  <c r="D8018" i="1"/>
  <c r="D8017" i="1"/>
  <c r="D8016" i="1"/>
  <c r="D8015" i="1"/>
  <c r="D8014" i="1"/>
  <c r="D8013" i="1"/>
  <c r="D8012" i="1"/>
  <c r="D8011" i="1"/>
  <c r="D8010" i="1"/>
  <c r="D8009" i="1"/>
  <c r="D8008" i="1"/>
  <c r="D8006" i="1"/>
  <c r="D8005" i="1"/>
  <c r="D8004" i="1"/>
  <c r="D8003" i="1"/>
  <c r="D8002" i="1"/>
  <c r="D8001" i="1"/>
  <c r="D8000" i="1"/>
  <c r="D7999" i="1"/>
  <c r="D7998" i="1"/>
  <c r="D7997" i="1"/>
  <c r="D7996" i="1"/>
  <c r="D7995" i="1"/>
  <c r="D7994" i="1"/>
  <c r="D7993" i="1"/>
  <c r="D7992" i="1"/>
  <c r="D7991" i="1"/>
  <c r="D7990" i="1"/>
  <c r="D7989" i="1"/>
  <c r="D7988" i="1"/>
  <c r="D7987" i="1"/>
  <c r="D7986" i="1"/>
  <c r="D7985" i="1"/>
  <c r="D7984" i="1"/>
  <c r="D7983" i="1"/>
  <c r="D7982" i="1"/>
  <c r="D7981" i="1"/>
  <c r="D7980" i="1"/>
  <c r="D7979" i="1"/>
  <c r="D7978" i="1"/>
  <c r="D7977" i="1"/>
  <c r="D7976" i="1"/>
  <c r="D7975" i="1"/>
  <c r="D7972" i="1"/>
  <c r="D7971" i="1"/>
  <c r="D7970" i="1"/>
  <c r="D7969" i="1"/>
  <c r="D7968" i="1"/>
  <c r="D7967" i="1"/>
  <c r="D7966" i="1"/>
  <c r="D7965" i="1"/>
  <c r="D7964" i="1"/>
  <c r="D7963" i="1"/>
  <c r="D7962" i="1"/>
  <c r="D7961" i="1"/>
  <c r="D7960" i="1"/>
  <c r="D7959" i="1"/>
  <c r="D7958" i="1"/>
  <c r="D7957" i="1"/>
  <c r="D7956" i="1"/>
  <c r="D7955" i="1"/>
  <c r="D7954" i="1"/>
  <c r="D7953" i="1"/>
  <c r="D7952" i="1"/>
  <c r="D7951" i="1"/>
  <c r="D7950" i="1"/>
  <c r="D7949" i="1"/>
  <c r="D7948" i="1"/>
  <c r="D7947" i="1"/>
  <c r="D7946" i="1"/>
  <c r="D7945" i="1"/>
  <c r="D7944" i="1"/>
  <c r="D7943" i="1"/>
  <c r="D7941" i="1"/>
  <c r="D7940" i="1"/>
  <c r="D7939" i="1"/>
  <c r="D7938" i="1"/>
  <c r="D7937" i="1"/>
  <c r="D7936" i="1"/>
  <c r="D7935" i="1"/>
  <c r="D7934" i="1"/>
  <c r="D7933" i="1"/>
  <c r="D7932" i="1"/>
  <c r="D7931" i="1"/>
  <c r="D7930" i="1"/>
  <c r="D7929" i="1"/>
  <c r="D7928" i="1"/>
  <c r="D7927" i="1"/>
  <c r="D7926" i="1"/>
  <c r="D7925" i="1"/>
  <c r="D7924" i="1"/>
  <c r="D7923" i="1"/>
  <c r="D7922" i="1"/>
  <c r="D7921" i="1"/>
  <c r="D7920" i="1"/>
  <c r="D7919" i="1"/>
  <c r="D7918" i="1"/>
  <c r="D7917" i="1"/>
  <c r="D7916" i="1"/>
  <c r="D7915" i="1"/>
  <c r="D7914" i="1"/>
  <c r="D7913" i="1"/>
  <c r="D7912" i="1"/>
  <c r="D7911" i="1"/>
  <c r="D7910" i="1"/>
  <c r="D7909" i="1"/>
  <c r="D7908" i="1"/>
  <c r="D7907" i="1"/>
  <c r="D7906" i="1"/>
  <c r="D7905" i="1"/>
  <c r="D7904" i="1"/>
  <c r="D7903" i="1"/>
  <c r="D7902" i="1"/>
  <c r="D7901" i="1"/>
  <c r="D7900" i="1"/>
  <c r="D7899" i="1"/>
  <c r="D7898" i="1"/>
  <c r="D7897" i="1"/>
  <c r="D7896" i="1"/>
  <c r="D7895" i="1"/>
  <c r="D7894" i="1"/>
  <c r="D7893" i="1"/>
  <c r="D7892" i="1"/>
  <c r="D7891" i="1"/>
  <c r="D7890" i="1"/>
  <c r="D7889" i="1"/>
  <c r="D7888" i="1"/>
  <c r="D7887" i="1"/>
  <c r="D7886" i="1"/>
  <c r="D7885" i="1"/>
  <c r="D7884" i="1"/>
  <c r="D7883" i="1"/>
  <c r="D7882" i="1"/>
  <c r="D7881" i="1"/>
  <c r="D7880" i="1"/>
  <c r="D7879" i="1"/>
  <c r="D7878" i="1"/>
  <c r="D7877" i="1"/>
  <c r="D7876" i="1"/>
  <c r="D7875" i="1"/>
  <c r="D7874" i="1"/>
  <c r="D7873" i="1"/>
  <c r="D7872" i="1"/>
  <c r="D7871" i="1"/>
  <c r="D7870" i="1"/>
  <c r="D7869" i="1"/>
  <c r="D7867" i="1"/>
  <c r="D7866" i="1"/>
  <c r="D7864" i="1"/>
  <c r="D7863" i="1"/>
  <c r="D7862" i="1"/>
  <c r="D7861" i="1"/>
  <c r="D7860" i="1"/>
  <c r="D7859" i="1"/>
  <c r="D7858" i="1"/>
  <c r="D7857" i="1"/>
  <c r="D7856" i="1"/>
  <c r="D7855" i="1"/>
  <c r="D7854" i="1"/>
  <c r="D7853" i="1"/>
  <c r="D7852" i="1"/>
  <c r="D7851" i="1"/>
  <c r="D7850" i="1"/>
  <c r="D7849" i="1"/>
  <c r="D7848" i="1"/>
  <c r="D7846" i="1"/>
  <c r="D7844" i="1"/>
  <c r="D7843" i="1"/>
  <c r="D7842" i="1"/>
  <c r="D7841" i="1"/>
  <c r="D7840" i="1"/>
  <c r="D7839" i="1"/>
  <c r="D7837" i="1"/>
  <c r="D7836" i="1"/>
  <c r="D7834" i="1"/>
  <c r="D7833" i="1"/>
  <c r="D7829" i="1"/>
  <c r="D7827" i="1"/>
  <c r="D7824" i="1"/>
  <c r="D7823" i="1"/>
  <c r="D7822" i="1"/>
  <c r="D7821" i="1"/>
  <c r="D7820" i="1"/>
  <c r="D7819" i="1"/>
  <c r="D7818" i="1"/>
  <c r="D7817" i="1"/>
  <c r="D7815" i="1"/>
  <c r="D7814" i="1"/>
  <c r="D7813" i="1"/>
  <c r="D7812" i="1"/>
  <c r="D7811" i="1"/>
  <c r="D7810" i="1"/>
  <c r="D7809" i="1"/>
  <c r="D7807" i="1"/>
  <c r="D7806" i="1"/>
  <c r="D7805" i="1"/>
  <c r="D7804" i="1"/>
  <c r="D7803" i="1"/>
  <c r="D7801" i="1"/>
  <c r="D7799" i="1"/>
  <c r="D7798" i="1"/>
  <c r="D7797" i="1"/>
  <c r="D7796" i="1"/>
  <c r="D7794" i="1"/>
  <c r="D7792" i="1"/>
  <c r="D7790" i="1"/>
  <c r="D7789" i="1"/>
  <c r="D7787" i="1"/>
  <c r="D7786" i="1"/>
  <c r="D7785" i="1"/>
  <c r="D7784" i="1"/>
  <c r="D7781" i="1"/>
  <c r="D7780" i="1"/>
  <c r="D7778" i="1"/>
  <c r="D7777" i="1"/>
  <c r="D7776" i="1"/>
  <c r="D7775" i="1"/>
  <c r="D7774" i="1"/>
  <c r="D7773" i="1"/>
  <c r="D7772" i="1"/>
  <c r="D7771" i="1"/>
  <c r="D7770" i="1"/>
  <c r="D7766" i="1"/>
  <c r="D7765" i="1"/>
  <c r="D7764" i="1"/>
  <c r="D7763" i="1"/>
  <c r="D7762" i="1"/>
  <c r="D7761" i="1"/>
  <c r="D7760" i="1"/>
  <c r="D7759" i="1"/>
  <c r="D7758" i="1"/>
  <c r="D7757" i="1"/>
  <c r="D7756" i="1"/>
  <c r="D7755" i="1"/>
  <c r="D7754" i="1"/>
  <c r="D7753" i="1"/>
  <c r="D7752" i="1"/>
  <c r="D7751" i="1"/>
  <c r="D7750" i="1"/>
  <c r="D7749" i="1"/>
  <c r="D7748" i="1"/>
  <c r="D7747" i="1"/>
  <c r="D7746" i="1"/>
  <c r="D7745" i="1"/>
  <c r="D7744" i="1"/>
  <c r="D7743" i="1"/>
  <c r="D7742" i="1"/>
  <c r="D7741" i="1"/>
  <c r="D7740" i="1"/>
  <c r="D7739" i="1"/>
  <c r="D7738" i="1"/>
  <c r="D7737" i="1"/>
  <c r="D7736" i="1"/>
  <c r="D7735" i="1"/>
  <c r="D7734" i="1"/>
  <c r="D7733" i="1"/>
  <c r="D7732" i="1"/>
  <c r="D7731" i="1"/>
  <c r="D7730" i="1"/>
  <c r="D7729" i="1"/>
  <c r="D7727" i="1"/>
  <c r="D7726" i="1"/>
  <c r="D7725" i="1"/>
  <c r="D7724" i="1"/>
  <c r="D7723" i="1"/>
  <c r="D7722" i="1"/>
  <c r="D7721" i="1"/>
  <c r="D7720" i="1"/>
  <c r="D7719" i="1"/>
  <c r="D7718" i="1"/>
  <c r="D7717" i="1"/>
  <c r="D7716" i="1"/>
  <c r="D7715" i="1"/>
  <c r="D7714" i="1"/>
  <c r="D7713" i="1"/>
  <c r="D7712" i="1"/>
  <c r="D7711" i="1"/>
  <c r="D7710" i="1"/>
  <c r="D7709" i="1"/>
  <c r="D7708" i="1"/>
  <c r="D7707" i="1"/>
  <c r="D7706" i="1"/>
  <c r="D7705" i="1"/>
  <c r="D7704" i="1"/>
  <c r="D7703" i="1"/>
  <c r="D7702" i="1"/>
  <c r="D7701" i="1"/>
  <c r="D7700" i="1"/>
  <c r="D7699" i="1"/>
  <c r="D7698" i="1"/>
  <c r="D7697" i="1"/>
  <c r="D7696" i="1"/>
  <c r="D7695" i="1"/>
  <c r="D7693" i="1"/>
  <c r="D7692" i="1"/>
  <c r="D7691" i="1"/>
  <c r="D7690" i="1"/>
  <c r="D7689" i="1"/>
  <c r="D7688" i="1"/>
  <c r="D7687" i="1"/>
  <c r="D7686" i="1"/>
  <c r="D7685" i="1"/>
  <c r="D7684" i="1"/>
  <c r="D7683" i="1"/>
  <c r="D7682" i="1"/>
  <c r="D7681" i="1"/>
  <c r="D7680" i="1"/>
  <c r="D7679" i="1"/>
  <c r="D7678" i="1"/>
  <c r="D7677" i="1"/>
  <c r="D7675" i="1"/>
  <c r="D7673" i="1"/>
  <c r="D7672" i="1"/>
  <c r="D7671" i="1"/>
  <c r="D7670" i="1"/>
  <c r="D7669" i="1"/>
  <c r="D7668" i="1"/>
  <c r="D7667" i="1"/>
  <c r="D7666" i="1"/>
  <c r="D7665" i="1"/>
  <c r="D7664" i="1"/>
  <c r="D7663" i="1"/>
  <c r="D7662" i="1"/>
  <c r="D7661" i="1"/>
  <c r="D7660" i="1"/>
  <c r="D7659" i="1"/>
  <c r="D7658" i="1"/>
  <c r="D7657" i="1"/>
  <c r="D7654" i="1"/>
  <c r="D7653" i="1"/>
  <c r="D7652" i="1"/>
  <c r="D7651" i="1"/>
  <c r="D7650" i="1"/>
  <c r="D7648" i="1"/>
  <c r="D7647" i="1"/>
  <c r="D7645" i="1"/>
  <c r="D7644" i="1"/>
  <c r="D7643" i="1"/>
  <c r="D7642" i="1"/>
  <c r="D7641" i="1"/>
  <c r="D7640" i="1"/>
  <c r="D7639" i="1"/>
  <c r="D7638" i="1"/>
  <c r="D7637" i="1"/>
  <c r="D7636" i="1"/>
  <c r="D7635" i="1"/>
  <c r="D7634" i="1"/>
  <c r="D7633" i="1"/>
  <c r="D7632" i="1"/>
  <c r="D7631" i="1"/>
  <c r="D7630" i="1"/>
  <c r="D7629" i="1"/>
  <c r="D7628" i="1"/>
  <c r="D7627" i="1"/>
  <c r="D7626" i="1"/>
  <c r="D7625" i="1"/>
  <c r="D7624" i="1"/>
  <c r="D7623" i="1"/>
  <c r="D7622" i="1"/>
  <c r="D7621" i="1"/>
  <c r="D7620" i="1"/>
  <c r="D7619" i="1"/>
  <c r="D7618" i="1"/>
  <c r="D7617" i="1"/>
  <c r="D7616" i="1"/>
  <c r="D7615" i="1"/>
  <c r="D7614" i="1"/>
  <c r="D7613" i="1"/>
  <c r="D7612" i="1"/>
  <c r="D7611" i="1"/>
  <c r="D7610" i="1"/>
  <c r="D7609" i="1"/>
  <c r="D7608" i="1"/>
  <c r="D7606" i="1"/>
  <c r="D7604" i="1"/>
  <c r="D7602" i="1"/>
  <c r="D7600" i="1"/>
  <c r="D7599" i="1"/>
  <c r="D7598" i="1"/>
  <c r="D7597" i="1"/>
  <c r="D7596" i="1"/>
  <c r="D7595" i="1"/>
  <c r="D7594" i="1"/>
  <c r="D7592" i="1"/>
  <c r="D7591" i="1"/>
  <c r="D7590" i="1"/>
  <c r="D7588" i="1"/>
  <c r="D7586" i="1"/>
  <c r="D7585" i="1"/>
  <c r="D7584" i="1"/>
  <c r="D7582" i="1"/>
  <c r="D7581" i="1"/>
  <c r="D7580" i="1"/>
  <c r="D7579" i="1"/>
  <c r="D7578" i="1"/>
  <c r="D7577" i="1"/>
  <c r="D7576" i="1"/>
  <c r="D7575" i="1"/>
  <c r="D7574" i="1"/>
  <c r="D7573" i="1"/>
  <c r="D7571" i="1"/>
  <c r="D7570" i="1"/>
  <c r="D7569" i="1"/>
  <c r="D7565" i="1"/>
  <c r="D7564" i="1"/>
  <c r="D7563" i="1"/>
  <c r="D7560" i="1"/>
  <c r="D7557" i="1"/>
  <c r="D7556" i="1"/>
  <c r="D7555" i="1"/>
  <c r="D7552" i="1"/>
  <c r="D7550" i="1"/>
  <c r="D7549" i="1"/>
  <c r="D7547" i="1"/>
  <c r="D7545" i="1"/>
  <c r="D7544" i="1"/>
  <c r="D7542" i="1"/>
  <c r="D7540" i="1"/>
  <c r="D7538" i="1"/>
  <c r="D7537" i="1"/>
  <c r="D7535" i="1"/>
  <c r="D7531" i="1"/>
  <c r="D7529" i="1"/>
  <c r="D7528" i="1"/>
  <c r="D7527" i="1"/>
  <c r="D7526" i="1"/>
  <c r="D7525" i="1"/>
  <c r="D7524" i="1"/>
  <c r="D7523" i="1"/>
  <c r="D7522" i="1"/>
  <c r="D7521" i="1"/>
  <c r="D7519" i="1"/>
  <c r="D7518" i="1"/>
  <c r="D7517" i="1"/>
  <c r="D7516" i="1"/>
  <c r="D7515" i="1"/>
  <c r="D7514" i="1"/>
  <c r="D7513" i="1"/>
  <c r="D7512" i="1"/>
  <c r="D7511" i="1"/>
  <c r="D7510" i="1"/>
  <c r="D7509" i="1"/>
  <c r="D7508" i="1"/>
  <c r="D7507" i="1"/>
  <c r="D7506" i="1"/>
  <c r="D7505" i="1"/>
  <c r="D7504" i="1"/>
  <c r="D7503" i="1"/>
  <c r="D7502" i="1"/>
  <c r="D7501" i="1"/>
  <c r="D7500" i="1"/>
  <c r="D7499" i="1"/>
  <c r="D7498" i="1"/>
  <c r="D7497" i="1"/>
  <c r="D7496" i="1"/>
  <c r="D7495" i="1"/>
  <c r="D7494" i="1"/>
  <c r="D7493" i="1"/>
  <c r="D7492" i="1"/>
  <c r="D7491" i="1"/>
  <c r="D7490" i="1"/>
  <c r="D7489" i="1"/>
  <c r="D7488" i="1"/>
  <c r="D7487" i="1"/>
  <c r="D7486" i="1"/>
  <c r="D7485" i="1"/>
  <c r="D7484" i="1"/>
  <c r="D7483" i="1"/>
  <c r="D7482" i="1"/>
  <c r="D7481" i="1"/>
  <c r="D7480" i="1"/>
  <c r="D7479" i="1"/>
  <c r="D7478" i="1"/>
  <c r="D7477" i="1"/>
  <c r="D7476" i="1"/>
  <c r="D7475" i="1"/>
  <c r="D7474" i="1"/>
  <c r="D7473" i="1"/>
  <c r="D7472" i="1"/>
  <c r="D7471" i="1"/>
  <c r="D7470" i="1"/>
  <c r="D7469" i="1"/>
  <c r="D7468" i="1"/>
  <c r="D7467" i="1"/>
  <c r="D7466" i="1"/>
  <c r="D7465" i="1"/>
  <c r="D7464" i="1"/>
  <c r="D7463" i="1"/>
  <c r="D7462" i="1"/>
  <c r="D7461" i="1"/>
  <c r="D7460" i="1"/>
  <c r="D7459" i="1"/>
  <c r="D7458" i="1"/>
  <c r="D7457" i="1"/>
  <c r="D7456" i="1"/>
  <c r="D7455" i="1"/>
  <c r="D7454" i="1"/>
  <c r="D7453" i="1"/>
  <c r="D7452" i="1"/>
  <c r="D7451" i="1"/>
  <c r="D7450" i="1"/>
  <c r="D7449" i="1"/>
  <c r="D7448" i="1"/>
  <c r="D7447" i="1"/>
  <c r="D7446" i="1"/>
  <c r="D7445" i="1"/>
  <c r="D7444" i="1"/>
  <c r="D7443" i="1"/>
  <c r="D7442" i="1"/>
  <c r="D7441" i="1"/>
  <c r="D7440" i="1"/>
  <c r="D7439" i="1"/>
  <c r="D7438" i="1"/>
  <c r="D7437" i="1"/>
  <c r="D7436" i="1"/>
  <c r="D7435" i="1"/>
  <c r="D7434" i="1"/>
  <c r="D7433" i="1"/>
  <c r="D7432" i="1"/>
  <c r="D7431" i="1"/>
  <c r="D7430" i="1"/>
  <c r="D7429" i="1"/>
  <c r="D7428" i="1"/>
  <c r="D7427" i="1"/>
  <c r="D7426" i="1"/>
  <c r="D7425" i="1"/>
  <c r="D7424" i="1"/>
  <c r="D7423" i="1"/>
  <c r="D7422" i="1"/>
  <c r="D7421" i="1"/>
  <c r="D7420" i="1"/>
  <c r="D7419" i="1"/>
  <c r="D7418" i="1"/>
  <c r="D7417" i="1"/>
  <c r="D7416" i="1"/>
  <c r="D7415" i="1"/>
  <c r="D7414" i="1"/>
  <c r="D7413" i="1"/>
  <c r="D7412" i="1"/>
  <c r="D7411" i="1"/>
  <c r="D7410" i="1"/>
  <c r="D7409" i="1"/>
  <c r="D7408" i="1"/>
  <c r="D7407" i="1"/>
  <c r="D7406" i="1"/>
  <c r="D7405" i="1"/>
  <c r="D7404" i="1"/>
  <c r="D7403" i="1"/>
  <c r="D7402" i="1"/>
  <c r="D7401" i="1"/>
  <c r="D7400" i="1"/>
  <c r="D7399" i="1"/>
  <c r="D7398" i="1"/>
  <c r="D7397" i="1"/>
  <c r="D7396" i="1"/>
  <c r="D7395" i="1"/>
  <c r="D7394" i="1"/>
  <c r="D7393" i="1"/>
  <c r="D7392" i="1"/>
  <c r="D7391" i="1"/>
  <c r="D7390" i="1"/>
  <c r="D7389" i="1"/>
  <c r="D7388" i="1"/>
  <c r="D7387" i="1"/>
  <c r="D7386" i="1"/>
  <c r="D7385" i="1"/>
  <c r="D7384" i="1"/>
  <c r="D7383" i="1"/>
  <c r="D7381" i="1"/>
  <c r="D7380" i="1"/>
  <c r="D7379" i="1"/>
  <c r="D7378" i="1"/>
  <c r="D7377" i="1"/>
  <c r="D7375" i="1"/>
  <c r="D7374" i="1"/>
  <c r="D7373" i="1"/>
  <c r="D7372" i="1"/>
  <c r="D7371" i="1"/>
  <c r="D7370" i="1"/>
  <c r="D7369" i="1"/>
  <c r="D7368" i="1"/>
  <c r="D7367" i="1"/>
  <c r="D7366" i="1"/>
  <c r="D7365" i="1"/>
  <c r="D7364" i="1"/>
  <c r="D7363" i="1"/>
  <c r="D7362" i="1"/>
  <c r="D7361" i="1"/>
  <c r="D7360" i="1"/>
  <c r="D7359" i="1"/>
  <c r="D7358" i="1"/>
  <c r="D7357" i="1"/>
  <c r="D7356" i="1"/>
  <c r="D7355" i="1"/>
  <c r="D7354" i="1"/>
  <c r="D7353" i="1"/>
  <c r="D7352" i="1"/>
  <c r="D7351" i="1"/>
  <c r="D7350" i="1"/>
  <c r="D7349" i="1"/>
  <c r="D7348" i="1"/>
  <c r="D7347" i="1"/>
  <c r="D7346" i="1"/>
  <c r="D7345" i="1"/>
  <c r="D7344" i="1"/>
  <c r="D7343" i="1"/>
  <c r="D7342" i="1"/>
  <c r="D7341" i="1"/>
  <c r="D7340" i="1"/>
  <c r="D7339" i="1"/>
  <c r="D7338" i="1"/>
  <c r="D7337" i="1"/>
  <c r="D7336" i="1"/>
  <c r="D7335" i="1"/>
  <c r="D7334" i="1"/>
  <c r="D7333" i="1"/>
  <c r="D7332" i="1"/>
  <c r="D7331" i="1"/>
  <c r="D7330" i="1"/>
  <c r="D7329" i="1"/>
  <c r="D7328" i="1"/>
  <c r="D7327" i="1"/>
  <c r="D7326" i="1"/>
  <c r="D7325" i="1"/>
  <c r="D7324" i="1"/>
  <c r="D7323" i="1"/>
  <c r="D7322" i="1"/>
  <c r="D7321" i="1"/>
  <c r="D7320" i="1"/>
  <c r="D7319" i="1"/>
  <c r="D7318" i="1"/>
  <c r="D7317" i="1"/>
  <c r="D7316" i="1"/>
  <c r="D7315" i="1"/>
  <c r="D7314" i="1"/>
  <c r="D7313" i="1"/>
  <c r="D7312" i="1"/>
  <c r="D7311" i="1"/>
  <c r="D7310" i="1"/>
  <c r="D7309" i="1"/>
  <c r="D7308" i="1"/>
  <c r="D7307" i="1"/>
  <c r="D7306" i="1"/>
  <c r="D7305" i="1"/>
  <c r="D7304" i="1"/>
  <c r="D7303" i="1"/>
  <c r="D7302" i="1"/>
  <c r="D7301" i="1"/>
  <c r="D7300" i="1"/>
  <c r="D7299" i="1"/>
  <c r="D7298" i="1"/>
  <c r="D7297" i="1"/>
  <c r="D7296" i="1"/>
  <c r="D7295" i="1"/>
  <c r="D7294" i="1"/>
  <c r="D7293" i="1"/>
  <c r="D7292" i="1"/>
  <c r="D7291" i="1"/>
  <c r="D7290" i="1"/>
  <c r="D7289" i="1"/>
  <c r="D7288" i="1"/>
  <c r="D7287" i="1"/>
  <c r="D7286" i="1"/>
  <c r="D7285" i="1"/>
  <c r="D7283" i="1"/>
  <c r="D7282" i="1"/>
  <c r="D7281" i="1"/>
  <c r="D7280" i="1"/>
  <c r="D7279" i="1"/>
  <c r="D7278" i="1"/>
  <c r="D7277" i="1"/>
  <c r="D7276" i="1"/>
  <c r="D7275" i="1"/>
  <c r="D7274" i="1"/>
  <c r="D7273" i="1"/>
  <c r="D7272" i="1"/>
  <c r="D7271" i="1"/>
  <c r="D7270" i="1"/>
  <c r="D7269" i="1"/>
  <c r="D7268" i="1"/>
  <c r="D7267" i="1"/>
  <c r="D7266" i="1"/>
  <c r="D7265" i="1"/>
  <c r="D7264" i="1"/>
  <c r="D7263" i="1"/>
  <c r="D7262" i="1"/>
  <c r="D7261" i="1"/>
  <c r="D7260" i="1"/>
  <c r="D7259" i="1"/>
  <c r="D7258" i="1"/>
  <c r="D7257" i="1"/>
  <c r="D7256" i="1"/>
  <c r="D7255" i="1"/>
  <c r="D7254" i="1"/>
  <c r="D7253" i="1"/>
  <c r="D7252" i="1"/>
  <c r="D7251" i="1"/>
  <c r="D7250" i="1"/>
  <c r="D7249" i="1"/>
  <c r="D7248" i="1"/>
  <c r="D7247" i="1"/>
  <c r="D7246" i="1"/>
  <c r="D7245" i="1"/>
  <c r="D7244" i="1"/>
  <c r="D7243" i="1"/>
  <c r="D7242" i="1"/>
  <c r="D7241" i="1"/>
  <c r="D7240" i="1"/>
  <c r="D7239" i="1"/>
  <c r="D7238" i="1"/>
  <c r="D7237" i="1"/>
  <c r="D7236" i="1"/>
  <c r="D7235" i="1"/>
  <c r="D7234" i="1"/>
  <c r="D7233" i="1"/>
  <c r="D7232" i="1"/>
  <c r="D7231" i="1"/>
  <c r="D7230" i="1"/>
  <c r="D7229" i="1"/>
  <c r="D7228" i="1"/>
  <c r="D7227" i="1"/>
  <c r="D7226" i="1"/>
  <c r="D7225" i="1"/>
  <c r="D7224" i="1"/>
  <c r="D7223" i="1"/>
  <c r="D7222" i="1"/>
  <c r="D7221" i="1"/>
  <c r="D7220" i="1"/>
  <c r="D7219" i="1"/>
  <c r="D7218" i="1"/>
  <c r="D7217" i="1"/>
  <c r="D7216" i="1"/>
  <c r="D7215" i="1"/>
  <c r="D7214" i="1"/>
  <c r="D7213" i="1"/>
  <c r="D7212" i="1"/>
  <c r="D7211" i="1"/>
  <c r="D7210" i="1"/>
  <c r="D7209" i="1"/>
  <c r="D7208" i="1"/>
  <c r="D7207" i="1"/>
  <c r="D7206" i="1"/>
  <c r="D7205" i="1"/>
  <c r="D7204" i="1"/>
  <c r="D7203" i="1"/>
  <c r="D7202" i="1"/>
  <c r="D7201" i="1"/>
  <c r="D7200" i="1"/>
  <c r="D7199" i="1"/>
  <c r="D7198" i="1"/>
  <c r="D7197" i="1"/>
  <c r="D7196" i="1"/>
  <c r="D7195" i="1"/>
  <c r="D7194" i="1"/>
  <c r="D7193" i="1"/>
  <c r="D7192" i="1"/>
  <c r="D7191" i="1"/>
  <c r="D7190" i="1"/>
  <c r="D7189" i="1"/>
  <c r="D7188" i="1"/>
  <c r="D7187" i="1"/>
  <c r="D7186" i="1"/>
  <c r="D7185" i="1"/>
  <c r="D7184" i="1"/>
  <c r="D7183" i="1"/>
  <c r="D7182" i="1"/>
  <c r="D7181" i="1"/>
  <c r="D7180" i="1"/>
  <c r="D7179" i="1"/>
  <c r="D7178" i="1"/>
  <c r="D7177" i="1"/>
  <c r="D7176" i="1"/>
  <c r="D7175" i="1"/>
  <c r="D7174" i="1"/>
  <c r="D7173" i="1"/>
  <c r="D7172" i="1"/>
  <c r="D7171" i="1"/>
  <c r="D7170" i="1"/>
  <c r="D7169" i="1"/>
  <c r="D7168" i="1"/>
  <c r="D7167" i="1"/>
  <c r="D7166" i="1"/>
  <c r="D7165" i="1"/>
  <c r="D7164" i="1"/>
  <c r="D7163" i="1"/>
  <c r="D7162" i="1"/>
  <c r="D7161" i="1"/>
  <c r="D7160" i="1"/>
  <c r="D7159" i="1"/>
  <c r="D7158" i="1"/>
  <c r="D7157" i="1"/>
  <c r="D7156" i="1"/>
  <c r="D7155" i="1"/>
  <c r="D7154" i="1"/>
  <c r="D7153" i="1"/>
  <c r="D7152" i="1"/>
  <c r="D7150" i="1"/>
  <c r="D7148" i="1"/>
  <c r="D7147" i="1"/>
  <c r="D7146" i="1"/>
  <c r="D7145" i="1"/>
  <c r="D7144" i="1"/>
  <c r="D7143" i="1"/>
  <c r="D7142" i="1"/>
  <c r="D7141" i="1"/>
  <c r="D7140" i="1"/>
  <c r="D7139" i="1"/>
  <c r="D7138" i="1"/>
  <c r="D7137" i="1"/>
  <c r="D7136" i="1"/>
  <c r="D7135" i="1"/>
  <c r="D7134" i="1"/>
  <c r="D7133" i="1"/>
  <c r="D7132" i="1"/>
  <c r="D7131" i="1"/>
  <c r="D7130" i="1"/>
  <c r="D7129" i="1"/>
  <c r="D7128" i="1"/>
  <c r="D7127" i="1"/>
  <c r="D7126" i="1"/>
  <c r="D7125" i="1"/>
  <c r="D7124" i="1"/>
  <c r="D7123" i="1"/>
  <c r="D7120" i="1"/>
  <c r="D7119" i="1"/>
  <c r="D7118" i="1"/>
  <c r="D7117" i="1"/>
  <c r="D7116" i="1"/>
  <c r="D7115" i="1"/>
  <c r="D7114" i="1"/>
  <c r="D7113" i="1"/>
  <c r="D7109" i="1"/>
  <c r="D7108" i="1"/>
  <c r="D7107" i="1"/>
  <c r="D7106" i="1"/>
  <c r="D7105" i="1"/>
  <c r="D7104" i="1"/>
  <c r="D7103" i="1"/>
  <c r="D7102" i="1"/>
  <c r="D7099" i="1"/>
  <c r="D7097" i="1"/>
  <c r="D7096" i="1"/>
  <c r="D7095" i="1"/>
  <c r="D7094" i="1"/>
  <c r="D7093" i="1"/>
  <c r="D7092" i="1"/>
  <c r="D7091" i="1"/>
  <c r="D7090" i="1"/>
  <c r="D7089" i="1"/>
  <c r="D7088" i="1"/>
  <c r="D7087" i="1"/>
  <c r="D7086" i="1"/>
  <c r="D7084" i="1"/>
  <c r="D7083" i="1"/>
  <c r="D7079" i="1"/>
  <c r="D7078" i="1"/>
  <c r="D7077" i="1"/>
  <c r="D7076" i="1"/>
  <c r="D7075" i="1"/>
  <c r="D7074" i="1"/>
  <c r="D7073" i="1"/>
  <c r="D7072" i="1"/>
  <c r="D7071" i="1"/>
  <c r="D7070" i="1"/>
  <c r="D7069" i="1"/>
  <c r="D7068" i="1"/>
  <c r="D7067" i="1"/>
  <c r="D7065" i="1"/>
  <c r="D7064" i="1"/>
  <c r="D7063" i="1"/>
  <c r="D7062" i="1"/>
  <c r="D7061" i="1"/>
  <c r="D7060" i="1"/>
  <c r="D7059" i="1"/>
  <c r="D7058" i="1"/>
  <c r="D7056" i="1"/>
  <c r="D7055" i="1"/>
  <c r="D7054" i="1"/>
  <c r="D7053" i="1"/>
  <c r="D7052" i="1"/>
  <c r="D7051" i="1"/>
  <c r="D7050" i="1"/>
  <c r="D7049" i="1"/>
  <c r="D7048" i="1"/>
  <c r="D7047" i="1"/>
  <c r="D7046" i="1"/>
  <c r="D7045" i="1"/>
  <c r="D7044" i="1"/>
  <c r="D7043" i="1"/>
  <c r="D7042" i="1"/>
  <c r="D7041" i="1"/>
  <c r="D7040" i="1"/>
  <c r="D7039" i="1"/>
  <c r="D7038" i="1"/>
  <c r="D7037" i="1"/>
  <c r="D7036" i="1"/>
  <c r="D7035" i="1"/>
  <c r="D7034" i="1"/>
  <c r="D7033" i="1"/>
  <c r="D7030" i="1"/>
  <c r="D7029" i="1"/>
  <c r="D7028" i="1"/>
  <c r="D7027" i="1"/>
  <c r="D7026" i="1"/>
  <c r="D7025" i="1"/>
  <c r="D7024" i="1"/>
  <c r="D7023" i="1"/>
  <c r="D7022" i="1"/>
  <c r="D7021" i="1"/>
  <c r="D7020" i="1"/>
  <c r="D7019" i="1"/>
  <c r="D7017" i="1"/>
  <c r="D7016" i="1"/>
  <c r="D7014" i="1"/>
  <c r="D7013" i="1"/>
  <c r="D7012" i="1"/>
  <c r="D7011" i="1"/>
  <c r="D7010" i="1"/>
  <c r="D7009" i="1"/>
  <c r="D7008" i="1"/>
  <c r="D7007" i="1"/>
  <c r="D7006" i="1"/>
  <c r="D7005" i="1"/>
  <c r="D7004" i="1"/>
  <c r="D7003" i="1"/>
  <c r="D7002" i="1"/>
  <c r="D7001" i="1"/>
  <c r="D7000" i="1"/>
  <c r="D6999" i="1"/>
  <c r="D6998" i="1"/>
  <c r="D6997" i="1"/>
  <c r="D6996" i="1"/>
  <c r="D6995" i="1"/>
  <c r="D6994" i="1"/>
  <c r="D6993" i="1"/>
  <c r="D6992" i="1"/>
  <c r="D6991" i="1"/>
  <c r="D6990" i="1"/>
  <c r="D6989" i="1"/>
  <c r="D6988" i="1"/>
  <c r="D6987" i="1"/>
  <c r="D6985" i="1"/>
  <c r="D6984" i="1"/>
  <c r="D6983" i="1"/>
  <c r="D6982" i="1"/>
  <c r="D6981" i="1"/>
  <c r="D6980" i="1"/>
  <c r="D6979" i="1"/>
  <c r="D6978" i="1"/>
  <c r="D6977" i="1"/>
  <c r="D6976" i="1"/>
  <c r="D6975" i="1"/>
  <c r="D6974" i="1"/>
  <c r="D6973" i="1"/>
  <c r="D6972" i="1"/>
  <c r="D6971" i="1"/>
  <c r="D6970" i="1"/>
  <c r="D6969" i="1"/>
  <c r="D6968" i="1"/>
  <c r="D6967" i="1"/>
  <c r="D6966" i="1"/>
  <c r="D6965" i="1"/>
  <c r="D6964" i="1"/>
  <c r="D6963" i="1"/>
  <c r="D6962" i="1"/>
  <c r="D6959" i="1"/>
  <c r="D6958" i="1"/>
  <c r="D6957" i="1"/>
  <c r="D6956" i="1"/>
  <c r="D6955" i="1"/>
  <c r="D6954" i="1"/>
  <c r="D6953" i="1"/>
  <c r="D6951" i="1"/>
  <c r="D6950" i="1"/>
  <c r="D6949" i="1"/>
  <c r="D6948" i="1"/>
  <c r="D6947" i="1"/>
  <c r="D6946" i="1"/>
  <c r="D6945" i="1"/>
  <c r="D6944" i="1"/>
  <c r="D6943" i="1"/>
  <c r="D6942" i="1"/>
  <c r="D6941" i="1"/>
  <c r="D6940" i="1"/>
  <c r="D6939" i="1"/>
  <c r="D6938" i="1"/>
  <c r="D6937" i="1"/>
  <c r="D6936" i="1"/>
  <c r="D6934" i="1"/>
  <c r="D6932" i="1"/>
  <c r="D6930" i="1"/>
  <c r="D6929" i="1"/>
  <c r="D6928" i="1"/>
  <c r="D6927" i="1"/>
  <c r="D6926" i="1"/>
  <c r="D6925" i="1"/>
  <c r="D6924" i="1"/>
  <c r="D6923" i="1"/>
  <c r="D6922" i="1"/>
  <c r="D6921" i="1"/>
  <c r="D6920" i="1"/>
  <c r="D6919" i="1"/>
  <c r="D6918" i="1"/>
  <c r="D6917" i="1"/>
  <c r="D6916" i="1"/>
  <c r="D6915" i="1"/>
  <c r="D6914" i="1"/>
  <c r="D6913" i="1"/>
  <c r="D6912" i="1"/>
  <c r="D6911" i="1"/>
  <c r="D6910" i="1"/>
  <c r="D6909" i="1"/>
  <c r="D6908" i="1"/>
  <c r="D6906" i="1"/>
  <c r="D6905" i="1"/>
  <c r="D6904" i="1"/>
  <c r="D6903" i="1"/>
  <c r="D6902" i="1"/>
  <c r="D6901" i="1"/>
  <c r="D6900" i="1"/>
  <c r="D6899" i="1"/>
  <c r="D6897" i="1"/>
  <c r="D6896" i="1"/>
  <c r="D6895" i="1"/>
  <c r="D6894" i="1"/>
  <c r="D6893" i="1"/>
  <c r="D6890" i="1"/>
  <c r="D6889" i="1"/>
  <c r="D6887" i="1"/>
  <c r="D6885" i="1"/>
  <c r="D6884" i="1"/>
  <c r="D6883" i="1"/>
  <c r="D6882" i="1"/>
  <c r="D6881" i="1"/>
  <c r="D6880" i="1"/>
  <c r="D6879" i="1"/>
  <c r="D6878" i="1"/>
  <c r="D6877" i="1"/>
  <c r="D6876" i="1"/>
  <c r="D6875" i="1"/>
  <c r="D6874" i="1"/>
  <c r="D6873" i="1"/>
  <c r="D6871" i="1"/>
  <c r="D6870" i="1"/>
  <c r="D6869" i="1"/>
  <c r="D6868" i="1"/>
  <c r="D6867" i="1"/>
  <c r="D6864" i="1"/>
  <c r="D6863" i="1"/>
  <c r="D6862" i="1"/>
  <c r="D6861" i="1"/>
  <c r="D6860" i="1"/>
  <c r="D6859" i="1"/>
  <c r="D6858" i="1"/>
  <c r="D6857" i="1"/>
  <c r="D6856" i="1"/>
  <c r="D6855" i="1"/>
  <c r="D6854" i="1"/>
  <c r="D6853" i="1"/>
  <c r="D6852" i="1"/>
  <c r="D6850" i="1"/>
  <c r="D6849" i="1"/>
  <c r="D6848" i="1"/>
  <c r="D6847" i="1"/>
  <c r="D6846" i="1"/>
  <c r="D6845" i="1"/>
  <c r="D6843" i="1"/>
  <c r="D6842" i="1"/>
  <c r="D6840" i="1"/>
  <c r="D6839" i="1"/>
  <c r="D6838" i="1"/>
  <c r="D6837" i="1"/>
  <c r="D6836" i="1"/>
  <c r="D6835" i="1"/>
  <c r="D6834" i="1"/>
  <c r="D6833" i="1"/>
  <c r="D6832" i="1"/>
  <c r="D6831" i="1"/>
  <c r="D6830" i="1"/>
  <c r="D6829" i="1"/>
  <c r="D6828" i="1"/>
  <c r="D6827" i="1"/>
  <c r="D6825" i="1"/>
  <c r="D6824" i="1"/>
  <c r="D6823" i="1"/>
  <c r="D6822" i="1"/>
  <c r="D6821" i="1"/>
  <c r="D6820" i="1"/>
  <c r="D6819" i="1"/>
  <c r="D6818" i="1"/>
  <c r="D6817" i="1"/>
  <c r="D6816" i="1"/>
  <c r="D6815" i="1"/>
  <c r="D6812" i="1"/>
  <c r="D6811" i="1"/>
  <c r="D6810" i="1"/>
  <c r="D6809" i="1"/>
  <c r="D6808" i="1"/>
  <c r="D6807" i="1"/>
  <c r="D6806" i="1"/>
  <c r="D6805" i="1"/>
  <c r="D6804" i="1"/>
  <c r="D6800" i="1"/>
  <c r="D6799" i="1"/>
  <c r="D6798" i="1"/>
  <c r="D6797" i="1"/>
  <c r="D6796" i="1"/>
  <c r="D6795" i="1"/>
  <c r="D6794" i="1"/>
  <c r="D6793" i="1"/>
  <c r="D6792" i="1"/>
  <c r="D6791" i="1"/>
  <c r="D6790" i="1"/>
  <c r="D6789" i="1"/>
  <c r="D6788" i="1"/>
  <c r="D6787" i="1"/>
  <c r="D6786" i="1"/>
  <c r="D6785" i="1"/>
  <c r="D6784" i="1"/>
  <c r="D6783" i="1"/>
  <c r="D6782" i="1"/>
  <c r="D6781" i="1"/>
  <c r="D6780" i="1"/>
  <c r="D6779" i="1"/>
  <c r="D6778" i="1"/>
  <c r="D6777" i="1"/>
  <c r="D6776" i="1"/>
  <c r="D6775" i="1"/>
  <c r="D6774" i="1"/>
  <c r="D6773" i="1"/>
  <c r="D6772" i="1"/>
  <c r="D6771" i="1"/>
  <c r="D6770" i="1"/>
  <c r="D6769" i="1"/>
  <c r="D6768" i="1"/>
  <c r="D6767" i="1"/>
  <c r="D6766" i="1"/>
  <c r="D6765" i="1"/>
  <c r="D6763" i="1"/>
  <c r="D6762" i="1"/>
  <c r="D6761" i="1"/>
  <c r="D6760" i="1"/>
  <c r="D6759" i="1"/>
  <c r="D6758" i="1"/>
  <c r="D6757" i="1"/>
  <c r="D6756" i="1"/>
  <c r="D6755" i="1"/>
  <c r="D6754" i="1"/>
  <c r="D6753" i="1"/>
  <c r="D6751" i="1"/>
  <c r="D6750" i="1"/>
  <c r="D6749" i="1"/>
  <c r="D6748" i="1"/>
  <c r="D6747" i="1"/>
  <c r="D6746" i="1"/>
  <c r="D6745" i="1"/>
  <c r="D6744" i="1"/>
  <c r="D6743" i="1"/>
  <c r="D6742" i="1"/>
  <c r="D6741" i="1"/>
  <c r="D6740" i="1"/>
  <c r="D6739" i="1"/>
  <c r="D6738" i="1"/>
  <c r="D6737" i="1"/>
  <c r="D6736" i="1"/>
  <c r="D6734" i="1"/>
  <c r="D6733" i="1"/>
  <c r="D6732" i="1"/>
  <c r="D6731" i="1"/>
  <c r="D6730" i="1"/>
  <c r="D6729" i="1"/>
  <c r="D6728" i="1"/>
  <c r="D6727" i="1"/>
  <c r="D6726" i="1"/>
  <c r="D6725" i="1"/>
  <c r="D6724" i="1"/>
  <c r="D6723" i="1"/>
  <c r="D6722" i="1"/>
  <c r="D6721" i="1"/>
  <c r="D6719" i="1"/>
  <c r="D6718" i="1"/>
  <c r="D6717" i="1"/>
  <c r="D6714" i="1"/>
  <c r="D6713" i="1"/>
  <c r="D6712" i="1"/>
  <c r="D6711" i="1"/>
  <c r="D6710" i="1"/>
  <c r="D6709" i="1"/>
  <c r="D6708" i="1"/>
  <c r="D6707" i="1"/>
  <c r="D6706" i="1"/>
  <c r="D6705" i="1"/>
  <c r="D6704" i="1"/>
  <c r="D6703" i="1"/>
  <c r="D6702" i="1"/>
  <c r="D6701" i="1"/>
  <c r="D6700" i="1"/>
  <c r="D6699" i="1"/>
  <c r="D6698" i="1"/>
  <c r="D6697" i="1"/>
  <c r="D6696" i="1"/>
  <c r="D6695" i="1"/>
  <c r="D6694" i="1"/>
  <c r="D6693" i="1"/>
  <c r="D6692" i="1"/>
  <c r="D6691" i="1"/>
  <c r="D6690" i="1"/>
  <c r="D6689" i="1"/>
  <c r="D6688" i="1"/>
  <c r="D6687" i="1"/>
  <c r="D6686" i="1"/>
  <c r="D6685" i="1"/>
  <c r="D6684" i="1"/>
  <c r="D6683" i="1"/>
  <c r="D6682" i="1"/>
  <c r="D6681" i="1"/>
  <c r="D6679" i="1"/>
  <c r="D6677" i="1"/>
  <c r="D6675" i="1"/>
  <c r="D6674" i="1"/>
  <c r="D6673" i="1"/>
  <c r="D6671" i="1"/>
  <c r="D6670" i="1"/>
  <c r="D6669" i="1"/>
  <c r="D6668" i="1"/>
  <c r="D6667" i="1"/>
  <c r="D6666" i="1"/>
  <c r="D6665" i="1"/>
  <c r="D6664" i="1"/>
  <c r="D6663" i="1"/>
  <c r="D6662" i="1"/>
  <c r="D6660" i="1"/>
  <c r="D6659" i="1"/>
  <c r="D6658" i="1"/>
  <c r="D6657" i="1"/>
  <c r="D6656" i="1"/>
  <c r="D6655" i="1"/>
  <c r="D6654" i="1"/>
  <c r="D6653" i="1"/>
  <c r="D6652" i="1"/>
  <c r="D6651" i="1"/>
  <c r="D6650" i="1"/>
  <c r="D6649" i="1"/>
  <c r="D6648" i="1"/>
  <c r="D6647" i="1"/>
  <c r="D6645" i="1"/>
  <c r="D6644" i="1"/>
  <c r="D6643" i="1"/>
  <c r="D6642" i="1"/>
  <c r="D6641" i="1"/>
  <c r="D6640" i="1"/>
  <c r="D6639" i="1"/>
  <c r="D6638" i="1"/>
  <c r="D6637" i="1"/>
  <c r="D6636" i="1"/>
  <c r="D6635" i="1"/>
  <c r="D6634" i="1"/>
  <c r="D6633" i="1"/>
  <c r="D6632" i="1"/>
  <c r="D6631" i="1"/>
  <c r="D6630" i="1"/>
  <c r="D6629" i="1"/>
  <c r="D6628" i="1"/>
  <c r="D6627" i="1"/>
  <c r="D6626" i="1"/>
  <c r="D6625" i="1"/>
  <c r="D6624" i="1"/>
  <c r="D6623" i="1"/>
  <c r="D6622" i="1"/>
  <c r="D6621" i="1"/>
  <c r="D6620" i="1"/>
  <c r="D6619" i="1"/>
  <c r="D6618" i="1"/>
  <c r="D6617" i="1"/>
  <c r="D6616" i="1"/>
  <c r="D6615" i="1"/>
  <c r="D6614" i="1"/>
  <c r="D6613" i="1"/>
  <c r="D6612" i="1"/>
  <c r="D6611" i="1"/>
  <c r="D6610" i="1"/>
  <c r="D6609" i="1"/>
  <c r="D6608" i="1"/>
  <c r="D6607" i="1"/>
  <c r="D6606" i="1"/>
  <c r="D6605" i="1"/>
  <c r="D6604" i="1"/>
  <c r="D6603" i="1"/>
  <c r="D6602" i="1"/>
  <c r="D6601" i="1"/>
  <c r="D6600" i="1"/>
  <c r="D6599" i="1"/>
  <c r="D6598" i="1"/>
  <c r="D6597" i="1"/>
  <c r="D6596" i="1"/>
  <c r="D6595" i="1"/>
  <c r="D6594" i="1"/>
  <c r="D6593" i="1"/>
  <c r="D6592" i="1"/>
  <c r="D6591" i="1"/>
  <c r="D6590" i="1"/>
  <c r="D6589" i="1"/>
  <c r="D6588" i="1"/>
  <c r="D6587" i="1"/>
  <c r="D6586" i="1"/>
  <c r="D6585" i="1"/>
  <c r="D6584" i="1"/>
  <c r="D6583" i="1"/>
  <c r="D6582" i="1"/>
  <c r="D6581" i="1"/>
  <c r="D6580" i="1"/>
  <c r="D6578" i="1"/>
  <c r="D6577" i="1"/>
  <c r="D6576" i="1"/>
  <c r="D6575" i="1"/>
  <c r="D6574" i="1"/>
  <c r="D6573" i="1"/>
  <c r="D6572" i="1"/>
  <c r="D6571" i="1"/>
  <c r="D6570" i="1"/>
  <c r="D6569" i="1"/>
  <c r="D6568" i="1"/>
  <c r="D6567" i="1"/>
  <c r="D6566" i="1"/>
  <c r="D6565" i="1"/>
  <c r="D6562" i="1"/>
  <c r="D6561" i="1"/>
  <c r="D6560" i="1"/>
  <c r="D6559" i="1"/>
  <c r="D6558" i="1"/>
  <c r="D6557" i="1"/>
  <c r="D6556" i="1"/>
  <c r="D6555" i="1"/>
  <c r="D6554" i="1"/>
  <c r="D6553" i="1"/>
  <c r="D6552" i="1"/>
  <c r="D6551" i="1"/>
  <c r="D6550" i="1"/>
  <c r="D6549" i="1"/>
  <c r="D6548" i="1"/>
  <c r="D6547" i="1"/>
  <c r="D6546" i="1"/>
  <c r="D6545" i="1"/>
  <c r="D6544" i="1"/>
  <c r="D6543" i="1"/>
  <c r="D6542" i="1"/>
  <c r="D6541" i="1"/>
  <c r="D6540" i="1"/>
  <c r="D6539" i="1"/>
  <c r="D6538" i="1"/>
  <c r="D6537" i="1"/>
  <c r="D6536" i="1"/>
  <c r="D6535" i="1"/>
  <c r="D6534" i="1"/>
  <c r="D6533" i="1"/>
  <c r="D6532" i="1"/>
  <c r="D6531" i="1"/>
  <c r="D6529" i="1"/>
  <c r="D6528" i="1"/>
  <c r="D6527" i="1"/>
  <c r="D6526" i="1"/>
  <c r="D6525" i="1"/>
  <c r="D6524" i="1"/>
  <c r="D6523" i="1"/>
  <c r="D6522" i="1"/>
  <c r="D6521" i="1"/>
  <c r="D6520" i="1"/>
  <c r="D6519" i="1"/>
  <c r="D6518" i="1"/>
  <c r="D6517" i="1"/>
  <c r="D6516" i="1"/>
  <c r="D6515" i="1"/>
  <c r="D6514" i="1"/>
  <c r="D6513" i="1"/>
  <c r="D6512" i="1"/>
  <c r="D6511" i="1"/>
  <c r="D6510" i="1"/>
  <c r="D6509" i="1"/>
  <c r="D6508" i="1"/>
  <c r="D6507" i="1"/>
  <c r="D6506" i="1"/>
  <c r="D6505" i="1"/>
  <c r="D6504" i="1"/>
  <c r="D6503" i="1"/>
  <c r="D6502" i="1"/>
  <c r="D6501" i="1"/>
  <c r="D6500" i="1"/>
  <c r="D6499" i="1"/>
  <c r="D6498" i="1"/>
  <c r="D6497" i="1"/>
  <c r="D6496" i="1"/>
  <c r="D6495" i="1"/>
  <c r="D6494" i="1"/>
  <c r="D6493" i="1"/>
  <c r="D6492" i="1"/>
  <c r="D6491" i="1"/>
  <c r="D6490" i="1"/>
  <c r="D6489" i="1"/>
  <c r="D6488" i="1"/>
  <c r="D6487" i="1"/>
  <c r="D6486" i="1"/>
  <c r="D6485" i="1"/>
  <c r="D6484" i="1"/>
  <c r="D6483" i="1"/>
  <c r="D6482" i="1"/>
  <c r="D6481" i="1"/>
  <c r="D6480" i="1"/>
  <c r="D6479" i="1"/>
  <c r="D6478" i="1"/>
  <c r="D6477" i="1"/>
  <c r="D6476" i="1"/>
  <c r="D6475" i="1"/>
  <c r="D6474" i="1"/>
  <c r="D6473" i="1"/>
  <c r="D6472" i="1"/>
  <c r="D6471" i="1"/>
  <c r="D6470" i="1"/>
  <c r="D6468" i="1"/>
  <c r="D6466" i="1"/>
  <c r="D6465" i="1"/>
  <c r="D6464" i="1"/>
  <c r="D6463" i="1"/>
  <c r="D6462" i="1"/>
  <c r="D6461" i="1"/>
  <c r="D6460" i="1"/>
  <c r="D6459" i="1"/>
  <c r="D6458" i="1"/>
  <c r="D6457" i="1"/>
  <c r="D6456" i="1"/>
  <c r="D6455" i="1"/>
  <c r="D6454" i="1"/>
  <c r="D6453" i="1"/>
  <c r="D6452" i="1"/>
  <c r="D6451" i="1"/>
  <c r="D6450" i="1"/>
  <c r="D6449" i="1"/>
  <c r="D6448" i="1"/>
  <c r="D6447" i="1"/>
  <c r="D6446" i="1"/>
  <c r="D6445" i="1"/>
  <c r="D6444" i="1"/>
  <c r="D6443" i="1"/>
  <c r="D6442" i="1"/>
  <c r="D6441" i="1"/>
  <c r="D6440" i="1"/>
  <c r="D6439" i="1"/>
  <c r="D6438" i="1"/>
  <c r="D6437" i="1"/>
  <c r="D6436" i="1"/>
  <c r="D6435" i="1"/>
  <c r="D6434" i="1"/>
  <c r="D6433" i="1"/>
  <c r="D6432" i="1"/>
  <c r="D6431" i="1"/>
  <c r="D6430" i="1"/>
  <c r="D6429" i="1"/>
  <c r="D6428" i="1"/>
  <c r="D6427" i="1"/>
  <c r="D6426" i="1"/>
  <c r="D6425" i="1"/>
  <c r="D6424" i="1"/>
  <c r="D6423" i="1"/>
  <c r="D6422" i="1"/>
  <c r="D6421" i="1"/>
  <c r="D6420" i="1"/>
  <c r="D6419" i="1"/>
  <c r="D6418" i="1"/>
  <c r="D6417" i="1"/>
  <c r="D6416" i="1"/>
  <c r="D6415" i="1"/>
  <c r="D6414" i="1"/>
  <c r="D6413" i="1"/>
  <c r="D6412" i="1"/>
  <c r="D6411" i="1"/>
  <c r="D6410" i="1"/>
  <c r="D6409" i="1"/>
  <c r="D6406" i="1"/>
  <c r="D6405" i="1"/>
  <c r="D6404" i="1"/>
  <c r="D6403" i="1"/>
  <c r="D6402" i="1"/>
  <c r="D6401" i="1"/>
  <c r="D6400" i="1"/>
  <c r="D6399" i="1"/>
  <c r="D6398" i="1"/>
  <c r="D6397" i="1"/>
  <c r="D6396" i="1"/>
  <c r="D6395" i="1"/>
  <c r="D6394" i="1"/>
  <c r="D6393" i="1"/>
  <c r="D6392" i="1"/>
  <c r="D6391" i="1"/>
  <c r="D6390" i="1"/>
  <c r="D6389" i="1"/>
  <c r="D6388" i="1"/>
  <c r="D6387" i="1"/>
  <c r="D6386" i="1"/>
  <c r="D6385" i="1"/>
  <c r="D6384" i="1"/>
  <c r="D6383" i="1"/>
  <c r="D6382" i="1"/>
  <c r="D6381" i="1"/>
  <c r="D6379" i="1"/>
  <c r="D6378" i="1"/>
  <c r="D6377" i="1"/>
  <c r="D6376" i="1"/>
  <c r="D6375" i="1"/>
  <c r="D6374" i="1"/>
  <c r="D6373" i="1"/>
  <c r="D6372" i="1"/>
  <c r="D6369" i="1"/>
  <c r="D6368" i="1"/>
  <c r="D6367" i="1"/>
  <c r="D6366" i="1"/>
  <c r="D6365" i="1"/>
  <c r="D6364" i="1"/>
  <c r="D6363" i="1"/>
  <c r="D6362" i="1"/>
  <c r="D6361" i="1"/>
  <c r="D6360" i="1"/>
  <c r="D6359" i="1"/>
  <c r="D6358" i="1"/>
  <c r="D6357" i="1"/>
  <c r="D6356" i="1"/>
  <c r="D6355" i="1"/>
  <c r="D6354" i="1"/>
  <c r="D6353" i="1"/>
  <c r="D6351" i="1"/>
  <c r="D6350" i="1"/>
  <c r="D6349" i="1"/>
  <c r="D6348" i="1"/>
  <c r="D6347" i="1"/>
  <c r="D6345" i="1"/>
  <c r="D6344" i="1"/>
  <c r="D6343" i="1"/>
  <c r="D6342" i="1"/>
  <c r="D6341" i="1"/>
  <c r="D6340" i="1"/>
  <c r="D6339" i="1"/>
  <c r="D6338" i="1"/>
  <c r="D6337" i="1"/>
  <c r="D6336" i="1"/>
  <c r="D6335" i="1"/>
  <c r="D6334" i="1"/>
  <c r="D6333" i="1"/>
  <c r="D6332" i="1"/>
  <c r="D6331" i="1"/>
  <c r="D6330" i="1"/>
  <c r="D6329" i="1"/>
  <c r="D6328" i="1"/>
  <c r="D6327" i="1"/>
  <c r="D6326" i="1"/>
  <c r="D6325" i="1"/>
  <c r="D6324" i="1"/>
  <c r="D6323" i="1"/>
  <c r="D6322" i="1"/>
  <c r="D6321" i="1"/>
  <c r="D6320" i="1"/>
  <c r="D6319" i="1"/>
  <c r="D6318" i="1"/>
  <c r="D6317" i="1"/>
  <c r="D6316" i="1"/>
  <c r="D6315" i="1"/>
  <c r="D6314" i="1"/>
  <c r="D6313" i="1"/>
  <c r="D6312" i="1"/>
  <c r="D6311" i="1"/>
  <c r="D6310" i="1"/>
  <c r="D6308" i="1"/>
  <c r="D6307" i="1"/>
  <c r="D6306" i="1"/>
  <c r="D6303" i="1"/>
  <c r="D6300" i="1"/>
  <c r="D6299" i="1"/>
  <c r="D6298" i="1"/>
  <c r="D6297" i="1"/>
  <c r="D6296" i="1"/>
  <c r="D6295" i="1"/>
  <c r="D6294" i="1"/>
  <c r="D6293" i="1"/>
  <c r="D6292" i="1"/>
  <c r="D6291" i="1"/>
  <c r="D6290" i="1"/>
  <c r="D6289" i="1"/>
  <c r="D6288" i="1"/>
  <c r="D6287" i="1"/>
  <c r="D6286" i="1"/>
  <c r="D6285" i="1"/>
  <c r="D6284" i="1"/>
  <c r="D6283" i="1"/>
  <c r="D6282" i="1"/>
  <c r="D6281" i="1"/>
  <c r="D6280" i="1"/>
  <c r="D6279" i="1"/>
  <c r="D6278" i="1"/>
  <c r="D6277" i="1"/>
  <c r="D6276" i="1"/>
  <c r="D6275" i="1"/>
  <c r="D6274" i="1"/>
  <c r="D6273" i="1"/>
  <c r="D6272" i="1"/>
  <c r="D6271" i="1"/>
  <c r="D6270" i="1"/>
  <c r="D6269" i="1"/>
  <c r="D6268" i="1"/>
  <c r="D6267" i="1"/>
  <c r="D6266" i="1"/>
  <c r="D6265" i="1"/>
  <c r="D6264" i="1"/>
  <c r="D6263" i="1"/>
  <c r="D6262" i="1"/>
  <c r="D6261" i="1"/>
  <c r="D6260" i="1"/>
  <c r="D6258" i="1"/>
  <c r="D6257" i="1"/>
  <c r="D6255" i="1"/>
  <c r="D6254" i="1"/>
  <c r="D6253" i="1"/>
  <c r="D6252" i="1"/>
  <c r="D6251" i="1"/>
  <c r="D6250" i="1"/>
  <c r="D6248" i="1"/>
  <c r="D6247" i="1"/>
  <c r="D6246" i="1"/>
  <c r="D6245" i="1"/>
  <c r="D6244" i="1"/>
  <c r="D6243" i="1"/>
  <c r="D6242" i="1"/>
  <c r="D6241" i="1"/>
  <c r="D6240" i="1"/>
  <c r="D6239" i="1"/>
  <c r="D6238" i="1"/>
  <c r="D6237" i="1"/>
  <c r="D6236" i="1"/>
  <c r="D6235" i="1"/>
  <c r="D6234" i="1"/>
  <c r="D6233" i="1"/>
  <c r="D6232" i="1"/>
  <c r="D6231" i="1"/>
  <c r="D6230" i="1"/>
  <c r="D6229" i="1"/>
  <c r="D6228" i="1"/>
  <c r="D6227" i="1"/>
  <c r="D6226" i="1"/>
  <c r="D6225" i="1"/>
  <c r="D6224" i="1"/>
  <c r="D6223" i="1"/>
  <c r="D6222" i="1"/>
  <c r="D6221" i="1"/>
  <c r="D6220" i="1"/>
  <c r="D6219" i="1"/>
  <c r="D6218" i="1"/>
  <c r="D6217" i="1"/>
  <c r="D6216" i="1"/>
  <c r="D6215" i="1"/>
  <c r="D6214" i="1"/>
  <c r="D6213" i="1"/>
  <c r="D6212" i="1"/>
  <c r="D6211" i="1"/>
  <c r="D6210" i="1"/>
  <c r="D6209" i="1"/>
  <c r="D6208" i="1"/>
  <c r="D6207" i="1"/>
  <c r="D6206" i="1"/>
  <c r="D6205" i="1"/>
  <c r="D6204" i="1"/>
  <c r="D6203" i="1"/>
  <c r="D6202" i="1"/>
  <c r="D6201" i="1"/>
  <c r="D6200" i="1"/>
  <c r="D6199" i="1"/>
  <c r="D6198" i="1"/>
  <c r="D6197" i="1"/>
  <c r="D6196" i="1"/>
  <c r="D6195" i="1"/>
  <c r="D6194" i="1"/>
  <c r="D6193" i="1"/>
  <c r="D6192" i="1"/>
  <c r="D6191" i="1"/>
  <c r="D6190" i="1"/>
  <c r="D6189" i="1"/>
  <c r="D6188" i="1"/>
  <c r="D6186" i="1"/>
  <c r="D6185" i="1"/>
  <c r="D6184" i="1"/>
  <c r="D6183" i="1"/>
  <c r="D6181" i="1"/>
  <c r="D6180" i="1"/>
  <c r="D6179" i="1"/>
  <c r="D6177" i="1"/>
  <c r="D6176" i="1"/>
  <c r="D6175" i="1"/>
  <c r="D6174" i="1"/>
  <c r="D6173" i="1"/>
  <c r="D6172" i="1"/>
  <c r="D6171" i="1"/>
  <c r="D6170" i="1"/>
  <c r="D6169" i="1"/>
  <c r="D6168" i="1"/>
  <c r="D6167" i="1"/>
  <c r="D6166" i="1"/>
  <c r="D6165" i="1"/>
  <c r="D6163" i="1"/>
  <c r="D6162" i="1"/>
  <c r="D6161" i="1"/>
  <c r="D6160" i="1"/>
  <c r="D6159" i="1"/>
  <c r="D6157" i="1"/>
  <c r="D6156" i="1"/>
  <c r="D6155" i="1"/>
  <c r="D6154" i="1"/>
  <c r="D6153" i="1"/>
  <c r="D6151" i="1"/>
  <c r="D6150" i="1"/>
  <c r="D6148" i="1"/>
  <c r="D6147" i="1"/>
  <c r="D6146" i="1"/>
  <c r="D6145" i="1"/>
  <c r="D6144" i="1"/>
  <c r="D6143" i="1"/>
  <c r="D6142" i="1"/>
  <c r="D6141" i="1"/>
  <c r="D6140" i="1"/>
  <c r="D6139" i="1"/>
  <c r="D6138" i="1"/>
  <c r="D6137" i="1"/>
  <c r="D6136" i="1"/>
  <c r="D6135" i="1"/>
  <c r="D6134" i="1"/>
  <c r="D6133" i="1"/>
  <c r="D6132" i="1"/>
  <c r="D6131" i="1"/>
  <c r="D6130" i="1"/>
  <c r="D6129" i="1"/>
  <c r="D6128" i="1"/>
  <c r="D6127" i="1"/>
  <c r="D6126" i="1"/>
  <c r="D6125" i="1"/>
  <c r="D6124" i="1"/>
  <c r="D6123" i="1"/>
  <c r="D6122" i="1"/>
  <c r="D6121" i="1"/>
  <c r="D6120" i="1"/>
  <c r="D6119" i="1"/>
  <c r="D6118" i="1"/>
  <c r="D6117" i="1"/>
  <c r="D6116" i="1"/>
  <c r="D6115" i="1"/>
  <c r="D6114" i="1"/>
  <c r="D6113" i="1"/>
  <c r="D6112" i="1"/>
  <c r="D6111" i="1"/>
  <c r="D6110" i="1"/>
  <c r="D6109" i="1"/>
  <c r="D6108" i="1"/>
  <c r="D6107" i="1"/>
  <c r="D6106" i="1"/>
  <c r="D6105" i="1"/>
  <c r="D6104" i="1"/>
  <c r="D6103" i="1"/>
  <c r="D6102" i="1"/>
  <c r="D6101" i="1"/>
  <c r="D6100" i="1"/>
  <c r="D6099" i="1"/>
  <c r="D6098" i="1"/>
  <c r="D6097" i="1"/>
  <c r="D6096" i="1"/>
  <c r="D6095" i="1"/>
  <c r="D6094" i="1"/>
  <c r="D6093" i="1"/>
  <c r="D6092" i="1"/>
  <c r="D6091" i="1"/>
  <c r="D6090" i="1"/>
  <c r="D6089" i="1"/>
  <c r="D6088" i="1"/>
  <c r="D6087" i="1"/>
  <c r="D6086" i="1"/>
  <c r="D6085" i="1"/>
  <c r="D6084" i="1"/>
  <c r="D6083" i="1"/>
  <c r="D6082" i="1"/>
  <c r="D6081" i="1"/>
  <c r="D6080" i="1"/>
  <c r="D6079" i="1"/>
  <c r="D6078" i="1"/>
  <c r="D6077" i="1"/>
  <c r="D6076" i="1"/>
  <c r="D6075" i="1"/>
  <c r="D6074" i="1"/>
  <c r="D6073" i="1"/>
  <c r="D6072" i="1"/>
  <c r="D6071" i="1"/>
  <c r="D6070" i="1"/>
  <c r="D6069" i="1"/>
  <c r="D6068" i="1"/>
  <c r="D6067" i="1"/>
  <c r="D6066" i="1"/>
  <c r="D6065" i="1"/>
  <c r="D6064" i="1"/>
  <c r="D6063" i="1"/>
  <c r="D6062" i="1"/>
  <c r="D6061" i="1"/>
  <c r="D6060" i="1"/>
  <c r="D6059" i="1"/>
  <c r="D6058" i="1"/>
  <c r="D6057" i="1"/>
  <c r="D6056" i="1"/>
  <c r="D6055" i="1"/>
  <c r="D6054" i="1"/>
  <c r="D6053" i="1"/>
  <c r="D6052" i="1"/>
  <c r="D6051" i="1"/>
  <c r="D6050" i="1"/>
  <c r="D6049" i="1"/>
  <c r="D6048" i="1"/>
  <c r="D6047" i="1"/>
  <c r="D6045" i="1"/>
  <c r="D6044" i="1"/>
  <c r="D6043" i="1"/>
  <c r="D6042" i="1"/>
  <c r="D6041" i="1"/>
  <c r="D6040" i="1"/>
  <c r="D6039" i="1"/>
  <c r="D6038" i="1"/>
  <c r="D6037" i="1"/>
  <c r="D6036" i="1"/>
  <c r="D6035" i="1"/>
  <c r="D6034" i="1"/>
  <c r="D6033" i="1"/>
  <c r="D6031" i="1"/>
  <c r="D6030" i="1"/>
  <c r="D6029" i="1"/>
  <c r="D6028" i="1"/>
  <c r="D6026" i="1"/>
  <c r="D6025" i="1"/>
  <c r="D6024" i="1"/>
  <c r="D6023" i="1"/>
  <c r="D6022" i="1"/>
  <c r="D6021" i="1"/>
  <c r="D6020" i="1"/>
  <c r="D6019" i="1"/>
  <c r="D6017" i="1"/>
  <c r="D6016" i="1"/>
  <c r="D6015" i="1"/>
  <c r="D6014" i="1"/>
  <c r="D6013" i="1"/>
  <c r="D6012" i="1"/>
  <c r="D6011" i="1"/>
  <c r="D6010" i="1"/>
  <c r="D6009" i="1"/>
  <c r="D6008" i="1"/>
  <c r="D6007" i="1"/>
  <c r="D6006" i="1"/>
  <c r="D6005" i="1"/>
  <c r="D6004" i="1"/>
  <c r="D6003" i="1"/>
  <c r="D6002" i="1"/>
  <c r="D6001" i="1"/>
  <c r="D6000" i="1"/>
  <c r="D5999" i="1"/>
  <c r="D5998" i="1"/>
  <c r="D5997" i="1"/>
  <c r="D5996" i="1"/>
  <c r="D5995" i="1"/>
  <c r="D5994" i="1"/>
  <c r="D5993" i="1"/>
  <c r="D5992" i="1"/>
  <c r="D5991" i="1"/>
  <c r="D5990" i="1"/>
  <c r="D5989" i="1"/>
  <c r="D5988" i="1"/>
  <c r="D5987" i="1"/>
  <c r="D5986" i="1"/>
  <c r="D5985" i="1"/>
  <c r="D5984" i="1"/>
  <c r="D5983" i="1"/>
  <c r="D5981" i="1"/>
  <c r="D5978" i="1"/>
  <c r="D5975" i="1"/>
  <c r="D5974" i="1"/>
  <c r="D5973" i="1"/>
  <c r="D5972" i="1"/>
  <c r="D5971" i="1"/>
  <c r="D5970" i="1"/>
  <c r="D5969" i="1"/>
  <c r="D5968" i="1"/>
  <c r="D5966" i="1"/>
  <c r="D5965" i="1"/>
  <c r="D5964" i="1"/>
  <c r="D5962" i="1"/>
  <c r="D5961" i="1"/>
  <c r="D5960" i="1"/>
  <c r="D5959" i="1"/>
  <c r="D5958" i="1"/>
  <c r="D5957" i="1"/>
  <c r="D5956" i="1"/>
  <c r="D5955" i="1"/>
  <c r="D5953" i="1"/>
  <c r="D5952" i="1"/>
  <c r="D5951" i="1"/>
  <c r="D5950" i="1"/>
  <c r="D5949" i="1"/>
  <c r="D5948" i="1"/>
  <c r="D5947" i="1"/>
  <c r="D5946" i="1"/>
  <c r="D5945" i="1"/>
  <c r="D5944" i="1"/>
  <c r="D5943" i="1"/>
  <c r="D5942" i="1"/>
  <c r="D5941" i="1"/>
  <c r="D5940" i="1"/>
  <c r="D5938" i="1"/>
  <c r="D5937" i="1"/>
  <c r="D5936" i="1"/>
  <c r="D5935" i="1"/>
  <c r="D5934" i="1"/>
  <c r="D5933" i="1"/>
  <c r="D5932" i="1"/>
  <c r="D5931" i="1"/>
  <c r="D5930" i="1"/>
  <c r="D5929" i="1"/>
  <c r="D5928" i="1"/>
  <c r="D5927" i="1"/>
  <c r="D5926" i="1"/>
  <c r="D5925" i="1"/>
  <c r="D5924" i="1"/>
  <c r="D5923" i="1"/>
  <c r="D5922" i="1"/>
  <c r="D5921" i="1"/>
  <c r="D5920" i="1"/>
  <c r="D5917" i="1"/>
  <c r="D5916" i="1"/>
  <c r="D5915" i="1"/>
  <c r="D5914" i="1"/>
  <c r="D5913" i="1"/>
  <c r="D5912" i="1"/>
  <c r="D5910" i="1"/>
  <c r="D5908" i="1"/>
  <c r="D5906" i="1"/>
  <c r="D5905" i="1"/>
  <c r="D5902" i="1"/>
  <c r="D5900" i="1"/>
  <c r="D5899" i="1"/>
  <c r="D5898" i="1"/>
  <c r="D5897" i="1"/>
  <c r="D5896" i="1"/>
  <c r="D5895" i="1"/>
  <c r="D5894" i="1"/>
  <c r="D5893" i="1"/>
  <c r="D5892" i="1"/>
  <c r="D5891" i="1"/>
  <c r="D5890" i="1"/>
  <c r="D5889" i="1"/>
  <c r="D5888" i="1"/>
  <c r="D5887" i="1"/>
  <c r="D5886" i="1"/>
  <c r="D5885" i="1"/>
  <c r="D5882" i="1"/>
  <c r="D5881" i="1"/>
  <c r="D5880" i="1"/>
  <c r="D5879" i="1"/>
  <c r="D5878" i="1"/>
  <c r="D5877" i="1"/>
  <c r="D5874" i="1"/>
  <c r="D5872" i="1"/>
  <c r="D5871" i="1"/>
  <c r="D5870" i="1"/>
  <c r="D5869" i="1"/>
  <c r="D5868" i="1"/>
  <c r="D5867" i="1"/>
  <c r="D5866" i="1"/>
  <c r="D5865" i="1"/>
  <c r="D5864" i="1"/>
  <c r="D5863" i="1"/>
  <c r="D5862" i="1"/>
  <c r="D5861" i="1"/>
  <c r="D5859" i="1"/>
  <c r="D5858" i="1"/>
  <c r="D5857" i="1"/>
  <c r="D5856" i="1"/>
  <c r="D5855" i="1"/>
  <c r="D5854" i="1"/>
  <c r="D5853" i="1"/>
  <c r="D5851" i="1"/>
  <c r="D5850" i="1"/>
  <c r="D5849" i="1"/>
  <c r="D5848" i="1"/>
  <c r="D5847" i="1"/>
  <c r="D5846" i="1"/>
  <c r="D5845" i="1"/>
  <c r="D5844" i="1"/>
  <c r="D5843" i="1"/>
  <c r="D5842" i="1"/>
  <c r="D5841" i="1"/>
  <c r="D5840" i="1"/>
  <c r="D5839" i="1"/>
  <c r="D5838" i="1"/>
  <c r="D5837" i="1"/>
  <c r="D5836" i="1"/>
  <c r="D5835" i="1"/>
  <c r="D5834" i="1"/>
  <c r="D5833" i="1"/>
  <c r="D5832" i="1"/>
  <c r="D5831" i="1"/>
  <c r="D5830" i="1"/>
  <c r="D5828" i="1"/>
  <c r="D5827" i="1"/>
  <c r="D5826" i="1"/>
  <c r="D5825" i="1"/>
  <c r="D5824" i="1"/>
  <c r="D5823" i="1"/>
  <c r="D5822" i="1"/>
  <c r="D5821" i="1"/>
  <c r="D5820" i="1"/>
  <c r="D5819" i="1"/>
  <c r="D5818" i="1"/>
  <c r="D5817" i="1"/>
  <c r="D5815" i="1"/>
  <c r="D5813" i="1"/>
  <c r="D5812" i="1"/>
  <c r="D5810" i="1"/>
  <c r="D5809" i="1"/>
  <c r="D5808" i="1"/>
  <c r="D5807" i="1"/>
  <c r="D5806" i="1"/>
  <c r="D5805" i="1"/>
  <c r="D5804" i="1"/>
  <c r="D5803" i="1"/>
  <c r="D5802" i="1"/>
  <c r="D5801" i="1"/>
  <c r="D5800" i="1"/>
  <c r="D5799" i="1"/>
  <c r="D5798" i="1"/>
  <c r="D5797" i="1"/>
  <c r="D5796" i="1"/>
  <c r="D5793" i="1"/>
  <c r="D5792" i="1"/>
  <c r="D5791" i="1"/>
  <c r="D5790" i="1"/>
  <c r="D5789" i="1"/>
  <c r="D5788" i="1"/>
  <c r="D5787" i="1"/>
  <c r="D5786" i="1"/>
  <c r="D5785" i="1"/>
  <c r="D5784" i="1"/>
  <c r="D5783" i="1"/>
  <c r="D5782" i="1"/>
  <c r="D5781" i="1"/>
  <c r="D5780" i="1"/>
  <c r="D5779" i="1"/>
  <c r="D5778" i="1"/>
  <c r="D5777" i="1"/>
  <c r="D5776" i="1"/>
  <c r="D5775" i="1"/>
  <c r="D5774" i="1"/>
  <c r="D5773" i="1"/>
  <c r="D5772" i="1"/>
  <c r="D5771" i="1"/>
  <c r="D5770" i="1"/>
  <c r="D5769" i="1"/>
  <c r="D5768" i="1"/>
  <c r="D5767" i="1"/>
  <c r="D5766" i="1"/>
  <c r="D5765" i="1"/>
  <c r="D5764" i="1"/>
  <c r="D5763" i="1"/>
  <c r="D5762" i="1"/>
  <c r="D5761" i="1"/>
  <c r="D5760" i="1"/>
  <c r="D5759" i="1"/>
  <c r="D5758" i="1"/>
  <c r="D5757" i="1"/>
  <c r="D5756" i="1"/>
  <c r="D5755" i="1"/>
  <c r="D5754" i="1"/>
  <c r="D5753" i="1"/>
  <c r="D5752" i="1"/>
  <c r="D5751" i="1"/>
  <c r="D5750" i="1"/>
  <c r="D5749" i="1"/>
  <c r="D5748" i="1"/>
  <c r="D5747" i="1"/>
  <c r="D5746" i="1"/>
  <c r="D5745" i="1"/>
  <c r="D5744" i="1"/>
  <c r="D5743" i="1"/>
  <c r="D5742" i="1"/>
  <c r="D5741" i="1"/>
  <c r="D5740" i="1"/>
  <c r="D5739" i="1"/>
  <c r="D5738" i="1"/>
  <c r="D5737" i="1"/>
  <c r="D5736" i="1"/>
  <c r="D5735" i="1"/>
  <c r="D5734" i="1"/>
  <c r="D5733" i="1"/>
  <c r="D5732" i="1"/>
  <c r="D5731" i="1"/>
  <c r="D5730" i="1"/>
  <c r="D5729" i="1"/>
  <c r="D5728" i="1"/>
  <c r="D5727" i="1"/>
  <c r="D5726" i="1"/>
  <c r="D5725" i="1"/>
  <c r="D5724" i="1"/>
  <c r="D5723" i="1"/>
  <c r="D5722" i="1"/>
  <c r="D5721" i="1"/>
  <c r="D5720" i="1"/>
  <c r="D5719" i="1"/>
  <c r="D5718" i="1"/>
  <c r="D5717" i="1"/>
  <c r="D5716" i="1"/>
  <c r="D5715" i="1"/>
  <c r="D5714" i="1"/>
  <c r="D5713" i="1"/>
  <c r="D5712" i="1"/>
  <c r="D5711" i="1"/>
  <c r="D5710" i="1"/>
  <c r="D5709" i="1"/>
  <c r="D5708" i="1"/>
  <c r="D5707" i="1"/>
  <c r="D5706" i="1"/>
  <c r="D5705" i="1"/>
  <c r="D5704" i="1"/>
  <c r="D5703" i="1"/>
  <c r="D5702" i="1"/>
  <c r="D5701" i="1"/>
  <c r="D5700" i="1"/>
  <c r="D5699" i="1"/>
  <c r="D5698" i="1"/>
  <c r="D5697" i="1"/>
  <c r="D5696" i="1"/>
  <c r="D5695" i="1"/>
  <c r="D5694" i="1"/>
  <c r="D5693" i="1"/>
  <c r="D5692" i="1"/>
  <c r="D5691" i="1"/>
  <c r="D5690" i="1"/>
  <c r="D5689" i="1"/>
  <c r="D5688" i="1"/>
  <c r="D5687" i="1"/>
  <c r="D5686" i="1"/>
  <c r="D5685" i="1"/>
  <c r="D5684" i="1"/>
  <c r="D5683" i="1"/>
  <c r="D5682" i="1"/>
  <c r="D5681" i="1"/>
  <c r="D5680" i="1"/>
  <c r="D5679" i="1"/>
  <c r="D5678" i="1"/>
  <c r="D5677" i="1"/>
  <c r="D5676" i="1"/>
  <c r="D5675" i="1"/>
  <c r="D5674" i="1"/>
  <c r="D5673" i="1"/>
  <c r="D5672" i="1"/>
  <c r="D5671" i="1"/>
  <c r="D5670" i="1"/>
  <c r="D5669" i="1"/>
  <c r="D5668" i="1"/>
  <c r="D5667" i="1"/>
  <c r="D5666" i="1"/>
  <c r="D5665" i="1"/>
  <c r="D5664" i="1"/>
  <c r="D5663" i="1"/>
  <c r="D5662" i="1"/>
  <c r="D5661" i="1"/>
  <c r="D5660" i="1"/>
  <c r="D5659" i="1"/>
  <c r="D5658" i="1"/>
  <c r="D5657" i="1"/>
  <c r="D5656" i="1"/>
  <c r="D5655" i="1"/>
  <c r="D5654" i="1"/>
  <c r="D5653" i="1"/>
  <c r="D5652" i="1"/>
  <c r="D5651" i="1"/>
  <c r="D5650" i="1"/>
  <c r="D5649" i="1"/>
  <c r="D5648" i="1"/>
  <c r="D5647" i="1"/>
  <c r="D5646" i="1"/>
  <c r="D5645" i="1"/>
  <c r="D5644" i="1"/>
  <c r="D5643" i="1"/>
  <c r="D5642" i="1"/>
  <c r="D5641" i="1"/>
  <c r="D5640" i="1"/>
  <c r="D5639" i="1"/>
  <c r="D5638" i="1"/>
  <c r="D5637" i="1"/>
  <c r="D5636" i="1"/>
  <c r="D5635" i="1"/>
  <c r="D5634" i="1"/>
  <c r="D5633" i="1"/>
  <c r="D5632" i="1"/>
  <c r="D5631" i="1"/>
  <c r="D5630" i="1"/>
  <c r="D5629" i="1"/>
  <c r="D5628" i="1"/>
  <c r="D5627" i="1"/>
  <c r="D5626" i="1"/>
  <c r="D5625" i="1"/>
  <c r="D5624" i="1"/>
  <c r="D5623" i="1"/>
  <c r="D5622" i="1"/>
  <c r="D5621" i="1"/>
  <c r="D5620" i="1"/>
  <c r="D5619" i="1"/>
  <c r="D5618" i="1"/>
  <c r="D5617" i="1"/>
  <c r="D5616" i="1"/>
  <c r="D5615" i="1"/>
  <c r="D5614" i="1"/>
  <c r="D5613" i="1"/>
  <c r="D5612" i="1"/>
  <c r="D5611" i="1"/>
  <c r="D5610" i="1"/>
  <c r="D5609" i="1"/>
  <c r="D5608" i="1"/>
  <c r="D5607" i="1"/>
  <c r="D5606" i="1"/>
  <c r="D5605" i="1"/>
  <c r="D5604" i="1"/>
  <c r="D5603" i="1"/>
  <c r="D5602" i="1"/>
  <c r="D5601" i="1"/>
  <c r="D5600" i="1"/>
  <c r="D5599" i="1"/>
  <c r="D5598" i="1"/>
  <c r="D5597" i="1"/>
  <c r="D5596" i="1"/>
  <c r="D5595" i="1"/>
  <c r="D5594" i="1"/>
  <c r="D5593" i="1"/>
  <c r="D5592" i="1"/>
  <c r="D5591" i="1"/>
  <c r="D5590" i="1"/>
  <c r="D5589" i="1"/>
  <c r="D5588" i="1"/>
  <c r="D5587" i="1"/>
  <c r="D5586" i="1"/>
  <c r="D5585" i="1"/>
  <c r="D5584" i="1"/>
  <c r="D5583" i="1"/>
  <c r="D5582" i="1"/>
  <c r="D5581" i="1"/>
  <c r="D5580" i="1"/>
  <c r="D5579" i="1"/>
  <c r="D5578" i="1"/>
  <c r="D5577" i="1"/>
  <c r="D5576" i="1"/>
  <c r="D5575" i="1"/>
  <c r="D5574" i="1"/>
  <c r="D5572" i="1"/>
  <c r="D5571" i="1"/>
  <c r="D5570" i="1"/>
  <c r="D5569" i="1"/>
  <c r="D5568" i="1"/>
  <c r="D5567" i="1"/>
  <c r="D5566" i="1"/>
  <c r="D5565" i="1"/>
  <c r="D5564" i="1"/>
  <c r="D5563" i="1"/>
  <c r="D5562" i="1"/>
  <c r="D5561" i="1"/>
  <c r="D5560" i="1"/>
  <c r="D5559" i="1"/>
  <c r="D5558" i="1"/>
  <c r="D5557" i="1"/>
  <c r="D5556" i="1"/>
  <c r="D5555" i="1"/>
  <c r="D5554" i="1"/>
  <c r="D5553" i="1"/>
  <c r="D5552" i="1"/>
  <c r="D5551" i="1"/>
  <c r="D5550" i="1"/>
  <c r="D5549" i="1"/>
  <c r="D5548" i="1"/>
  <c r="D5547" i="1"/>
  <c r="D5546" i="1"/>
  <c r="D5545" i="1"/>
  <c r="D5544" i="1"/>
  <c r="D5543" i="1"/>
  <c r="D5542" i="1"/>
  <c r="D5541" i="1"/>
  <c r="D5540" i="1"/>
  <c r="D5539" i="1"/>
  <c r="D5538" i="1"/>
  <c r="D5537" i="1"/>
  <c r="D5536" i="1"/>
  <c r="D5535" i="1"/>
  <c r="D5534" i="1"/>
  <c r="D5533" i="1"/>
  <c r="D5532" i="1"/>
  <c r="D5531" i="1"/>
  <c r="D5530" i="1"/>
  <c r="D5529" i="1"/>
  <c r="D5528" i="1"/>
  <c r="D5527" i="1"/>
  <c r="D5526" i="1"/>
  <c r="D5525" i="1"/>
  <c r="D5524" i="1"/>
  <c r="D5523" i="1"/>
  <c r="D5522" i="1"/>
  <c r="D5521" i="1"/>
  <c r="D5519" i="1"/>
  <c r="D5518" i="1"/>
  <c r="D5517" i="1"/>
  <c r="D5515" i="1"/>
  <c r="D5514" i="1"/>
  <c r="D5513" i="1"/>
  <c r="D5512" i="1"/>
  <c r="D5511" i="1"/>
  <c r="D5510" i="1"/>
  <c r="D5509" i="1"/>
  <c r="D5508" i="1"/>
  <c r="D5507" i="1"/>
  <c r="D5506" i="1"/>
  <c r="D5505" i="1"/>
  <c r="D5504" i="1"/>
  <c r="D5503" i="1"/>
  <c r="D5502" i="1"/>
  <c r="D5501" i="1"/>
  <c r="D5500" i="1"/>
  <c r="D5499" i="1"/>
  <c r="D5498" i="1"/>
  <c r="D5497" i="1"/>
  <c r="D5496" i="1"/>
  <c r="D5495" i="1"/>
  <c r="D5494" i="1"/>
  <c r="D5493" i="1"/>
  <c r="D5492" i="1"/>
  <c r="D5491" i="1"/>
  <c r="D5490" i="1"/>
  <c r="D5489" i="1"/>
  <c r="D5488" i="1"/>
  <c r="D5487" i="1"/>
  <c r="D5486" i="1"/>
  <c r="D5485" i="1"/>
  <c r="D5484" i="1"/>
  <c r="D5483" i="1"/>
  <c r="D5481" i="1"/>
  <c r="D5480" i="1"/>
  <c r="D5479" i="1"/>
  <c r="D5478" i="1"/>
  <c r="D5477" i="1"/>
  <c r="D5476" i="1"/>
  <c r="D5475" i="1"/>
  <c r="D5474" i="1"/>
  <c r="D5473" i="1"/>
  <c r="D5472" i="1"/>
  <c r="D5471" i="1"/>
  <c r="D5470" i="1"/>
  <c r="D5469" i="1"/>
  <c r="D5468" i="1"/>
  <c r="D5467" i="1"/>
  <c r="D5466" i="1"/>
  <c r="D5465" i="1"/>
  <c r="D5464" i="1"/>
  <c r="D5463" i="1"/>
  <c r="D5462" i="1"/>
  <c r="D5461" i="1"/>
  <c r="D5460" i="1"/>
  <c r="D5459" i="1"/>
  <c r="D5458" i="1"/>
  <c r="D5457" i="1"/>
  <c r="D5456" i="1"/>
  <c r="D5455" i="1"/>
  <c r="D5454" i="1"/>
  <c r="D5453" i="1"/>
  <c r="D5452" i="1"/>
  <c r="D5451" i="1"/>
  <c r="D5450" i="1"/>
  <c r="D5449" i="1"/>
  <c r="D5448" i="1"/>
  <c r="D5447" i="1"/>
  <c r="D5446" i="1"/>
  <c r="D5445" i="1"/>
  <c r="D5444" i="1"/>
  <c r="D5443" i="1"/>
  <c r="D5442" i="1"/>
  <c r="D5441" i="1"/>
  <c r="D5440" i="1"/>
  <c r="D5439" i="1"/>
  <c r="D5438" i="1"/>
  <c r="D5437" i="1"/>
  <c r="D5436" i="1"/>
  <c r="D5435" i="1"/>
  <c r="D5434" i="1"/>
  <c r="D5433" i="1"/>
  <c r="D5432" i="1"/>
  <c r="D5431" i="1"/>
  <c r="D5430" i="1"/>
  <c r="D5429" i="1"/>
  <c r="D5428" i="1"/>
  <c r="D5427" i="1"/>
  <c r="D5426" i="1"/>
  <c r="D5425" i="1"/>
  <c r="D5424" i="1"/>
  <c r="D5423" i="1"/>
  <c r="D5422" i="1"/>
  <c r="D5421" i="1"/>
  <c r="D5420" i="1"/>
  <c r="D5419" i="1"/>
  <c r="D5418" i="1"/>
  <c r="D5417" i="1"/>
  <c r="D5416" i="1"/>
  <c r="D5415" i="1"/>
  <c r="D5414" i="1"/>
  <c r="D5413" i="1"/>
  <c r="D5412" i="1"/>
  <c r="D5411" i="1"/>
  <c r="D5410" i="1"/>
  <c r="D5409" i="1"/>
  <c r="D5408" i="1"/>
  <c r="D5407" i="1"/>
  <c r="D5406" i="1"/>
  <c r="D5405" i="1"/>
  <c r="D5404" i="1"/>
  <c r="D5403" i="1"/>
  <c r="D5402" i="1"/>
  <c r="D5401" i="1"/>
  <c r="D5400" i="1"/>
  <c r="D5399" i="1"/>
  <c r="D5398" i="1"/>
  <c r="D5397" i="1"/>
  <c r="D5396" i="1"/>
  <c r="D5395" i="1"/>
  <c r="D5394" i="1"/>
  <c r="D5393" i="1"/>
  <c r="D5392" i="1"/>
  <c r="D5391" i="1"/>
  <c r="D5390" i="1"/>
  <c r="D5389" i="1"/>
  <c r="D5388" i="1"/>
  <c r="D5387" i="1"/>
  <c r="D5386" i="1"/>
  <c r="D5385" i="1"/>
  <c r="D5384" i="1"/>
  <c r="D5383" i="1"/>
  <c r="D5382" i="1"/>
  <c r="D5381" i="1"/>
  <c r="D5380" i="1"/>
  <c r="D5379" i="1"/>
  <c r="D5378" i="1"/>
  <c r="D5377" i="1"/>
  <c r="D5376" i="1"/>
  <c r="D5375" i="1"/>
  <c r="D5374" i="1"/>
  <c r="D5373" i="1"/>
  <c r="D5372" i="1"/>
  <c r="D5371" i="1"/>
  <c r="D5370" i="1"/>
  <c r="D5369" i="1"/>
  <c r="D5368" i="1"/>
  <c r="D5367" i="1"/>
  <c r="D5366" i="1"/>
  <c r="D5365" i="1"/>
  <c r="D5364" i="1"/>
  <c r="D5363" i="1"/>
  <c r="D5362" i="1"/>
  <c r="D5361" i="1"/>
  <c r="D5360" i="1"/>
  <c r="D5359" i="1"/>
  <c r="D5358" i="1"/>
  <c r="D5357" i="1"/>
  <c r="D5356" i="1"/>
  <c r="D5355" i="1"/>
  <c r="D5354" i="1"/>
  <c r="D5353" i="1"/>
  <c r="D5352" i="1"/>
  <c r="D5351" i="1"/>
  <c r="D5350" i="1"/>
  <c r="D5349" i="1"/>
  <c r="D5348" i="1"/>
  <c r="D5347" i="1"/>
  <c r="D5346" i="1"/>
  <c r="D5345" i="1"/>
  <c r="D5343" i="1"/>
  <c r="D5342" i="1"/>
  <c r="D5340" i="1"/>
  <c r="D5339" i="1"/>
  <c r="D5337" i="1"/>
  <c r="D5336" i="1"/>
  <c r="D5335" i="1"/>
  <c r="D5334" i="1"/>
  <c r="D5332" i="1"/>
  <c r="D5331" i="1"/>
  <c r="D5327" i="1"/>
  <c r="D5325" i="1"/>
  <c r="D5324" i="1"/>
  <c r="D5322" i="1"/>
  <c r="D5320" i="1"/>
  <c r="D5319" i="1"/>
  <c r="D5316" i="1"/>
  <c r="D5315" i="1"/>
  <c r="D5314" i="1"/>
  <c r="D5313" i="1"/>
  <c r="D5312" i="1"/>
  <c r="D5311" i="1"/>
  <c r="D5310" i="1"/>
  <c r="D5309" i="1"/>
  <c r="D5308" i="1"/>
  <c r="D5307" i="1"/>
  <c r="D5306" i="1"/>
  <c r="D5304" i="1"/>
  <c r="D5303" i="1"/>
  <c r="D5302" i="1"/>
  <c r="D5301" i="1"/>
  <c r="D5300" i="1"/>
  <c r="D5296" i="1"/>
  <c r="D5295" i="1"/>
  <c r="D5294" i="1"/>
  <c r="D5293" i="1"/>
  <c r="D5292" i="1"/>
  <c r="D5289" i="1"/>
  <c r="D5288" i="1"/>
  <c r="D5286" i="1"/>
  <c r="D5285" i="1"/>
  <c r="D5284" i="1"/>
  <c r="D5283" i="1"/>
  <c r="D5280" i="1"/>
  <c r="D5278" i="1"/>
  <c r="D5277" i="1"/>
  <c r="D5276" i="1"/>
  <c r="D5274" i="1"/>
  <c r="D5273" i="1"/>
  <c r="D5272" i="1"/>
  <c r="D5271" i="1"/>
  <c r="D5270" i="1"/>
  <c r="D5267" i="1"/>
  <c r="D5266" i="1"/>
  <c r="D5263" i="1"/>
  <c r="D5262" i="1"/>
  <c r="D5261" i="1"/>
  <c r="D5260" i="1"/>
  <c r="D5259" i="1"/>
  <c r="D5258" i="1"/>
  <c r="D5257" i="1"/>
  <c r="D5256" i="1"/>
  <c r="D5255" i="1"/>
  <c r="D5254" i="1"/>
  <c r="D5253" i="1"/>
  <c r="D5252" i="1"/>
  <c r="D5251" i="1"/>
  <c r="D5250" i="1"/>
  <c r="D5249" i="1"/>
  <c r="D5248" i="1"/>
  <c r="D5247" i="1"/>
  <c r="D5246" i="1"/>
  <c r="D5245" i="1"/>
  <c r="D5244" i="1"/>
  <c r="D5243" i="1"/>
  <c r="D5242" i="1"/>
  <c r="D5241" i="1"/>
  <c r="D5240" i="1"/>
  <c r="D5239" i="1"/>
  <c r="D5238" i="1"/>
  <c r="D5237" i="1"/>
  <c r="D5236" i="1"/>
  <c r="D5235" i="1"/>
  <c r="D5234" i="1"/>
  <c r="D5233" i="1"/>
  <c r="D5232" i="1"/>
  <c r="D5231" i="1"/>
  <c r="D5230" i="1"/>
  <c r="D5229" i="1"/>
  <c r="D5228" i="1"/>
  <c r="D5227" i="1"/>
  <c r="D5226" i="1"/>
  <c r="D5225" i="1"/>
  <c r="D5224" i="1"/>
  <c r="D5223" i="1"/>
  <c r="D5222" i="1"/>
  <c r="D5221" i="1"/>
  <c r="D5220" i="1"/>
  <c r="D5219" i="1"/>
  <c r="D5218" i="1"/>
  <c r="D5217" i="1"/>
  <c r="D5216" i="1"/>
  <c r="D5214" i="1"/>
  <c r="D5213" i="1"/>
  <c r="D5212" i="1"/>
  <c r="D5211" i="1"/>
  <c r="D5210" i="1"/>
  <c r="D5209" i="1"/>
  <c r="D5208" i="1"/>
  <c r="D5207" i="1"/>
  <c r="D5206" i="1"/>
  <c r="D5205" i="1"/>
  <c r="D5204" i="1"/>
  <c r="D5203" i="1"/>
  <c r="D5202" i="1"/>
  <c r="D5201" i="1"/>
  <c r="D5200" i="1"/>
  <c r="D5199" i="1"/>
  <c r="D5198" i="1"/>
  <c r="D5197" i="1"/>
  <c r="D5196" i="1"/>
  <c r="D5195" i="1"/>
  <c r="D5194" i="1"/>
  <c r="D5193" i="1"/>
  <c r="D5192" i="1"/>
  <c r="D5191" i="1"/>
  <c r="D5190" i="1"/>
  <c r="D5189" i="1"/>
  <c r="D5188" i="1"/>
  <c r="D5187" i="1"/>
  <c r="D5186" i="1"/>
  <c r="D5185" i="1"/>
  <c r="D5184" i="1"/>
  <c r="D5183" i="1"/>
  <c r="D5182" i="1"/>
  <c r="D5181" i="1"/>
  <c r="D5180" i="1"/>
  <c r="D5179" i="1"/>
  <c r="D5178" i="1"/>
  <c r="D5177" i="1"/>
  <c r="D5176" i="1"/>
  <c r="D5175" i="1"/>
  <c r="D5174" i="1"/>
  <c r="D5173" i="1"/>
  <c r="D5172" i="1"/>
  <c r="D5171" i="1"/>
  <c r="D5170" i="1"/>
  <c r="D5169" i="1"/>
  <c r="D5168" i="1"/>
  <c r="D5167" i="1"/>
  <c r="D5165" i="1"/>
  <c r="D5164" i="1"/>
  <c r="D5163" i="1"/>
  <c r="D5162" i="1"/>
  <c r="D5160" i="1"/>
  <c r="D5159" i="1"/>
  <c r="D5158" i="1"/>
  <c r="D5157" i="1"/>
  <c r="D5156" i="1"/>
  <c r="D5155" i="1"/>
  <c r="D5154" i="1"/>
  <c r="D5153" i="1"/>
  <c r="D5152" i="1"/>
  <c r="D5151" i="1"/>
  <c r="D5150" i="1"/>
  <c r="D5149" i="1"/>
  <c r="D5148" i="1"/>
  <c r="D5147" i="1"/>
  <c r="D5146" i="1"/>
  <c r="D5145" i="1"/>
  <c r="D5144" i="1"/>
  <c r="D5142" i="1"/>
  <c r="D5141" i="1"/>
  <c r="D5138" i="1"/>
  <c r="D5137" i="1"/>
  <c r="D5136" i="1"/>
  <c r="D5135" i="1"/>
  <c r="D5134" i="1"/>
  <c r="D5133" i="1"/>
  <c r="D5132" i="1"/>
  <c r="D5131" i="1"/>
  <c r="D5130" i="1"/>
  <c r="D5129" i="1"/>
  <c r="D5128" i="1"/>
  <c r="D5127" i="1"/>
  <c r="D5124" i="1"/>
  <c r="D5123" i="1"/>
  <c r="D5121" i="1"/>
  <c r="D5120" i="1"/>
  <c r="D5119" i="1"/>
  <c r="D5118" i="1"/>
  <c r="D5117" i="1"/>
  <c r="D5116" i="1"/>
  <c r="D5115" i="1"/>
  <c r="D5114" i="1"/>
  <c r="D5113" i="1"/>
  <c r="D5112" i="1"/>
  <c r="D5111" i="1"/>
  <c r="D5110" i="1"/>
  <c r="D5109" i="1"/>
  <c r="D5106" i="1"/>
  <c r="D5103" i="1"/>
  <c r="D5102" i="1"/>
  <c r="D5101" i="1"/>
  <c r="D5100" i="1"/>
  <c r="D5099" i="1"/>
  <c r="D5098" i="1"/>
  <c r="D5097" i="1"/>
  <c r="D5096" i="1"/>
  <c r="D5095" i="1"/>
  <c r="D5094" i="1"/>
  <c r="D5093" i="1"/>
  <c r="D5092" i="1"/>
  <c r="D5091" i="1"/>
  <c r="D5090" i="1"/>
  <c r="D5089" i="1"/>
  <c r="D5088" i="1"/>
  <c r="D5087" i="1"/>
  <c r="D5086" i="1"/>
  <c r="D5085" i="1"/>
  <c r="D5084" i="1"/>
  <c r="D5083" i="1"/>
  <c r="D5082" i="1"/>
  <c r="D5081" i="1"/>
  <c r="D5080" i="1"/>
  <c r="D5079" i="1"/>
  <c r="D5078" i="1"/>
  <c r="D5077" i="1"/>
  <c r="D5076" i="1"/>
  <c r="D5075" i="1"/>
  <c r="D5074" i="1"/>
  <c r="D5073" i="1"/>
  <c r="D5072" i="1"/>
  <c r="D5071" i="1"/>
  <c r="D5070" i="1"/>
  <c r="D5069" i="1"/>
  <c r="D5068" i="1"/>
  <c r="D5067" i="1"/>
  <c r="D5066" i="1"/>
  <c r="D5065" i="1"/>
  <c r="D5064" i="1"/>
  <c r="D5063" i="1"/>
  <c r="D5062" i="1"/>
  <c r="D5061" i="1"/>
  <c r="D5060" i="1"/>
  <c r="D5059" i="1"/>
  <c r="D5058" i="1"/>
  <c r="D5057" i="1"/>
  <c r="D5056" i="1"/>
  <c r="D5055" i="1"/>
  <c r="D5054" i="1"/>
  <c r="D5053" i="1"/>
  <c r="D5052" i="1"/>
  <c r="D5051" i="1"/>
  <c r="D5050" i="1"/>
  <c r="D5049" i="1"/>
  <c r="D5048" i="1"/>
  <c r="D5046" i="1"/>
  <c r="D5045" i="1"/>
  <c r="D5044" i="1"/>
  <c r="D5043" i="1"/>
  <c r="D5041" i="1"/>
  <c r="D5039" i="1"/>
  <c r="D5038" i="1"/>
  <c r="D5037" i="1"/>
  <c r="D5036" i="1"/>
  <c r="D5035" i="1"/>
  <c r="D5034" i="1"/>
  <c r="D5033" i="1"/>
  <c r="D5031" i="1"/>
  <c r="D5030" i="1"/>
  <c r="D5029" i="1"/>
  <c r="D5027" i="1"/>
  <c r="D5025" i="1"/>
  <c r="D5024" i="1"/>
  <c r="D5023" i="1"/>
  <c r="D5022" i="1"/>
  <c r="D5021" i="1"/>
  <c r="D5019" i="1"/>
  <c r="D5017" i="1"/>
  <c r="D5016" i="1"/>
  <c r="D5015" i="1"/>
  <c r="D5014" i="1"/>
  <c r="D5013" i="1"/>
  <c r="D5012" i="1"/>
  <c r="D5010" i="1"/>
  <c r="D5009" i="1"/>
  <c r="D5008" i="1"/>
  <c r="D5005" i="1"/>
  <c r="D5002" i="1"/>
  <c r="D5000" i="1"/>
  <c r="D4999" i="1"/>
  <c r="D4998" i="1"/>
  <c r="D4997" i="1"/>
  <c r="D4996" i="1"/>
  <c r="D4994" i="1"/>
  <c r="D4993" i="1"/>
  <c r="D4992" i="1"/>
  <c r="D4991" i="1"/>
  <c r="D4990" i="1"/>
  <c r="D4986" i="1"/>
  <c r="D4985" i="1"/>
  <c r="D4984" i="1"/>
  <c r="D4983" i="1"/>
  <c r="D4982" i="1"/>
  <c r="D4981" i="1"/>
  <c r="D4980" i="1"/>
  <c r="D4979" i="1"/>
  <c r="D4978" i="1"/>
  <c r="D4977" i="1"/>
  <c r="D4976" i="1"/>
  <c r="D4975" i="1"/>
  <c r="D4974" i="1"/>
  <c r="D4973" i="1"/>
  <c r="D4971" i="1"/>
  <c r="D4969" i="1"/>
  <c r="D4967" i="1"/>
  <c r="D4966" i="1"/>
  <c r="D4964" i="1"/>
  <c r="D4961" i="1"/>
  <c r="D4960" i="1"/>
  <c r="D4959" i="1"/>
  <c r="D4958" i="1"/>
  <c r="D4957" i="1"/>
  <c r="D4955" i="1"/>
  <c r="D4954" i="1"/>
  <c r="D4952" i="1"/>
  <c r="D4951" i="1"/>
  <c r="D4950" i="1"/>
  <c r="D4949" i="1"/>
  <c r="D4948" i="1"/>
  <c r="D4947" i="1"/>
  <c r="D4946" i="1"/>
  <c r="D4945" i="1"/>
  <c r="D4944" i="1"/>
  <c r="D4943" i="1"/>
  <c r="D4942" i="1"/>
  <c r="D4941" i="1"/>
  <c r="D4940" i="1"/>
  <c r="D4939" i="1"/>
  <c r="D4938" i="1"/>
  <c r="D4937" i="1"/>
  <c r="D4936" i="1"/>
  <c r="D4935" i="1"/>
  <c r="D4934" i="1"/>
  <c r="D4933" i="1"/>
  <c r="D4932" i="1"/>
  <c r="D4931" i="1"/>
  <c r="D4930" i="1"/>
  <c r="D4929" i="1"/>
  <c r="D4928" i="1"/>
  <c r="D4927" i="1"/>
  <c r="D4926" i="1"/>
  <c r="D4925" i="1"/>
  <c r="D4924" i="1"/>
  <c r="D4923" i="1"/>
  <c r="D4922" i="1"/>
  <c r="D4921" i="1"/>
  <c r="D4920" i="1"/>
  <c r="D4919" i="1"/>
  <c r="D4918" i="1"/>
  <c r="D4917" i="1"/>
  <c r="D4916" i="1"/>
  <c r="D4915" i="1"/>
  <c r="D4914" i="1"/>
  <c r="D4913" i="1"/>
  <c r="D4912" i="1"/>
  <c r="D4911" i="1"/>
  <c r="D4910" i="1"/>
  <c r="D4909" i="1"/>
  <c r="D4908" i="1"/>
  <c r="D4907" i="1"/>
  <c r="D4906" i="1"/>
  <c r="D4905" i="1"/>
  <c r="D4904" i="1"/>
  <c r="D4903" i="1"/>
  <c r="D4902" i="1"/>
  <c r="D4901" i="1"/>
  <c r="D4900" i="1"/>
  <c r="D4899" i="1"/>
  <c r="D4898" i="1"/>
  <c r="D4897" i="1"/>
  <c r="D4896" i="1"/>
  <c r="D4895" i="1"/>
  <c r="D4894" i="1"/>
  <c r="D4893" i="1"/>
  <c r="D4892" i="1"/>
  <c r="D4891" i="1"/>
  <c r="D4890" i="1"/>
  <c r="D4889" i="1"/>
  <c r="D4888" i="1"/>
  <c r="D4887" i="1"/>
  <c r="D4886" i="1"/>
  <c r="D4885" i="1"/>
  <c r="D4884" i="1"/>
  <c r="D4883" i="1"/>
  <c r="D4882" i="1"/>
  <c r="D4881" i="1"/>
  <c r="D4880" i="1"/>
  <c r="D4879" i="1"/>
  <c r="D4878" i="1"/>
  <c r="D4877" i="1"/>
  <c r="D4876" i="1"/>
  <c r="D4875" i="1"/>
  <c r="D4874" i="1"/>
  <c r="D4873" i="1"/>
  <c r="D4872" i="1"/>
  <c r="D4871" i="1"/>
  <c r="D4870" i="1"/>
  <c r="D4869" i="1"/>
  <c r="D4868" i="1"/>
  <c r="D4867" i="1"/>
  <c r="D4866" i="1"/>
  <c r="D4865" i="1"/>
  <c r="D4864" i="1"/>
  <c r="D4863" i="1"/>
  <c r="D4862" i="1"/>
  <c r="D4861" i="1"/>
  <c r="D4860" i="1"/>
  <c r="D4859" i="1"/>
  <c r="D4858" i="1"/>
  <c r="D4857" i="1"/>
  <c r="D4855" i="1"/>
  <c r="D4854" i="1"/>
  <c r="D4853" i="1"/>
  <c r="D4852" i="1"/>
  <c r="D4851" i="1"/>
  <c r="D4850" i="1"/>
  <c r="D4849" i="1"/>
  <c r="D4848" i="1"/>
  <c r="D4846" i="1"/>
  <c r="D4845" i="1"/>
  <c r="D4844" i="1"/>
  <c r="D4843" i="1"/>
  <c r="D4842" i="1"/>
  <c r="D4841" i="1"/>
  <c r="D4840" i="1"/>
  <c r="D4839" i="1"/>
  <c r="D4838" i="1"/>
  <c r="D4836" i="1"/>
  <c r="D4835" i="1"/>
  <c r="D4834" i="1"/>
  <c r="D4833" i="1"/>
  <c r="D4832" i="1"/>
  <c r="D4831" i="1"/>
  <c r="D4830" i="1"/>
  <c r="D4829" i="1"/>
  <c r="D4828" i="1"/>
  <c r="D4827" i="1"/>
  <c r="D4826" i="1"/>
  <c r="D4825" i="1"/>
  <c r="D4824" i="1"/>
  <c r="D4823" i="1"/>
  <c r="D4822" i="1"/>
  <c r="D4821" i="1"/>
  <c r="D4820" i="1"/>
  <c r="D4819" i="1"/>
  <c r="D4818" i="1"/>
  <c r="D4817" i="1"/>
  <c r="D4816" i="1"/>
  <c r="D4815" i="1"/>
  <c r="D4814" i="1"/>
  <c r="D4813" i="1"/>
  <c r="D4812" i="1"/>
  <c r="D4811" i="1"/>
  <c r="D4810" i="1"/>
  <c r="D4809" i="1"/>
  <c r="D4808" i="1"/>
  <c r="D4807" i="1"/>
  <c r="D4806" i="1"/>
  <c r="D4805" i="1"/>
  <c r="D4804" i="1"/>
  <c r="D4803" i="1"/>
  <c r="D4802" i="1"/>
  <c r="D4800" i="1"/>
  <c r="D4799" i="1"/>
  <c r="D4798" i="1"/>
  <c r="D4797" i="1"/>
  <c r="D4796" i="1"/>
  <c r="D4795" i="1"/>
  <c r="D4794" i="1"/>
  <c r="D4793" i="1"/>
  <c r="D4792" i="1"/>
  <c r="D4791" i="1"/>
  <c r="D4790" i="1"/>
  <c r="D4789" i="1"/>
  <c r="D4788" i="1"/>
  <c r="D4787" i="1"/>
  <c r="D4786" i="1"/>
  <c r="D4785" i="1"/>
  <c r="D4784" i="1"/>
  <c r="D4783" i="1"/>
  <c r="D4782" i="1"/>
  <c r="D4781" i="1"/>
  <c r="D4780" i="1"/>
  <c r="D4779" i="1"/>
  <c r="D4778" i="1"/>
  <c r="D4777" i="1"/>
  <c r="D4776" i="1"/>
  <c r="D4775" i="1"/>
  <c r="D4774" i="1"/>
  <c r="D4773" i="1"/>
  <c r="D4772" i="1"/>
  <c r="D4771" i="1"/>
  <c r="D4770" i="1"/>
  <c r="D4769" i="1"/>
  <c r="D4768" i="1"/>
  <c r="D4767" i="1"/>
  <c r="D4766" i="1"/>
  <c r="D4765" i="1"/>
  <c r="D4764" i="1"/>
  <c r="D4763" i="1"/>
  <c r="D4762" i="1"/>
  <c r="D4761" i="1"/>
  <c r="D4760" i="1"/>
  <c r="D4759" i="1"/>
  <c r="D4758" i="1"/>
  <c r="D4757" i="1"/>
  <c r="D4756" i="1"/>
  <c r="D4755" i="1"/>
  <c r="D4754" i="1"/>
  <c r="D4753" i="1"/>
  <c r="D4752" i="1"/>
  <c r="D4751" i="1"/>
  <c r="D4750" i="1"/>
  <c r="D4749" i="1"/>
  <c r="D4748" i="1"/>
  <c r="D4747" i="1"/>
  <c r="D4746" i="1"/>
  <c r="D4745" i="1"/>
  <c r="D4744" i="1"/>
  <c r="D4743" i="1"/>
  <c r="D4742" i="1"/>
  <c r="D4741" i="1"/>
  <c r="D4740" i="1"/>
  <c r="D4739" i="1"/>
  <c r="D4738" i="1"/>
  <c r="D4737" i="1"/>
  <c r="D4736" i="1"/>
  <c r="D4735" i="1"/>
  <c r="D4734" i="1"/>
  <c r="D4733" i="1"/>
  <c r="D4732" i="1"/>
  <c r="D4731" i="1"/>
  <c r="D4730" i="1"/>
  <c r="D4729" i="1"/>
  <c r="D4728" i="1"/>
  <c r="D4727" i="1"/>
  <c r="D4726" i="1"/>
  <c r="D4725" i="1"/>
  <c r="D4724" i="1"/>
  <c r="D4723" i="1"/>
  <c r="D4722" i="1"/>
  <c r="D4721" i="1"/>
  <c r="D4720" i="1"/>
  <c r="D4719" i="1"/>
  <c r="D4718" i="1"/>
  <c r="D4717" i="1"/>
  <c r="D4716" i="1"/>
  <c r="D4715" i="1"/>
  <c r="D4714" i="1"/>
  <c r="D4713" i="1"/>
  <c r="D4712" i="1"/>
  <c r="D4711" i="1"/>
  <c r="D4710" i="1"/>
  <c r="D4709" i="1"/>
  <c r="D4708" i="1"/>
  <c r="D4707" i="1"/>
  <c r="D4706" i="1"/>
  <c r="D4705" i="1"/>
  <c r="D4704" i="1"/>
  <c r="D4703" i="1"/>
  <c r="D4702" i="1"/>
  <c r="D4701" i="1"/>
  <c r="D4700" i="1"/>
  <c r="D4699" i="1"/>
  <c r="D4698" i="1"/>
  <c r="D4697" i="1"/>
  <c r="D4696" i="1"/>
  <c r="D4695" i="1"/>
  <c r="D4694" i="1"/>
  <c r="D4693" i="1"/>
  <c r="D4692" i="1"/>
  <c r="D4691" i="1"/>
  <c r="D4690" i="1"/>
  <c r="D4689" i="1"/>
  <c r="D4688" i="1"/>
  <c r="D4687" i="1"/>
  <c r="D4686" i="1"/>
  <c r="D4685" i="1"/>
  <c r="D4684" i="1"/>
  <c r="D4683" i="1"/>
  <c r="D4682" i="1"/>
  <c r="D4681" i="1"/>
  <c r="D4680" i="1"/>
  <c r="D4679" i="1"/>
  <c r="D4678" i="1"/>
  <c r="D4677" i="1"/>
  <c r="D4676" i="1"/>
  <c r="D4675" i="1"/>
  <c r="D4674" i="1"/>
  <c r="D4673" i="1"/>
  <c r="D4672" i="1"/>
  <c r="D4671" i="1"/>
  <c r="D4670" i="1"/>
  <c r="D4669" i="1"/>
  <c r="D4668" i="1"/>
  <c r="D4667" i="1"/>
  <c r="D4666" i="1"/>
  <c r="D4665" i="1"/>
  <c r="D4664" i="1"/>
  <c r="D4663" i="1"/>
  <c r="D4662" i="1"/>
  <c r="D4661" i="1"/>
  <c r="D4660" i="1"/>
  <c r="D4659" i="1"/>
  <c r="D4658" i="1"/>
  <c r="D4657" i="1"/>
  <c r="D4656" i="1"/>
  <c r="D4655" i="1"/>
  <c r="D4654" i="1"/>
  <c r="D4653" i="1"/>
  <c r="D4652" i="1"/>
  <c r="D4651" i="1"/>
  <c r="D4650" i="1"/>
  <c r="D4649" i="1"/>
  <c r="D4648" i="1"/>
  <c r="D4647" i="1"/>
  <c r="D4646" i="1"/>
  <c r="D4645" i="1"/>
  <c r="D4644" i="1"/>
  <c r="D4643" i="1"/>
  <c r="D4642" i="1"/>
  <c r="D4641" i="1"/>
  <c r="D4640" i="1"/>
  <c r="D4639" i="1"/>
  <c r="D4638" i="1"/>
  <c r="D4637" i="1"/>
  <c r="D4636" i="1"/>
  <c r="D4635" i="1"/>
  <c r="D4634" i="1"/>
  <c r="D4633" i="1"/>
  <c r="D4632" i="1"/>
  <c r="D4631" i="1"/>
  <c r="D4630" i="1"/>
  <c r="D4629" i="1"/>
  <c r="D4628" i="1"/>
  <c r="D4627" i="1"/>
  <c r="D4626" i="1"/>
  <c r="D4625" i="1"/>
  <c r="D4622" i="1"/>
  <c r="D4618" i="1"/>
  <c r="D4617" i="1"/>
  <c r="D4613" i="1"/>
  <c r="D4610" i="1"/>
  <c r="D4609" i="1"/>
  <c r="D4608" i="1"/>
  <c r="D4607" i="1"/>
  <c r="D4606" i="1"/>
  <c r="D4605" i="1"/>
  <c r="D4604" i="1"/>
  <c r="D4603" i="1"/>
  <c r="D4602" i="1"/>
  <c r="D4601" i="1"/>
  <c r="D4600" i="1"/>
  <c r="D4598" i="1"/>
  <c r="D4593" i="1"/>
  <c r="D4592" i="1"/>
  <c r="D4591" i="1"/>
  <c r="D4590" i="1"/>
  <c r="D4589" i="1"/>
  <c r="D4587" i="1"/>
  <c r="D4586" i="1"/>
  <c r="D4585" i="1"/>
  <c r="D4584" i="1"/>
  <c r="D4583" i="1"/>
  <c r="D4582" i="1"/>
  <c r="D4581" i="1"/>
  <c r="D4580" i="1"/>
  <c r="D4578" i="1"/>
  <c r="D4574" i="1"/>
  <c r="D4573" i="1"/>
  <c r="D4572" i="1"/>
  <c r="D4571" i="1"/>
  <c r="D4570" i="1"/>
  <c r="D4569" i="1"/>
  <c r="D4568" i="1"/>
  <c r="D4567" i="1"/>
  <c r="D4566" i="1"/>
  <c r="D4565" i="1"/>
  <c r="D4564" i="1"/>
  <c r="D4563" i="1"/>
  <c r="D4562" i="1"/>
  <c r="D4561" i="1"/>
  <c r="D4560" i="1"/>
  <c r="D4559" i="1"/>
  <c r="D4558" i="1"/>
  <c r="D4557" i="1"/>
  <c r="D4556" i="1"/>
  <c r="D4555" i="1"/>
  <c r="D4554" i="1"/>
  <c r="D4553" i="1"/>
  <c r="D4552" i="1"/>
  <c r="D4551" i="1"/>
  <c r="D4550" i="1"/>
  <c r="D4548" i="1"/>
  <c r="D4547" i="1"/>
  <c r="D4546" i="1"/>
  <c r="D4545" i="1"/>
  <c r="D4544" i="1"/>
  <c r="D4543" i="1"/>
  <c r="D4542" i="1"/>
  <c r="D4541" i="1"/>
  <c r="D4540" i="1"/>
  <c r="D4539" i="1"/>
  <c r="D4538" i="1"/>
  <c r="D4537" i="1"/>
  <c r="D4536" i="1"/>
  <c r="D4535" i="1"/>
  <c r="D4534" i="1"/>
  <c r="D4533" i="1"/>
  <c r="D4531" i="1"/>
  <c r="D4530" i="1"/>
  <c r="D4528" i="1"/>
  <c r="D4527" i="1"/>
  <c r="D4526" i="1"/>
  <c r="D4525" i="1"/>
  <c r="D4524" i="1"/>
  <c r="D4522" i="1"/>
  <c r="D4519" i="1"/>
  <c r="D4518" i="1"/>
  <c r="D4517" i="1"/>
  <c r="D4516" i="1"/>
  <c r="D4515" i="1"/>
  <c r="D4514" i="1"/>
  <c r="D4513" i="1"/>
  <c r="D4512" i="1"/>
  <c r="D4511" i="1"/>
  <c r="D4510" i="1"/>
  <c r="D4509" i="1"/>
  <c r="D4508" i="1"/>
  <c r="D4507" i="1"/>
  <c r="D4506" i="1"/>
  <c r="D4505" i="1"/>
  <c r="D4504" i="1"/>
  <c r="D4503" i="1"/>
  <c r="D4502" i="1"/>
  <c r="D4501" i="1"/>
  <c r="D4500" i="1"/>
  <c r="D4499" i="1"/>
  <c r="D4497" i="1"/>
  <c r="D4496" i="1"/>
  <c r="D4495" i="1"/>
  <c r="D4494" i="1"/>
  <c r="D4493" i="1"/>
  <c r="D4492" i="1"/>
  <c r="D4491" i="1"/>
  <c r="D4490" i="1"/>
  <c r="D4489" i="1"/>
  <c r="D4488" i="1"/>
  <c r="D4487" i="1"/>
  <c r="D4486" i="1"/>
  <c r="D4485" i="1"/>
  <c r="D4484" i="1"/>
  <c r="D4483" i="1"/>
  <c r="D4482" i="1"/>
  <c r="D4481" i="1"/>
  <c r="D4480" i="1"/>
  <c r="D4479" i="1"/>
  <c r="D4478" i="1"/>
  <c r="D4477" i="1"/>
  <c r="D4476" i="1"/>
  <c r="D4473" i="1"/>
  <c r="D4472" i="1"/>
  <c r="D4471" i="1"/>
  <c r="D4470" i="1"/>
  <c r="D4469" i="1"/>
  <c r="D4468" i="1"/>
  <c r="D4466" i="1"/>
  <c r="D4465" i="1"/>
  <c r="D4464" i="1"/>
  <c r="D4463" i="1"/>
  <c r="D4462" i="1"/>
  <c r="D4461" i="1"/>
  <c r="D4460" i="1"/>
  <c r="D4459" i="1"/>
  <c r="D4458" i="1"/>
  <c r="D4457" i="1"/>
  <c r="D4456" i="1"/>
  <c r="D4455" i="1"/>
  <c r="D4454" i="1"/>
  <c r="D4453" i="1"/>
  <c r="D4451" i="1"/>
  <c r="D4449" i="1"/>
  <c r="D4447" i="1"/>
  <c r="D4446" i="1"/>
  <c r="D4445" i="1"/>
  <c r="D4444" i="1"/>
  <c r="D4443" i="1"/>
  <c r="D4442" i="1"/>
  <c r="D4441" i="1"/>
  <c r="D4440" i="1"/>
  <c r="D4439" i="1"/>
  <c r="D4438" i="1"/>
  <c r="D4437" i="1"/>
  <c r="D4436" i="1"/>
  <c r="D4435" i="1"/>
  <c r="D4434" i="1"/>
  <c r="D4433" i="1"/>
  <c r="D4432" i="1"/>
  <c r="D4431" i="1"/>
  <c r="D4430" i="1"/>
  <c r="D4429" i="1"/>
  <c r="D4428" i="1"/>
  <c r="D4427" i="1"/>
  <c r="D4426" i="1"/>
  <c r="D4425" i="1"/>
  <c r="D4424" i="1"/>
  <c r="D4423" i="1"/>
  <c r="D4422" i="1"/>
  <c r="D4421" i="1"/>
  <c r="D4420" i="1"/>
  <c r="D4418" i="1"/>
  <c r="D4417" i="1"/>
  <c r="D4416" i="1"/>
  <c r="D4415" i="1"/>
  <c r="D4414" i="1"/>
  <c r="D4413" i="1"/>
  <c r="D4412" i="1"/>
  <c r="D4411" i="1"/>
  <c r="D4410" i="1"/>
  <c r="D4409" i="1"/>
  <c r="D4407" i="1"/>
  <c r="D4406" i="1"/>
  <c r="D4405" i="1"/>
  <c r="D4404" i="1"/>
  <c r="D4400" i="1"/>
  <c r="D4399" i="1"/>
  <c r="D4398" i="1"/>
  <c r="D4397" i="1"/>
  <c r="D4396" i="1"/>
  <c r="D4395" i="1"/>
  <c r="D4394" i="1"/>
  <c r="D4393" i="1"/>
  <c r="D4392" i="1"/>
  <c r="D4391" i="1"/>
  <c r="D4390" i="1"/>
  <c r="D4389" i="1"/>
  <c r="D4388" i="1"/>
  <c r="D4387" i="1"/>
  <c r="D4386" i="1"/>
  <c r="D4385" i="1"/>
  <c r="D4384" i="1"/>
  <c r="D4383" i="1"/>
  <c r="D4382" i="1"/>
  <c r="D4380" i="1"/>
  <c r="D4379" i="1"/>
  <c r="D4378" i="1"/>
  <c r="D4377" i="1"/>
  <c r="D4376" i="1"/>
  <c r="D4374" i="1"/>
  <c r="D4373" i="1"/>
  <c r="D4372" i="1"/>
  <c r="D4371" i="1"/>
  <c r="D4370" i="1"/>
  <c r="D4369" i="1"/>
  <c r="D4368" i="1"/>
  <c r="D4367" i="1"/>
  <c r="D4366" i="1"/>
  <c r="D4365" i="1"/>
  <c r="D4364" i="1"/>
  <c r="D4363" i="1"/>
  <c r="D4362" i="1"/>
  <c r="D4361" i="1"/>
  <c r="D4360" i="1"/>
  <c r="D4357" i="1"/>
  <c r="D4356" i="1"/>
  <c r="D4355" i="1"/>
  <c r="D4354" i="1"/>
  <c r="D4353" i="1"/>
  <c r="D4352" i="1"/>
  <c r="D4351" i="1"/>
  <c r="D4350" i="1"/>
  <c r="D4349" i="1"/>
  <c r="D4348" i="1"/>
  <c r="D4347" i="1"/>
  <c r="D4346" i="1"/>
  <c r="D4345" i="1"/>
  <c r="D4344" i="1"/>
  <c r="D4343" i="1"/>
  <c r="D4342" i="1"/>
  <c r="D4340" i="1"/>
  <c r="D4339" i="1"/>
  <c r="D4338" i="1"/>
  <c r="D4337" i="1"/>
  <c r="D4335" i="1"/>
  <c r="D4334" i="1"/>
  <c r="D4333" i="1"/>
  <c r="D4332" i="1"/>
  <c r="D4331" i="1"/>
  <c r="D4330" i="1"/>
  <c r="D4327" i="1"/>
  <c r="D4326" i="1"/>
  <c r="D4325" i="1"/>
  <c r="D4324" i="1"/>
  <c r="D4323" i="1"/>
  <c r="D4322" i="1"/>
  <c r="D4321" i="1"/>
  <c r="D4320" i="1"/>
  <c r="D4319" i="1"/>
  <c r="D4317" i="1"/>
  <c r="D4316" i="1"/>
  <c r="D4315" i="1"/>
  <c r="D4314" i="1"/>
  <c r="D4313" i="1"/>
  <c r="D4312" i="1"/>
  <c r="D4311" i="1"/>
  <c r="D4310" i="1"/>
  <c r="D4309" i="1"/>
  <c r="D4308" i="1"/>
  <c r="D4307" i="1"/>
  <c r="D4306" i="1"/>
  <c r="D4305" i="1"/>
  <c r="D4304" i="1"/>
  <c r="D4303" i="1"/>
  <c r="D4302" i="1"/>
  <c r="D4300" i="1"/>
  <c r="D4299" i="1"/>
  <c r="D4298" i="1"/>
  <c r="D4297" i="1"/>
  <c r="D4296" i="1"/>
  <c r="D4295" i="1"/>
  <c r="D4294" i="1"/>
  <c r="D4293" i="1"/>
  <c r="D4292" i="1"/>
  <c r="D4291" i="1"/>
  <c r="D4290" i="1"/>
  <c r="D4289" i="1"/>
  <c r="D4288" i="1"/>
  <c r="D4287" i="1"/>
  <c r="D4286" i="1"/>
  <c r="D4285" i="1"/>
  <c r="D4284" i="1"/>
  <c r="D4283" i="1"/>
  <c r="D4282" i="1"/>
  <c r="D4281" i="1"/>
  <c r="D4279" i="1"/>
  <c r="D4278" i="1"/>
  <c r="D4277" i="1"/>
  <c r="D4276" i="1"/>
  <c r="D4275" i="1"/>
  <c r="D4274" i="1"/>
  <c r="D4273" i="1"/>
  <c r="D4272" i="1"/>
  <c r="D4271" i="1"/>
  <c r="D4268" i="1"/>
  <c r="D4267" i="1"/>
  <c r="D4266" i="1"/>
  <c r="D4265" i="1"/>
  <c r="D4264" i="1"/>
  <c r="D4263" i="1"/>
  <c r="D4262" i="1"/>
  <c r="D4261" i="1"/>
  <c r="D4260" i="1"/>
  <c r="D4259" i="1"/>
  <c r="D4258" i="1"/>
  <c r="D4257" i="1"/>
  <c r="D4256" i="1"/>
  <c r="D4255" i="1"/>
  <c r="D4254" i="1"/>
  <c r="D4253" i="1"/>
  <c r="D4252" i="1"/>
  <c r="D4251" i="1"/>
  <c r="D4250" i="1"/>
  <c r="D4249" i="1"/>
  <c r="D4248" i="1"/>
  <c r="D4245" i="1"/>
  <c r="D4244" i="1"/>
  <c r="D4243" i="1"/>
  <c r="D4242" i="1"/>
  <c r="D4241" i="1"/>
  <c r="D4240" i="1"/>
  <c r="D4239" i="1"/>
  <c r="D4238" i="1"/>
  <c r="D4237" i="1"/>
  <c r="D4236" i="1"/>
  <c r="D4235" i="1"/>
  <c r="D4234" i="1"/>
  <c r="D4233" i="1"/>
  <c r="D4232" i="1"/>
  <c r="D4231" i="1"/>
  <c r="D4230" i="1"/>
  <c r="D4228" i="1"/>
  <c r="D4227" i="1"/>
  <c r="D4226" i="1"/>
  <c r="D4225" i="1"/>
  <c r="D4224" i="1"/>
  <c r="D4223" i="1"/>
  <c r="D4222" i="1"/>
  <c r="D4221" i="1"/>
  <c r="D4220" i="1"/>
  <c r="D4219" i="1"/>
  <c r="D4218" i="1"/>
  <c r="D4217" i="1"/>
  <c r="D4216" i="1"/>
  <c r="D4214" i="1"/>
  <c r="D4213" i="1"/>
  <c r="D4212" i="1"/>
  <c r="D4211" i="1"/>
  <c r="D4210" i="1"/>
  <c r="D4209" i="1"/>
  <c r="D4208" i="1"/>
  <c r="D4206" i="1"/>
  <c r="D4204" i="1"/>
  <c r="D4203" i="1"/>
  <c r="D4202" i="1"/>
  <c r="D4201" i="1"/>
  <c r="D4200" i="1"/>
  <c r="D4197" i="1"/>
  <c r="D4196" i="1"/>
  <c r="D4195" i="1"/>
  <c r="D4194" i="1"/>
  <c r="D4193" i="1"/>
  <c r="D4192" i="1"/>
  <c r="D4191" i="1"/>
  <c r="D4190" i="1"/>
  <c r="D4189" i="1"/>
  <c r="D4188" i="1"/>
  <c r="D4187" i="1"/>
  <c r="D4186" i="1"/>
  <c r="D4185" i="1"/>
  <c r="D4184" i="1"/>
  <c r="D4183" i="1"/>
  <c r="D4182" i="1"/>
  <c r="D4181" i="1"/>
  <c r="D4180" i="1"/>
  <c r="D4179" i="1"/>
  <c r="D4178" i="1"/>
  <c r="D4177" i="1"/>
  <c r="D4176" i="1"/>
  <c r="D4175" i="1"/>
  <c r="D4174" i="1"/>
  <c r="D4173" i="1"/>
  <c r="D4172" i="1"/>
  <c r="D4171" i="1"/>
  <c r="D4170" i="1"/>
  <c r="D4169" i="1"/>
  <c r="D4168" i="1"/>
  <c r="D4167" i="1"/>
  <c r="D4166" i="1"/>
  <c r="D4165" i="1"/>
  <c r="D4164" i="1"/>
  <c r="D4163" i="1"/>
  <c r="D4162" i="1"/>
  <c r="D4161" i="1"/>
  <c r="D4160" i="1"/>
  <c r="D4159" i="1"/>
  <c r="D4158" i="1"/>
  <c r="D4157" i="1"/>
  <c r="D4156" i="1"/>
  <c r="D4155" i="1"/>
  <c r="D4154" i="1"/>
  <c r="D4153" i="1"/>
  <c r="D4152" i="1"/>
  <c r="D4151" i="1"/>
  <c r="D4150" i="1"/>
  <c r="D4149" i="1"/>
  <c r="D4148" i="1"/>
  <c r="D4147" i="1"/>
  <c r="D4146" i="1"/>
  <c r="D4144" i="1"/>
  <c r="D4143" i="1"/>
  <c r="D4142" i="1"/>
  <c r="D4141" i="1"/>
  <c r="D4140" i="1"/>
  <c r="D4137" i="1"/>
  <c r="D4133" i="1"/>
  <c r="D4130" i="1"/>
  <c r="D4129" i="1"/>
  <c r="D4128" i="1"/>
  <c r="D4127" i="1"/>
  <c r="D4126" i="1"/>
  <c r="D4125" i="1"/>
  <c r="D4124" i="1"/>
  <c r="D4123" i="1"/>
  <c r="D4122" i="1"/>
  <c r="D4121" i="1"/>
  <c r="D4120" i="1"/>
  <c r="D4119" i="1"/>
  <c r="D4118" i="1"/>
  <c r="D4117" i="1"/>
  <c r="D4115" i="1"/>
  <c r="D4114" i="1"/>
  <c r="D4113" i="1"/>
  <c r="D4112" i="1"/>
  <c r="D4111" i="1"/>
  <c r="D4110" i="1"/>
  <c r="D4109" i="1"/>
  <c r="D4108" i="1"/>
  <c r="D4107" i="1"/>
  <c r="D4106" i="1"/>
  <c r="D4105" i="1"/>
  <c r="D4104" i="1"/>
  <c r="D4103" i="1"/>
  <c r="D4102" i="1"/>
  <c r="D4101" i="1"/>
  <c r="D4100" i="1"/>
  <c r="D4099" i="1"/>
  <c r="D4098" i="1"/>
  <c r="D4097" i="1"/>
  <c r="D4096" i="1"/>
  <c r="D4095" i="1"/>
  <c r="D4094" i="1"/>
  <c r="D4093" i="1"/>
  <c r="D4092" i="1"/>
  <c r="D4091" i="1"/>
  <c r="D4090" i="1"/>
  <c r="D4089" i="1"/>
  <c r="D4088" i="1"/>
  <c r="D4087" i="1"/>
  <c r="D4086" i="1"/>
  <c r="D4085" i="1"/>
  <c r="D4084" i="1"/>
  <c r="D4083" i="1"/>
  <c r="D4082" i="1"/>
  <c r="D4081" i="1"/>
  <c r="D4080" i="1"/>
  <c r="D4079" i="1"/>
  <c r="D4078" i="1"/>
  <c r="D4077" i="1"/>
  <c r="D4076" i="1"/>
  <c r="D4075" i="1"/>
  <c r="D4074" i="1"/>
  <c r="D4073" i="1"/>
  <c r="D4072" i="1"/>
  <c r="D4071" i="1"/>
  <c r="D4070" i="1"/>
  <c r="D4069" i="1"/>
  <c r="D4068" i="1"/>
  <c r="D4067" i="1"/>
  <c r="D4066" i="1"/>
  <c r="D4065" i="1"/>
  <c r="D4064" i="1"/>
  <c r="D4063" i="1"/>
  <c r="D4062" i="1"/>
  <c r="D4061" i="1"/>
  <c r="D4060" i="1"/>
  <c r="D4059" i="1"/>
  <c r="D4058" i="1"/>
  <c r="D4057" i="1"/>
  <c r="D4056" i="1"/>
  <c r="D4055" i="1"/>
  <c r="D4054" i="1"/>
  <c r="D4053" i="1"/>
  <c r="D4052" i="1"/>
  <c r="D4051" i="1"/>
  <c r="D4050" i="1"/>
  <c r="D4049" i="1"/>
  <c r="D4048" i="1"/>
  <c r="D4047" i="1"/>
  <c r="D4046" i="1"/>
  <c r="D4045" i="1"/>
  <c r="D4044" i="1"/>
  <c r="D4043" i="1"/>
  <c r="D4042" i="1"/>
  <c r="D4041" i="1"/>
  <c r="D4040" i="1"/>
  <c r="D4039" i="1"/>
  <c r="D4038" i="1"/>
  <c r="D4037" i="1"/>
  <c r="D4036" i="1"/>
  <c r="D4035" i="1"/>
  <c r="D4034" i="1"/>
  <c r="D4033" i="1"/>
  <c r="D4032" i="1"/>
  <c r="D4031" i="1"/>
  <c r="D4030" i="1"/>
  <c r="D4029" i="1"/>
  <c r="D4028" i="1"/>
  <c r="D4026" i="1"/>
  <c r="D4025" i="1"/>
  <c r="D4024" i="1"/>
  <c r="D4023" i="1"/>
  <c r="D4022" i="1"/>
  <c r="D4021" i="1"/>
  <c r="D4020" i="1"/>
  <c r="D4019" i="1"/>
  <c r="D4018" i="1"/>
  <c r="D4017" i="1"/>
  <c r="D4016" i="1"/>
  <c r="D4014" i="1"/>
  <c r="D4013" i="1"/>
  <c r="D4012" i="1"/>
  <c r="D4010" i="1"/>
  <c r="D4009" i="1"/>
  <c r="D4008" i="1"/>
  <c r="D4006" i="1"/>
  <c r="D4005" i="1"/>
  <c r="D4004" i="1"/>
  <c r="D4003" i="1"/>
  <c r="D4002" i="1"/>
  <c r="D4001" i="1"/>
  <c r="D4000" i="1"/>
  <c r="D3999" i="1"/>
  <c r="D3997" i="1"/>
  <c r="D3996" i="1"/>
  <c r="D3995" i="1"/>
  <c r="D3994" i="1"/>
  <c r="D3993" i="1"/>
  <c r="D3992" i="1"/>
  <c r="D3991" i="1"/>
  <c r="D3990" i="1"/>
  <c r="D3989" i="1"/>
  <c r="D3987" i="1"/>
  <c r="D3986" i="1"/>
  <c r="D3985" i="1"/>
  <c r="D3983" i="1"/>
  <c r="D3982" i="1"/>
  <c r="D3980" i="1"/>
  <c r="D3979" i="1"/>
  <c r="D3978" i="1"/>
  <c r="D3977" i="1"/>
  <c r="D3976" i="1"/>
  <c r="D3975" i="1"/>
  <c r="D3974" i="1"/>
  <c r="D3973" i="1"/>
  <c r="D3972" i="1"/>
  <c r="D3970" i="1"/>
  <c r="D3969" i="1"/>
  <c r="D3968" i="1"/>
  <c r="D3967" i="1"/>
  <c r="D3966" i="1"/>
  <c r="D3965" i="1"/>
  <c r="D3964" i="1"/>
  <c r="D3963" i="1"/>
  <c r="D3962" i="1"/>
  <c r="D3961" i="1"/>
  <c r="D3960" i="1"/>
  <c r="D3959" i="1"/>
  <c r="D3958" i="1"/>
  <c r="D3957" i="1"/>
  <c r="D3956" i="1"/>
  <c r="D3955" i="1"/>
  <c r="D3954" i="1"/>
  <c r="D3953" i="1"/>
  <c r="D3952" i="1"/>
  <c r="D3951" i="1"/>
  <c r="D3950" i="1"/>
  <c r="D3949" i="1"/>
  <c r="D3948" i="1"/>
  <c r="D3947" i="1"/>
  <c r="D3946" i="1"/>
  <c r="D3944" i="1"/>
  <c r="D3941" i="1"/>
  <c r="D3939" i="1"/>
  <c r="D3938" i="1"/>
  <c r="D3937" i="1"/>
  <c r="D3936" i="1"/>
  <c r="D3935" i="1"/>
  <c r="D3934" i="1"/>
  <c r="D3933" i="1"/>
  <c r="D3932" i="1"/>
  <c r="D3931" i="1"/>
  <c r="D3930" i="1"/>
  <c r="D3929" i="1"/>
  <c r="D3928" i="1"/>
  <c r="D3927" i="1"/>
  <c r="D3926" i="1"/>
  <c r="D3925" i="1"/>
  <c r="D3924" i="1"/>
  <c r="D3923" i="1"/>
  <c r="D3922" i="1"/>
  <c r="D3921" i="1"/>
  <c r="D3920" i="1"/>
  <c r="D3919" i="1"/>
  <c r="D3918" i="1"/>
  <c r="D3917" i="1"/>
  <c r="D3916" i="1"/>
  <c r="D3915" i="1"/>
  <c r="D3914" i="1"/>
  <c r="D3913" i="1"/>
  <c r="D3912" i="1"/>
  <c r="D3911" i="1"/>
  <c r="D3910" i="1"/>
  <c r="D3909" i="1"/>
  <c r="D3908" i="1"/>
  <c r="D3907" i="1"/>
  <c r="D3906" i="1"/>
  <c r="D3905" i="1"/>
  <c r="D3904" i="1"/>
  <c r="D3903" i="1"/>
  <c r="D3902" i="1"/>
  <c r="D3901" i="1"/>
  <c r="D3900" i="1"/>
  <c r="D3899" i="1"/>
  <c r="D3898" i="1"/>
  <c r="D3897" i="1"/>
  <c r="D3896" i="1"/>
  <c r="D3894" i="1"/>
  <c r="D3893" i="1"/>
  <c r="D3892" i="1"/>
  <c r="D3891" i="1"/>
  <c r="D3890" i="1"/>
  <c r="D3889" i="1"/>
  <c r="D3888" i="1"/>
  <c r="D3886" i="1"/>
  <c r="D3885" i="1"/>
  <c r="D3884" i="1"/>
  <c r="D3883" i="1"/>
  <c r="D3882" i="1"/>
  <c r="D3881" i="1"/>
  <c r="D3880" i="1"/>
  <c r="D3879" i="1"/>
  <c r="D3878" i="1"/>
  <c r="D3877" i="1"/>
  <c r="D3876" i="1"/>
  <c r="D3875" i="1"/>
  <c r="D3874" i="1"/>
  <c r="D3873" i="1"/>
  <c r="D3872" i="1"/>
  <c r="D3871" i="1"/>
  <c r="D3870" i="1"/>
  <c r="D3869" i="1"/>
  <c r="D3868" i="1"/>
  <c r="D3867" i="1"/>
  <c r="D3866" i="1"/>
  <c r="D3865" i="1"/>
  <c r="D3864" i="1"/>
  <c r="D3863" i="1"/>
  <c r="D3862" i="1"/>
  <c r="D3861" i="1"/>
  <c r="D3860" i="1"/>
  <c r="D3859" i="1"/>
  <c r="D3858" i="1"/>
  <c r="D3857" i="1"/>
  <c r="D3856" i="1"/>
  <c r="D3855" i="1"/>
  <c r="D3854" i="1"/>
  <c r="D3853" i="1"/>
  <c r="D3852" i="1"/>
  <c r="D3851" i="1"/>
  <c r="D3850" i="1"/>
  <c r="D3849" i="1"/>
  <c r="D3848" i="1"/>
  <c r="D3847" i="1"/>
  <c r="D3846" i="1"/>
  <c r="D3845" i="1"/>
  <c r="D3844" i="1"/>
  <c r="D3843" i="1"/>
  <c r="D3842" i="1"/>
  <c r="D3841" i="1"/>
  <c r="D3840" i="1"/>
  <c r="D3839" i="1"/>
  <c r="D3838" i="1"/>
  <c r="D3837" i="1"/>
  <c r="D3835" i="1"/>
  <c r="D3834" i="1"/>
  <c r="D3833" i="1"/>
  <c r="D3832" i="1"/>
  <c r="D3830" i="1"/>
  <c r="D3829" i="1"/>
  <c r="D3828" i="1"/>
  <c r="D3827" i="1"/>
  <c r="D3826" i="1"/>
  <c r="D3825" i="1"/>
  <c r="D3824" i="1"/>
  <c r="D3822" i="1"/>
  <c r="D3821" i="1"/>
  <c r="D3820" i="1"/>
  <c r="D3819" i="1"/>
  <c r="D3818" i="1"/>
  <c r="D3817" i="1"/>
  <c r="D3816" i="1"/>
  <c r="D3815" i="1"/>
  <c r="D3814" i="1"/>
  <c r="D3813" i="1"/>
  <c r="D3812" i="1"/>
  <c r="D3811" i="1"/>
  <c r="D3810" i="1"/>
  <c r="D3809" i="1"/>
  <c r="D3808" i="1"/>
  <c r="D3807" i="1"/>
  <c r="D3805" i="1"/>
  <c r="D3803" i="1"/>
  <c r="D3802" i="1"/>
  <c r="D3801" i="1"/>
  <c r="D3800" i="1"/>
  <c r="D3799" i="1"/>
  <c r="D3798" i="1"/>
  <c r="D3797" i="1"/>
  <c r="D3796" i="1"/>
  <c r="D3795" i="1"/>
  <c r="D3794" i="1"/>
  <c r="D3793" i="1"/>
  <c r="D3792" i="1"/>
  <c r="D3790" i="1"/>
  <c r="D3789" i="1"/>
  <c r="D3788" i="1"/>
  <c r="D3787" i="1"/>
  <c r="D3786" i="1"/>
  <c r="D3785" i="1"/>
  <c r="D3784" i="1"/>
  <c r="D3783" i="1"/>
  <c r="D3782" i="1"/>
  <c r="D3781" i="1"/>
  <c r="D3780" i="1"/>
  <c r="D3779" i="1"/>
  <c r="D3778" i="1"/>
  <c r="D3777" i="1"/>
  <c r="D3776" i="1"/>
  <c r="D3775" i="1"/>
  <c r="D3774" i="1"/>
  <c r="D3773" i="1"/>
  <c r="D3772" i="1"/>
  <c r="D3771" i="1"/>
  <c r="D3770" i="1"/>
  <c r="D3769" i="1"/>
  <c r="D3768" i="1"/>
  <c r="D3767" i="1"/>
  <c r="D3766" i="1"/>
  <c r="D3765" i="1"/>
  <c r="D3764" i="1"/>
  <c r="D3763" i="1"/>
  <c r="D3762" i="1"/>
  <c r="D3761" i="1"/>
  <c r="D3760" i="1"/>
  <c r="D3759" i="1"/>
  <c r="D3758" i="1"/>
  <c r="D3757" i="1"/>
  <c r="D3755" i="1"/>
  <c r="D3754" i="1"/>
  <c r="D3753" i="1"/>
  <c r="D3752" i="1"/>
  <c r="D3751" i="1"/>
  <c r="D3750" i="1"/>
  <c r="D3749" i="1"/>
  <c r="D3748" i="1"/>
  <c r="D3747" i="1"/>
  <c r="D3746" i="1"/>
  <c r="D3745" i="1"/>
  <c r="D3744" i="1"/>
  <c r="D3743" i="1"/>
  <c r="D3742" i="1"/>
  <c r="D3741" i="1"/>
  <c r="D3740" i="1"/>
  <c r="D3739" i="1"/>
  <c r="D3738" i="1"/>
  <c r="D3737" i="1"/>
  <c r="D3736" i="1"/>
  <c r="D3735" i="1"/>
  <c r="D3734" i="1"/>
  <c r="D3733" i="1"/>
  <c r="D3732" i="1"/>
  <c r="D3731" i="1"/>
  <c r="D3730" i="1"/>
  <c r="D3729" i="1"/>
  <c r="D3728" i="1"/>
  <c r="D3727" i="1"/>
  <c r="D3726" i="1"/>
  <c r="D3725" i="1"/>
  <c r="D3724" i="1"/>
  <c r="D3723" i="1"/>
  <c r="D3722" i="1"/>
  <c r="D3721" i="1"/>
  <c r="D3720" i="1"/>
  <c r="D3719" i="1"/>
  <c r="D3718" i="1"/>
  <c r="D3717" i="1"/>
  <c r="D3716" i="1"/>
  <c r="D3715" i="1"/>
  <c r="D3714" i="1"/>
  <c r="D3713" i="1"/>
  <c r="D3712" i="1"/>
  <c r="D3711" i="1"/>
  <c r="D3709" i="1"/>
  <c r="D3708" i="1"/>
  <c r="D3707" i="1"/>
  <c r="D3706" i="1"/>
  <c r="D3705" i="1"/>
  <c r="D3704" i="1"/>
  <c r="D3703" i="1"/>
  <c r="D3702" i="1"/>
  <c r="D3701" i="1"/>
  <c r="D3700" i="1"/>
  <c r="D3699" i="1"/>
  <c r="D3696" i="1"/>
  <c r="D3695" i="1"/>
  <c r="D3693" i="1"/>
  <c r="D3692" i="1"/>
  <c r="D3691" i="1"/>
  <c r="D3690" i="1"/>
  <c r="D3689" i="1"/>
  <c r="D3688" i="1"/>
  <c r="D3687" i="1"/>
  <c r="D3686" i="1"/>
  <c r="D3685" i="1"/>
  <c r="D3684" i="1"/>
  <c r="D3683" i="1"/>
  <c r="D3682" i="1"/>
  <c r="D3680" i="1"/>
  <c r="D3679" i="1"/>
  <c r="D3678" i="1"/>
  <c r="D3677" i="1"/>
  <c r="D3676" i="1"/>
  <c r="D3675" i="1"/>
  <c r="D3674" i="1"/>
  <c r="D3673" i="1"/>
  <c r="D3672" i="1"/>
  <c r="D3671" i="1"/>
  <c r="D3670" i="1"/>
  <c r="D3669" i="1"/>
  <c r="D3668" i="1"/>
  <c r="D3667" i="1"/>
  <c r="D3666" i="1"/>
  <c r="D3665" i="1"/>
  <c r="D3664" i="1"/>
  <c r="D3663" i="1"/>
  <c r="D3662" i="1"/>
  <c r="D3660" i="1"/>
  <c r="D3659" i="1"/>
  <c r="D3658" i="1"/>
  <c r="D3657" i="1"/>
  <c r="D3656" i="1"/>
  <c r="D3655" i="1"/>
  <c r="D3654" i="1"/>
  <c r="D3652" i="1"/>
  <c r="D3650" i="1"/>
  <c r="D3649" i="1"/>
  <c r="D3648" i="1"/>
  <c r="D3647" i="1"/>
  <c r="D3646" i="1"/>
  <c r="D3644" i="1"/>
  <c r="D3643" i="1"/>
  <c r="D3642" i="1"/>
  <c r="D3640" i="1"/>
  <c r="D3639" i="1"/>
  <c r="D3638" i="1"/>
  <c r="D3637" i="1"/>
  <c r="D3636" i="1"/>
  <c r="D3635" i="1"/>
  <c r="D3632" i="1"/>
  <c r="D3631" i="1"/>
  <c r="D3630" i="1"/>
  <c r="D3628" i="1"/>
  <c r="D3627" i="1"/>
  <c r="D3626" i="1"/>
  <c r="D3624" i="1"/>
  <c r="D3622" i="1"/>
  <c r="D3619" i="1"/>
  <c r="D3617" i="1"/>
  <c r="D3616" i="1"/>
  <c r="D3615" i="1"/>
  <c r="D3614" i="1"/>
  <c r="D3612" i="1"/>
  <c r="D3609" i="1"/>
  <c r="D3608" i="1"/>
  <c r="D3607" i="1"/>
  <c r="D3606" i="1"/>
  <c r="D3605" i="1"/>
  <c r="D3604" i="1"/>
  <c r="D3603" i="1"/>
  <c r="D3602" i="1"/>
  <c r="D3599" i="1"/>
  <c r="D3598" i="1"/>
  <c r="D3597" i="1"/>
  <c r="D3596" i="1"/>
  <c r="D3595" i="1"/>
  <c r="D3594" i="1"/>
  <c r="D3593" i="1"/>
  <c r="D3592" i="1"/>
  <c r="D3591" i="1"/>
  <c r="D3590" i="1"/>
  <c r="D3589" i="1"/>
  <c r="D3588" i="1"/>
  <c r="D3585" i="1"/>
  <c r="D3584" i="1"/>
  <c r="D3583" i="1"/>
  <c r="D3582" i="1"/>
  <c r="D3581" i="1"/>
  <c r="D3580" i="1"/>
  <c r="D3579" i="1"/>
  <c r="D3577" i="1"/>
  <c r="D3576" i="1"/>
  <c r="D3573" i="1"/>
  <c r="D3572" i="1"/>
  <c r="D3571" i="1"/>
  <c r="D3570" i="1"/>
  <c r="D3569" i="1"/>
  <c r="D3568" i="1"/>
  <c r="D3567" i="1"/>
  <c r="D3566" i="1"/>
  <c r="D3565" i="1"/>
  <c r="D3564" i="1"/>
  <c r="D3563" i="1"/>
  <c r="D3562" i="1"/>
  <c r="D3561" i="1"/>
  <c r="D3559" i="1"/>
  <c r="D3558" i="1"/>
  <c r="D3557" i="1"/>
  <c r="D3556" i="1"/>
  <c r="D3555" i="1"/>
  <c r="D3554" i="1"/>
  <c r="D3553" i="1"/>
  <c r="D3552" i="1"/>
  <c r="D3551" i="1"/>
  <c r="D3550" i="1"/>
  <c r="D3549" i="1"/>
  <c r="D3548" i="1"/>
  <c r="D3547" i="1"/>
  <c r="D3546" i="1"/>
  <c r="D3545" i="1"/>
  <c r="D3544" i="1"/>
  <c r="D3543" i="1"/>
  <c r="D3542" i="1"/>
  <c r="D3541" i="1"/>
  <c r="D3538" i="1"/>
  <c r="D3536" i="1"/>
  <c r="D3535" i="1"/>
  <c r="D3534" i="1"/>
  <c r="D3533" i="1"/>
  <c r="D3531" i="1"/>
  <c r="D3530" i="1"/>
  <c r="D3529" i="1"/>
  <c r="D3527" i="1"/>
  <c r="D3526" i="1"/>
  <c r="D3525" i="1"/>
  <c r="D3522" i="1"/>
  <c r="D3521" i="1"/>
  <c r="D3520" i="1"/>
  <c r="D3519" i="1"/>
  <c r="D3518" i="1"/>
  <c r="D3517" i="1"/>
  <c r="D3516" i="1"/>
  <c r="D3515" i="1"/>
  <c r="D3514" i="1"/>
  <c r="D3513" i="1"/>
  <c r="D3512" i="1"/>
  <c r="D3511" i="1"/>
  <c r="D3510" i="1"/>
  <c r="D3509" i="1"/>
  <c r="D3508" i="1"/>
  <c r="D3507" i="1"/>
  <c r="D3506" i="1"/>
  <c r="D3505" i="1"/>
  <c r="D3504" i="1"/>
  <c r="D3503" i="1"/>
  <c r="D3502" i="1"/>
  <c r="D3501" i="1"/>
  <c r="D3500" i="1"/>
  <c r="D3499" i="1"/>
  <c r="D3498" i="1"/>
  <c r="D3497" i="1"/>
  <c r="D3496" i="1"/>
  <c r="D3495" i="1"/>
  <c r="D3494" i="1"/>
  <c r="D3493" i="1"/>
  <c r="D3492" i="1"/>
  <c r="D3491" i="1"/>
  <c r="D3489" i="1"/>
  <c r="D3488" i="1"/>
  <c r="D3487" i="1"/>
  <c r="D3486" i="1"/>
  <c r="D3485" i="1"/>
  <c r="D3484" i="1"/>
  <c r="D3483" i="1"/>
  <c r="D3482" i="1"/>
  <c r="D3481" i="1"/>
  <c r="D3480" i="1"/>
  <c r="D3479" i="1"/>
  <c r="D3478" i="1"/>
  <c r="D3477" i="1"/>
  <c r="D3476" i="1"/>
  <c r="D3475" i="1"/>
  <c r="D3474" i="1"/>
  <c r="D3473" i="1"/>
  <c r="D3472" i="1"/>
  <c r="D3471" i="1"/>
  <c r="D3470" i="1"/>
  <c r="D3469" i="1"/>
  <c r="D3468" i="1"/>
  <c r="D3467" i="1"/>
  <c r="D3466" i="1"/>
  <c r="D3465" i="1"/>
  <c r="D3464" i="1"/>
  <c r="D3463" i="1"/>
  <c r="D3462" i="1"/>
  <c r="D3461" i="1"/>
  <c r="D3460" i="1"/>
  <c r="D3459" i="1"/>
  <c r="D3458" i="1"/>
  <c r="D3457" i="1"/>
  <c r="D3456" i="1"/>
  <c r="D3455" i="1"/>
  <c r="D3454" i="1"/>
  <c r="D3453" i="1"/>
  <c r="D3452" i="1"/>
  <c r="D3451" i="1"/>
  <c r="D3450" i="1"/>
  <c r="D3449" i="1"/>
  <c r="D3448" i="1"/>
  <c r="D3447" i="1"/>
  <c r="D3446" i="1"/>
  <c r="D3445" i="1"/>
  <c r="D3444" i="1"/>
  <c r="D3443" i="1"/>
  <c r="D3442" i="1"/>
  <c r="D3441" i="1"/>
  <c r="D3440" i="1"/>
  <c r="D3439" i="1"/>
  <c r="D3438" i="1"/>
  <c r="D3437" i="1"/>
  <c r="D3436" i="1"/>
  <c r="D3435" i="1"/>
  <c r="D3434" i="1"/>
  <c r="D3433" i="1"/>
  <c r="D3432" i="1"/>
  <c r="D3431" i="1"/>
  <c r="D3430" i="1"/>
  <c r="D3429" i="1"/>
  <c r="D3428" i="1"/>
  <c r="D3427" i="1"/>
  <c r="D3426" i="1"/>
  <c r="D3425" i="1"/>
  <c r="D3424" i="1"/>
  <c r="D3423" i="1"/>
  <c r="D3422" i="1"/>
  <c r="D3421" i="1"/>
  <c r="D3420" i="1"/>
  <c r="D3419" i="1"/>
  <c r="D3418" i="1"/>
  <c r="D3417" i="1"/>
  <c r="D3416" i="1"/>
  <c r="D3415" i="1"/>
  <c r="D3414" i="1"/>
  <c r="D3413" i="1"/>
  <c r="D3412" i="1"/>
  <c r="D3411" i="1"/>
  <c r="D3410" i="1"/>
  <c r="D3409" i="1"/>
  <c r="D3408" i="1"/>
  <c r="D3407" i="1"/>
  <c r="D3406" i="1"/>
  <c r="D3405" i="1"/>
  <c r="D3404" i="1"/>
  <c r="D3403" i="1"/>
  <c r="D3402" i="1"/>
  <c r="D3401" i="1"/>
  <c r="D3400" i="1"/>
  <c r="D3399" i="1"/>
  <c r="D3398" i="1"/>
  <c r="D3397" i="1"/>
  <c r="D3396" i="1"/>
  <c r="D3395" i="1"/>
  <c r="D3394" i="1"/>
  <c r="D3393" i="1"/>
  <c r="D3392" i="1"/>
  <c r="D3391" i="1"/>
  <c r="D3390" i="1"/>
  <c r="D3389" i="1"/>
  <c r="D3388" i="1"/>
  <c r="D3387" i="1"/>
  <c r="D3386" i="1"/>
  <c r="D3385" i="1"/>
  <c r="D3384" i="1"/>
  <c r="D3383" i="1"/>
  <c r="D3382" i="1"/>
  <c r="D3381" i="1"/>
  <c r="D3380" i="1"/>
  <c r="D3379" i="1"/>
  <c r="D3378" i="1"/>
  <c r="D3377" i="1"/>
  <c r="D3376" i="1"/>
  <c r="D3375" i="1"/>
  <c r="D3374" i="1"/>
  <c r="D3373" i="1"/>
  <c r="D3372" i="1"/>
  <c r="D3371" i="1"/>
  <c r="D3370" i="1"/>
  <c r="D3369" i="1"/>
  <c r="D3368" i="1"/>
  <c r="D3367" i="1"/>
  <c r="D3366" i="1"/>
  <c r="D3365" i="1"/>
  <c r="D3364" i="1"/>
  <c r="D3363" i="1"/>
  <c r="D3362" i="1"/>
  <c r="D3361" i="1"/>
  <c r="D3360" i="1"/>
  <c r="D3359" i="1"/>
  <c r="D3358" i="1"/>
  <c r="D3357" i="1"/>
  <c r="D3356" i="1"/>
  <c r="D3354" i="1"/>
  <c r="D3353" i="1"/>
  <c r="D3352" i="1"/>
  <c r="D3351" i="1"/>
  <c r="D3350" i="1"/>
  <c r="D3349" i="1"/>
  <c r="D3348" i="1"/>
  <c r="D3347" i="1"/>
  <c r="D3346" i="1"/>
  <c r="D3345" i="1"/>
  <c r="D3344" i="1"/>
  <c r="D3343" i="1"/>
  <c r="D3342" i="1"/>
  <c r="D3341" i="1"/>
  <c r="D3340" i="1"/>
  <c r="D3339" i="1"/>
  <c r="D3338" i="1"/>
  <c r="D3337" i="1"/>
  <c r="D3336" i="1"/>
  <c r="D3335" i="1"/>
  <c r="D3334" i="1"/>
  <c r="D3333" i="1"/>
  <c r="D3332" i="1"/>
  <c r="D3331" i="1"/>
  <c r="D3330" i="1"/>
  <c r="D3329" i="1"/>
  <c r="D3328" i="1"/>
  <c r="D3327" i="1"/>
  <c r="D3326" i="1"/>
  <c r="D3325" i="1"/>
  <c r="D3324" i="1"/>
  <c r="D3323" i="1"/>
  <c r="D3322" i="1"/>
  <c r="D3320" i="1"/>
  <c r="D3319" i="1"/>
  <c r="D3318" i="1"/>
  <c r="D3317" i="1"/>
  <c r="D3316" i="1"/>
  <c r="D3315" i="1"/>
  <c r="D3314" i="1"/>
  <c r="D3313" i="1"/>
  <c r="D3312" i="1"/>
  <c r="D3311" i="1"/>
  <c r="D3310" i="1"/>
  <c r="D3309" i="1"/>
  <c r="D3308" i="1"/>
  <c r="D3307" i="1"/>
  <c r="D3306" i="1"/>
  <c r="D3305" i="1"/>
  <c r="D3304" i="1"/>
  <c r="D3303" i="1"/>
  <c r="D3302" i="1"/>
  <c r="D3301" i="1"/>
  <c r="D3300" i="1"/>
  <c r="D3299" i="1"/>
  <c r="D3298" i="1"/>
  <c r="D3297" i="1"/>
  <c r="D3296" i="1"/>
  <c r="D3295" i="1"/>
  <c r="D3294" i="1"/>
  <c r="D3293" i="1"/>
  <c r="D3292" i="1"/>
  <c r="D3291" i="1"/>
  <c r="D3290" i="1"/>
  <c r="D3289" i="1"/>
  <c r="D3288" i="1"/>
  <c r="D3287" i="1"/>
  <c r="D3285" i="1"/>
  <c r="D3284" i="1"/>
  <c r="D3283" i="1"/>
  <c r="D3282" i="1"/>
  <c r="D3281" i="1"/>
  <c r="D3280" i="1"/>
  <c r="D3279" i="1"/>
  <c r="D3278" i="1"/>
  <c r="D3277" i="1"/>
  <c r="D3276" i="1"/>
  <c r="D3275" i="1"/>
  <c r="D3274" i="1"/>
  <c r="D3273" i="1"/>
  <c r="D3272" i="1"/>
  <c r="D3271" i="1"/>
  <c r="D3270" i="1"/>
  <c r="D3269" i="1"/>
  <c r="D3268" i="1"/>
  <c r="D3267" i="1"/>
  <c r="D3266" i="1"/>
  <c r="D3265" i="1"/>
  <c r="D3264" i="1"/>
  <c r="D3263" i="1"/>
  <c r="D3262" i="1"/>
  <c r="D3261" i="1"/>
  <c r="D3260" i="1"/>
  <c r="D3259" i="1"/>
  <c r="D3258" i="1"/>
  <c r="D3257" i="1"/>
  <c r="D3256" i="1"/>
  <c r="D3255" i="1"/>
  <c r="D3254" i="1"/>
  <c r="D3253" i="1"/>
  <c r="D3252" i="1"/>
  <c r="D3251" i="1"/>
  <c r="D3250" i="1"/>
  <c r="D3249" i="1"/>
  <c r="D3248" i="1"/>
  <c r="D3247" i="1"/>
  <c r="D3246" i="1"/>
  <c r="D3245" i="1"/>
  <c r="D3244" i="1"/>
  <c r="D3243" i="1"/>
  <c r="D3242" i="1"/>
  <c r="D3241" i="1"/>
  <c r="D3240" i="1"/>
  <c r="D3239" i="1"/>
  <c r="D3238" i="1"/>
  <c r="D3237" i="1"/>
  <c r="D3236" i="1"/>
  <c r="D3235" i="1"/>
  <c r="D3234" i="1"/>
  <c r="D3233" i="1"/>
  <c r="D3232" i="1"/>
  <c r="D3231" i="1"/>
  <c r="D3230" i="1"/>
  <c r="D3229" i="1"/>
  <c r="D3228" i="1"/>
  <c r="D3227" i="1"/>
  <c r="D3226" i="1"/>
  <c r="D3225" i="1"/>
  <c r="D3224" i="1"/>
  <c r="D3223" i="1"/>
  <c r="D3222" i="1"/>
  <c r="D3221" i="1"/>
  <c r="D3220" i="1"/>
  <c r="D3219" i="1"/>
  <c r="D3218" i="1"/>
  <c r="D3217" i="1"/>
  <c r="D3216" i="1"/>
  <c r="D3215" i="1"/>
  <c r="D3214" i="1"/>
  <c r="D3213" i="1"/>
  <c r="D3212" i="1"/>
  <c r="D3211" i="1"/>
  <c r="D3210" i="1"/>
  <c r="D3209" i="1"/>
  <c r="D3208" i="1"/>
  <c r="D3207" i="1"/>
  <c r="D3206" i="1"/>
  <c r="D3205" i="1"/>
  <c r="D3204" i="1"/>
  <c r="D3203" i="1"/>
  <c r="D3202" i="1"/>
  <c r="D3201" i="1"/>
  <c r="D3200" i="1"/>
  <c r="D3199" i="1"/>
  <c r="D3198" i="1"/>
  <c r="D3197" i="1"/>
  <c r="D3195" i="1"/>
  <c r="D3194" i="1"/>
  <c r="D3192" i="1"/>
  <c r="D3191" i="1"/>
  <c r="D3190" i="1"/>
  <c r="D3189" i="1"/>
  <c r="D3188" i="1"/>
  <c r="D3187" i="1"/>
  <c r="D3186" i="1"/>
  <c r="D3185" i="1"/>
  <c r="D3184" i="1"/>
  <c r="D3183" i="1"/>
  <c r="D3182" i="1"/>
  <c r="D3181" i="1"/>
  <c r="D3180" i="1"/>
  <c r="D3179" i="1"/>
  <c r="D3178" i="1"/>
  <c r="D3177" i="1"/>
  <c r="D3176" i="1"/>
  <c r="D3175" i="1"/>
  <c r="D3174" i="1"/>
  <c r="D3173" i="1"/>
  <c r="D3172" i="1"/>
  <c r="D3171" i="1"/>
  <c r="D3170" i="1"/>
  <c r="D3169" i="1"/>
  <c r="D3168" i="1"/>
  <c r="D3166" i="1"/>
  <c r="D3165" i="1"/>
  <c r="D3163" i="1"/>
  <c r="D3162" i="1"/>
  <c r="D3161" i="1"/>
  <c r="D3160" i="1"/>
  <c r="D3159" i="1"/>
  <c r="D3158" i="1"/>
  <c r="D3157" i="1"/>
  <c r="D3156" i="1"/>
  <c r="D3155" i="1"/>
  <c r="D3154" i="1"/>
  <c r="D3153" i="1"/>
  <c r="D3152" i="1"/>
  <c r="D3150" i="1"/>
  <c r="D3149" i="1"/>
  <c r="D3147" i="1"/>
  <c r="D3146" i="1"/>
  <c r="D3142" i="1"/>
  <c r="D3140" i="1"/>
  <c r="D3137" i="1"/>
  <c r="D3136" i="1"/>
  <c r="D3134" i="1"/>
  <c r="D3133" i="1"/>
  <c r="D3132" i="1"/>
  <c r="D3131" i="1"/>
  <c r="D3130" i="1"/>
  <c r="D3129" i="1"/>
  <c r="D3128" i="1"/>
  <c r="D3127" i="1"/>
  <c r="D3126" i="1"/>
  <c r="D3125" i="1"/>
  <c r="D3124" i="1"/>
  <c r="D3123" i="1"/>
  <c r="D3122" i="1"/>
  <c r="D3121" i="1"/>
  <c r="D3120" i="1"/>
  <c r="D3118" i="1"/>
  <c r="D3117" i="1"/>
  <c r="D3116" i="1"/>
  <c r="D3115" i="1"/>
  <c r="D3114" i="1"/>
  <c r="D3111" i="1"/>
  <c r="D3110" i="1"/>
  <c r="D3109" i="1"/>
  <c r="D3108" i="1"/>
  <c r="D3107" i="1"/>
  <c r="D3104" i="1"/>
  <c r="D3100" i="1"/>
  <c r="D3099" i="1"/>
  <c r="D3098" i="1"/>
  <c r="D3095" i="1"/>
  <c r="D3094" i="1"/>
  <c r="D3092" i="1"/>
  <c r="D3091" i="1"/>
  <c r="D3089" i="1"/>
  <c r="D3088" i="1"/>
  <c r="D3087" i="1"/>
  <c r="D3086" i="1"/>
  <c r="D3085" i="1"/>
  <c r="D3084" i="1"/>
  <c r="D3081" i="1"/>
  <c r="D3078" i="1"/>
  <c r="D3077" i="1"/>
  <c r="D3076" i="1"/>
  <c r="D3075" i="1"/>
  <c r="D3074" i="1"/>
  <c r="D3073" i="1"/>
  <c r="D3072" i="1"/>
  <c r="D3071" i="1"/>
  <c r="D3070" i="1"/>
  <c r="D3069" i="1"/>
  <c r="D3068" i="1"/>
  <c r="D3067" i="1"/>
  <c r="D3066" i="1"/>
  <c r="D3065" i="1"/>
  <c r="D3064" i="1"/>
  <c r="D3063" i="1"/>
  <c r="D3062" i="1"/>
  <c r="D3061" i="1"/>
  <c r="D3060" i="1"/>
  <c r="D3059" i="1"/>
  <c r="D3058" i="1"/>
  <c r="D3057" i="1"/>
  <c r="D3056" i="1"/>
  <c r="D3054" i="1"/>
  <c r="D3053" i="1"/>
  <c r="D3052" i="1"/>
  <c r="D3051" i="1"/>
  <c r="D3050" i="1"/>
  <c r="D3049" i="1"/>
  <c r="D3048" i="1"/>
  <c r="D3047" i="1"/>
  <c r="D3046" i="1"/>
  <c r="D3045" i="1"/>
  <c r="D3044" i="1"/>
  <c r="D3043" i="1"/>
  <c r="D3042" i="1"/>
  <c r="D3041" i="1"/>
  <c r="D3040" i="1"/>
  <c r="D3039" i="1"/>
  <c r="D3038" i="1"/>
  <c r="D3037" i="1"/>
  <c r="D3036" i="1"/>
  <c r="D3035" i="1"/>
  <c r="D3034" i="1"/>
  <c r="D3033" i="1"/>
  <c r="D3032" i="1"/>
  <c r="D3031" i="1"/>
  <c r="D3030" i="1"/>
  <c r="D3029" i="1"/>
  <c r="D3028" i="1"/>
  <c r="D3026" i="1"/>
  <c r="D3025" i="1"/>
  <c r="D3024" i="1"/>
  <c r="D3023" i="1"/>
  <c r="D3022" i="1"/>
  <c r="D3021" i="1"/>
  <c r="D3020" i="1"/>
  <c r="D3019" i="1"/>
  <c r="D3018" i="1"/>
  <c r="D3017" i="1"/>
  <c r="D3016" i="1"/>
  <c r="D3015" i="1"/>
  <c r="D3014" i="1"/>
  <c r="D3013" i="1"/>
  <c r="D3012" i="1"/>
  <c r="D3011" i="1"/>
  <c r="D3010" i="1"/>
  <c r="D3009" i="1"/>
  <c r="D3008" i="1"/>
  <c r="D3007" i="1"/>
  <c r="D3006" i="1"/>
  <c r="D3005" i="1"/>
  <c r="D3004" i="1"/>
  <c r="D3003" i="1"/>
  <c r="D3002" i="1"/>
  <c r="D3001" i="1"/>
  <c r="D3000" i="1"/>
  <c r="D2999" i="1"/>
  <c r="D2998" i="1"/>
  <c r="D2997" i="1"/>
  <c r="D2996" i="1"/>
  <c r="D2995" i="1"/>
  <c r="D2994" i="1"/>
  <c r="D2993" i="1"/>
  <c r="D2992" i="1"/>
  <c r="D2991" i="1"/>
  <c r="D2990" i="1"/>
  <c r="D2989" i="1"/>
  <c r="D2988" i="1"/>
  <c r="D2987" i="1"/>
  <c r="D2986" i="1"/>
  <c r="D2985" i="1"/>
  <c r="D2984" i="1"/>
  <c r="D2983" i="1"/>
  <c r="D2982" i="1"/>
  <c r="D2981" i="1"/>
  <c r="D2980" i="1"/>
  <c r="D2979" i="1"/>
  <c r="D2978" i="1"/>
  <c r="D2977" i="1"/>
  <c r="D2976" i="1"/>
  <c r="D2975" i="1"/>
  <c r="D2974" i="1"/>
  <c r="D2973" i="1"/>
  <c r="D2972" i="1"/>
  <c r="D2971" i="1"/>
  <c r="D2970" i="1"/>
  <c r="D2969" i="1"/>
  <c r="D2968" i="1"/>
  <c r="D2967" i="1"/>
  <c r="D2966" i="1"/>
  <c r="D2965" i="1"/>
  <c r="D2964" i="1"/>
  <c r="D2963" i="1"/>
  <c r="D2961" i="1"/>
  <c r="D2960" i="1"/>
  <c r="D2958" i="1"/>
  <c r="D2957" i="1"/>
  <c r="D2956" i="1"/>
  <c r="D2955" i="1"/>
  <c r="D2954" i="1"/>
  <c r="D2953" i="1"/>
  <c r="D2952" i="1"/>
  <c r="D2951" i="1"/>
  <c r="D2950" i="1"/>
  <c r="D2949" i="1"/>
  <c r="D2948" i="1"/>
  <c r="D2947" i="1"/>
  <c r="D2946" i="1"/>
  <c r="D2945" i="1"/>
  <c r="D2944" i="1"/>
  <c r="D2942" i="1"/>
  <c r="D2941" i="1"/>
  <c r="D2940" i="1"/>
  <c r="D2939" i="1"/>
  <c r="D2938" i="1"/>
  <c r="D2937" i="1"/>
  <c r="D2936" i="1"/>
  <c r="D2935" i="1"/>
  <c r="D2934" i="1"/>
  <c r="D2933" i="1"/>
  <c r="D2932" i="1"/>
  <c r="D2931" i="1"/>
  <c r="D2928" i="1"/>
  <c r="D2926" i="1"/>
  <c r="D2924" i="1"/>
  <c r="D2923" i="1"/>
  <c r="D2922" i="1"/>
  <c r="D2921" i="1"/>
  <c r="D2920" i="1"/>
  <c r="D2919" i="1"/>
  <c r="D2917" i="1"/>
  <c r="D2916" i="1"/>
  <c r="D2914" i="1"/>
  <c r="D2912" i="1"/>
  <c r="D2911" i="1"/>
  <c r="D2910" i="1"/>
  <c r="D2909" i="1"/>
  <c r="D2906" i="1"/>
  <c r="D2905" i="1"/>
  <c r="D2904" i="1"/>
  <c r="D2903" i="1"/>
  <c r="D2902" i="1"/>
  <c r="D2901" i="1"/>
  <c r="D2900" i="1"/>
  <c r="D2899" i="1"/>
  <c r="D2898" i="1"/>
  <c r="D2897" i="1"/>
  <c r="D2896" i="1"/>
  <c r="D2895" i="1"/>
  <c r="D2894" i="1"/>
  <c r="D2893" i="1"/>
  <c r="D2892" i="1"/>
  <c r="D2891" i="1"/>
  <c r="D2890" i="1"/>
  <c r="D2889" i="1"/>
  <c r="D2888" i="1"/>
  <c r="D2887" i="1"/>
  <c r="D2885" i="1"/>
  <c r="D2884" i="1"/>
  <c r="D2883" i="1"/>
  <c r="D2882" i="1"/>
  <c r="D2881" i="1"/>
  <c r="D2878" i="1"/>
  <c r="D2877" i="1"/>
  <c r="D2876" i="1"/>
  <c r="D2875" i="1"/>
  <c r="D2873" i="1"/>
  <c r="D2872" i="1"/>
  <c r="D2871" i="1"/>
  <c r="D2870" i="1"/>
  <c r="D2868" i="1"/>
  <c r="D2866" i="1"/>
  <c r="D2864" i="1"/>
  <c r="D2863" i="1"/>
  <c r="D2862" i="1"/>
  <c r="D2861" i="1"/>
  <c r="D2860" i="1"/>
  <c r="D2859" i="1"/>
  <c r="D2858" i="1"/>
  <c r="D2857" i="1"/>
  <c r="D2856" i="1"/>
  <c r="D2855" i="1"/>
  <c r="D2854" i="1"/>
  <c r="D2853" i="1"/>
  <c r="D2851" i="1"/>
  <c r="D2850" i="1"/>
  <c r="D2849" i="1"/>
  <c r="D2848" i="1"/>
  <c r="D2847" i="1"/>
  <c r="D2846" i="1"/>
  <c r="D2845" i="1"/>
  <c r="D2844" i="1"/>
  <c r="D2843" i="1"/>
  <c r="D2839" i="1"/>
  <c r="D2838" i="1"/>
  <c r="D2837" i="1"/>
  <c r="D2836" i="1"/>
  <c r="D2832" i="1"/>
  <c r="D2831" i="1"/>
  <c r="D2830" i="1"/>
  <c r="D2829" i="1"/>
  <c r="D2827" i="1"/>
  <c r="D2826" i="1"/>
  <c r="D2825" i="1"/>
  <c r="D2824" i="1"/>
  <c r="D2821" i="1"/>
  <c r="D2819" i="1"/>
  <c r="D2818" i="1"/>
  <c r="D2817" i="1"/>
  <c r="D2816" i="1"/>
  <c r="D2814" i="1"/>
  <c r="D2812" i="1"/>
  <c r="D2811" i="1"/>
  <c r="D2810" i="1"/>
  <c r="D2809" i="1"/>
  <c r="D2807" i="1"/>
  <c r="D2805" i="1"/>
  <c r="D2804" i="1"/>
  <c r="D2803" i="1"/>
  <c r="D2802" i="1"/>
  <c r="D2801" i="1"/>
  <c r="D2799" i="1"/>
  <c r="D2798" i="1"/>
  <c r="D2797" i="1"/>
  <c r="D2795" i="1"/>
  <c r="D2794" i="1"/>
  <c r="D2793" i="1"/>
  <c r="D2792" i="1"/>
  <c r="D2791" i="1"/>
  <c r="D2789" i="1"/>
  <c r="D2787" i="1"/>
  <c r="D2786" i="1"/>
  <c r="D2785" i="1"/>
  <c r="D2784" i="1"/>
  <c r="D2783" i="1"/>
  <c r="D2782" i="1"/>
  <c r="D2781" i="1"/>
  <c r="D2780" i="1"/>
  <c r="D2779" i="1"/>
  <c r="D2778" i="1"/>
  <c r="D2777" i="1"/>
  <c r="D2776" i="1"/>
  <c r="D2775" i="1"/>
  <c r="D2774" i="1"/>
  <c r="D2773" i="1"/>
  <c r="D2772" i="1"/>
  <c r="D2771" i="1"/>
  <c r="D2770" i="1"/>
  <c r="D2769" i="1"/>
  <c r="D2768" i="1"/>
  <c r="D2767" i="1"/>
  <c r="D2766" i="1"/>
  <c r="D2765" i="1"/>
  <c r="D2764" i="1"/>
  <c r="D2763" i="1"/>
  <c r="D2762" i="1"/>
  <c r="D2761" i="1"/>
  <c r="D2760" i="1"/>
  <c r="D2759" i="1"/>
  <c r="D2758" i="1"/>
  <c r="D2757" i="1"/>
  <c r="D2756" i="1"/>
  <c r="D2755" i="1"/>
  <c r="D2754" i="1"/>
  <c r="D2753" i="1"/>
  <c r="D2752" i="1"/>
  <c r="D2751" i="1"/>
  <c r="D2750" i="1"/>
  <c r="D2749" i="1"/>
  <c r="D2748" i="1"/>
  <c r="D2747" i="1"/>
  <c r="D2746" i="1"/>
  <c r="D2745" i="1"/>
  <c r="D2744" i="1"/>
  <c r="D2743" i="1"/>
  <c r="D2742" i="1"/>
  <c r="D2741" i="1"/>
  <c r="D2740" i="1"/>
  <c r="D2739" i="1"/>
  <c r="D2738" i="1"/>
  <c r="D2737" i="1"/>
  <c r="D2736" i="1"/>
  <c r="D2735" i="1"/>
  <c r="D2734" i="1"/>
  <c r="D2733" i="1"/>
  <c r="D2732" i="1"/>
  <c r="D2731" i="1"/>
  <c r="D2730" i="1"/>
  <c r="D2729" i="1"/>
  <c r="D2728" i="1"/>
  <c r="D2727" i="1"/>
  <c r="D2726" i="1"/>
  <c r="D2725" i="1"/>
  <c r="D2724" i="1"/>
  <c r="D2723" i="1"/>
  <c r="D2722" i="1"/>
  <c r="D2721" i="1"/>
  <c r="D2720" i="1"/>
  <c r="D2719" i="1"/>
  <c r="D2718" i="1"/>
  <c r="D2717" i="1"/>
  <c r="D2716" i="1"/>
  <c r="D2715" i="1"/>
  <c r="D2714" i="1"/>
  <c r="D2713" i="1"/>
  <c r="D2712" i="1"/>
  <c r="D2711" i="1"/>
  <c r="D2710" i="1"/>
  <c r="D2709" i="1"/>
  <c r="D2708" i="1"/>
  <c r="D2707" i="1"/>
  <c r="D2706" i="1"/>
  <c r="D2705" i="1"/>
  <c r="D2704" i="1"/>
  <c r="D2703" i="1"/>
  <c r="D2702" i="1"/>
  <c r="D2701" i="1"/>
  <c r="D2700" i="1"/>
  <c r="D2699" i="1"/>
  <c r="D2698" i="1"/>
  <c r="D2697" i="1"/>
  <c r="D2696" i="1"/>
  <c r="D2695" i="1"/>
  <c r="D2694" i="1"/>
  <c r="D2693" i="1"/>
  <c r="D2692" i="1"/>
  <c r="D2691" i="1"/>
  <c r="D2690" i="1"/>
  <c r="D2689" i="1"/>
  <c r="D2688" i="1"/>
  <c r="D2687" i="1"/>
  <c r="D2686" i="1"/>
  <c r="D2685" i="1"/>
  <c r="D2684" i="1"/>
  <c r="D2683" i="1"/>
  <c r="D2682" i="1"/>
  <c r="D2681" i="1"/>
  <c r="D2680" i="1"/>
  <c r="D2679" i="1"/>
  <c r="D2678" i="1"/>
  <c r="D2677" i="1"/>
  <c r="D2676" i="1"/>
  <c r="D2675" i="1"/>
  <c r="D2674" i="1"/>
  <c r="D2673" i="1"/>
  <c r="D2672" i="1"/>
  <c r="D2671" i="1"/>
  <c r="D2670" i="1"/>
  <c r="D2669" i="1"/>
  <c r="D2668" i="1"/>
  <c r="D2667" i="1"/>
  <c r="D2666" i="1"/>
  <c r="D2665" i="1"/>
  <c r="D2664" i="1"/>
  <c r="D2663" i="1"/>
  <c r="D2662" i="1"/>
  <c r="D2661" i="1"/>
  <c r="D2660" i="1"/>
  <c r="D2659" i="1"/>
  <c r="D2658" i="1"/>
  <c r="D2657" i="1"/>
  <c r="D2656" i="1"/>
  <c r="D2655" i="1"/>
  <c r="D2654" i="1"/>
  <c r="D2653" i="1"/>
  <c r="D2652" i="1"/>
  <c r="D2651" i="1"/>
  <c r="D2650" i="1"/>
  <c r="D2649" i="1"/>
  <c r="D2648" i="1"/>
  <c r="D2647" i="1"/>
  <c r="D2646" i="1"/>
  <c r="D2645" i="1"/>
  <c r="D2644" i="1"/>
  <c r="D2643" i="1"/>
  <c r="D2642" i="1"/>
  <c r="D2640" i="1"/>
  <c r="D2639" i="1"/>
  <c r="D2638" i="1"/>
  <c r="D2637" i="1"/>
  <c r="D2636" i="1"/>
  <c r="D2635" i="1"/>
  <c r="D2633" i="1"/>
  <c r="D2632" i="1"/>
  <c r="D2631" i="1"/>
  <c r="D2630" i="1"/>
  <c r="D2629" i="1"/>
  <c r="D2628" i="1"/>
  <c r="D2627" i="1"/>
  <c r="D2624" i="1"/>
  <c r="D2623" i="1"/>
  <c r="D2622" i="1"/>
  <c r="D2621" i="1"/>
  <c r="D2620" i="1"/>
  <c r="D2619" i="1"/>
  <c r="D2618" i="1"/>
  <c r="D2617" i="1"/>
  <c r="D2616" i="1"/>
  <c r="D2615" i="1"/>
  <c r="D2614" i="1"/>
  <c r="D2613" i="1"/>
  <c r="D2612" i="1"/>
  <c r="D2611" i="1"/>
  <c r="D2610" i="1"/>
  <c r="D2609" i="1"/>
  <c r="D2608" i="1"/>
  <c r="D2607" i="1"/>
  <c r="D2606" i="1"/>
  <c r="D2605" i="1"/>
  <c r="D2604" i="1"/>
  <c r="D2603" i="1"/>
  <c r="D2602" i="1"/>
  <c r="D2601" i="1"/>
  <c r="D2600" i="1"/>
  <c r="D2599" i="1"/>
  <c r="D2598" i="1"/>
  <c r="D2597" i="1"/>
  <c r="D2596" i="1"/>
  <c r="D2595" i="1"/>
  <c r="D2594" i="1"/>
  <c r="D2593" i="1"/>
  <c r="D2592" i="1"/>
  <c r="D2591" i="1"/>
  <c r="D2590" i="1"/>
  <c r="D2589" i="1"/>
  <c r="D2588" i="1"/>
  <c r="D2587" i="1"/>
  <c r="D2586" i="1"/>
  <c r="D2585" i="1"/>
  <c r="D2584" i="1"/>
  <c r="D2583" i="1"/>
  <c r="D2582" i="1"/>
  <c r="D2581" i="1"/>
  <c r="D2580" i="1"/>
  <c r="D2579" i="1"/>
  <c r="D2578" i="1"/>
  <c r="D2577" i="1"/>
  <c r="D2576" i="1"/>
  <c r="D2574" i="1"/>
  <c r="D2573" i="1"/>
  <c r="D2572" i="1"/>
  <c r="D2571" i="1"/>
  <c r="D2570" i="1"/>
  <c r="D2569" i="1"/>
  <c r="D2568" i="1"/>
  <c r="D2567" i="1"/>
  <c r="D2566" i="1"/>
  <c r="D2565" i="1"/>
  <c r="D2564" i="1"/>
  <c r="D2563" i="1"/>
  <c r="D2562" i="1"/>
  <c r="D2561" i="1"/>
  <c r="D2560" i="1"/>
  <c r="D2559" i="1"/>
  <c r="D2558" i="1"/>
  <c r="D2557" i="1"/>
  <c r="D2556" i="1"/>
  <c r="D2555" i="1"/>
  <c r="D2554" i="1"/>
  <c r="D2553" i="1"/>
  <c r="D2552" i="1"/>
  <c r="D2551" i="1"/>
  <c r="D2550" i="1"/>
  <c r="D2549" i="1"/>
  <c r="D2548" i="1"/>
  <c r="D2547" i="1"/>
  <c r="D2546" i="1"/>
  <c r="D2545" i="1"/>
  <c r="D2544" i="1"/>
  <c r="D2543" i="1"/>
  <c r="D2542" i="1"/>
  <c r="D2541" i="1"/>
  <c r="D2540" i="1"/>
  <c r="D2539" i="1"/>
  <c r="D2538" i="1"/>
  <c r="D2537" i="1"/>
  <c r="D2535" i="1"/>
  <c r="D2534" i="1"/>
  <c r="D2533" i="1"/>
  <c r="D2532" i="1"/>
  <c r="D2531" i="1"/>
  <c r="D2530" i="1"/>
  <c r="D2529" i="1"/>
  <c r="D2528" i="1"/>
  <c r="D2527" i="1"/>
  <c r="D2526" i="1"/>
  <c r="D2525" i="1"/>
  <c r="D2524" i="1"/>
  <c r="D2523" i="1"/>
  <c r="D2522" i="1"/>
  <c r="D2521" i="1"/>
  <c r="D2520" i="1"/>
  <c r="D2519" i="1"/>
  <c r="D2518" i="1"/>
  <c r="D2517" i="1"/>
  <c r="D2516" i="1"/>
  <c r="D2515" i="1"/>
  <c r="D2514" i="1"/>
  <c r="D2513" i="1"/>
  <c r="D2512" i="1"/>
  <c r="D2511" i="1"/>
  <c r="D2510" i="1"/>
  <c r="D2509" i="1"/>
  <c r="D2508" i="1"/>
  <c r="D2507" i="1"/>
  <c r="D2506" i="1"/>
  <c r="D2505" i="1"/>
  <c r="D2504" i="1"/>
  <c r="D2503" i="1"/>
  <c r="D2502" i="1"/>
  <c r="D2501" i="1"/>
  <c r="D2500" i="1"/>
  <c r="D2499" i="1"/>
  <c r="D2498" i="1"/>
  <c r="D2497" i="1"/>
  <c r="D2496" i="1"/>
  <c r="D2495" i="1"/>
  <c r="D2494" i="1"/>
  <c r="D2493" i="1"/>
  <c r="D2492" i="1"/>
  <c r="D2491" i="1"/>
  <c r="D2490" i="1"/>
  <c r="D2489" i="1"/>
  <c r="D2488" i="1"/>
  <c r="D2487" i="1"/>
  <c r="D2486" i="1"/>
  <c r="D2485" i="1"/>
  <c r="D2484" i="1"/>
  <c r="D2483" i="1"/>
  <c r="D2482" i="1"/>
  <c r="D2481" i="1"/>
  <c r="D2480" i="1"/>
  <c r="D2479" i="1"/>
  <c r="D2478" i="1"/>
  <c r="D2477" i="1"/>
  <c r="D2476" i="1"/>
  <c r="D2475" i="1"/>
  <c r="D2474" i="1"/>
  <c r="D2473" i="1"/>
  <c r="D2472" i="1"/>
  <c r="D2471" i="1"/>
  <c r="D2470" i="1"/>
  <c r="D2469" i="1"/>
  <c r="D2468" i="1"/>
  <c r="D2467" i="1"/>
  <c r="D2466" i="1"/>
  <c r="D2465" i="1"/>
  <c r="D2464" i="1"/>
  <c r="D2463" i="1"/>
  <c r="D2462" i="1"/>
  <c r="D2461" i="1"/>
  <c r="D2460" i="1"/>
  <c r="D2459" i="1"/>
  <c r="D2458" i="1"/>
  <c r="D2457" i="1"/>
  <c r="D2456" i="1"/>
  <c r="D2455" i="1"/>
  <c r="D2454" i="1"/>
  <c r="D2453" i="1"/>
  <c r="D2452" i="1"/>
  <c r="D2451" i="1"/>
  <c r="D2450" i="1"/>
  <c r="D2449" i="1"/>
  <c r="D2448" i="1"/>
  <c r="D2447" i="1"/>
  <c r="D2446" i="1"/>
  <c r="D2445" i="1"/>
  <c r="D2444" i="1"/>
  <c r="D2443" i="1"/>
  <c r="D2442" i="1"/>
  <c r="D2441" i="1"/>
  <c r="D2440" i="1"/>
  <c r="D2439" i="1"/>
  <c r="D2438" i="1"/>
  <c r="D2436" i="1"/>
  <c r="D2435" i="1"/>
  <c r="D2434" i="1"/>
  <c r="D2433" i="1"/>
  <c r="D2432" i="1"/>
  <c r="D2431" i="1"/>
  <c r="D2430" i="1"/>
  <c r="D2429" i="1"/>
  <c r="D2428" i="1"/>
  <c r="D2427" i="1"/>
  <c r="D2426" i="1"/>
  <c r="D2425" i="1"/>
  <c r="D2424" i="1"/>
  <c r="D2423" i="1"/>
  <c r="D2422" i="1"/>
  <c r="D2421" i="1"/>
  <c r="D2420" i="1"/>
  <c r="D2419" i="1"/>
  <c r="D2418" i="1"/>
  <c r="D2417" i="1"/>
  <c r="D2416" i="1"/>
  <c r="D2415" i="1"/>
  <c r="D2413" i="1"/>
  <c r="D2412" i="1"/>
  <c r="D2411" i="1"/>
  <c r="D2410" i="1"/>
  <c r="D2409" i="1"/>
  <c r="D2408" i="1"/>
  <c r="D2407" i="1"/>
  <c r="D2406" i="1"/>
  <c r="D2405" i="1"/>
  <c r="D2404" i="1"/>
  <c r="D2403" i="1"/>
  <c r="D2402" i="1"/>
  <c r="D2401" i="1"/>
  <c r="D2400" i="1"/>
  <c r="D2396" i="1"/>
  <c r="D2395" i="1"/>
  <c r="D2392" i="1"/>
  <c r="D2391" i="1"/>
  <c r="D2390" i="1"/>
  <c r="D2389" i="1"/>
  <c r="D2388" i="1"/>
  <c r="D2387" i="1"/>
  <c r="D2386" i="1"/>
  <c r="D2385" i="1"/>
  <c r="D2384" i="1"/>
  <c r="D2382" i="1"/>
  <c r="D2381" i="1"/>
  <c r="D2380" i="1"/>
  <c r="D2377" i="1"/>
  <c r="D2376" i="1"/>
  <c r="D2373" i="1"/>
  <c r="D2372" i="1"/>
  <c r="D2371" i="1"/>
  <c r="D2370" i="1"/>
  <c r="D2369" i="1"/>
  <c r="D2368" i="1"/>
  <c r="D2367" i="1"/>
  <c r="D2366" i="1"/>
  <c r="D2365" i="1"/>
  <c r="D2364" i="1"/>
  <c r="D2363" i="1"/>
  <c r="D2362" i="1"/>
  <c r="D2361" i="1"/>
  <c r="D2359" i="1"/>
  <c r="D2358" i="1"/>
  <c r="D2357" i="1"/>
  <c r="D2356" i="1"/>
  <c r="D2354" i="1"/>
  <c r="D2353" i="1"/>
  <c r="D2352" i="1"/>
  <c r="D2347" i="1"/>
  <c r="D2345" i="1"/>
  <c r="D2343" i="1"/>
  <c r="D2342" i="1"/>
  <c r="D2341" i="1"/>
  <c r="D2340" i="1"/>
  <c r="D2339" i="1"/>
  <c r="D2338" i="1"/>
  <c r="D2337" i="1"/>
  <c r="D2336" i="1"/>
  <c r="D2335" i="1"/>
  <c r="D2334" i="1"/>
  <c r="D2333" i="1"/>
  <c r="D2332" i="1"/>
  <c r="D2331" i="1"/>
  <c r="D2330" i="1"/>
  <c r="D2328" i="1"/>
  <c r="D2327" i="1"/>
  <c r="D2323" i="1"/>
  <c r="D2322" i="1"/>
  <c r="D2321" i="1"/>
  <c r="D2320" i="1"/>
  <c r="D2319" i="1"/>
  <c r="D2318" i="1"/>
  <c r="D2317" i="1"/>
  <c r="D2316" i="1"/>
  <c r="D2315" i="1"/>
  <c r="D2314" i="1"/>
  <c r="D2313" i="1"/>
  <c r="D2312" i="1"/>
  <c r="D2310" i="1"/>
  <c r="D2309" i="1"/>
  <c r="D2308" i="1"/>
  <c r="D2307" i="1"/>
  <c r="D2306" i="1"/>
  <c r="D2305" i="1"/>
  <c r="D2304" i="1"/>
  <c r="D2303" i="1"/>
  <c r="D2302" i="1"/>
  <c r="D2301" i="1"/>
  <c r="D2300" i="1"/>
  <c r="D2298" i="1"/>
  <c r="D2297" i="1"/>
  <c r="D2296" i="1"/>
  <c r="D2295" i="1"/>
  <c r="D2294" i="1"/>
  <c r="D2293" i="1"/>
  <c r="D2292" i="1"/>
  <c r="D2290" i="1"/>
  <c r="D2289" i="1"/>
  <c r="D2288" i="1"/>
  <c r="D2287" i="1"/>
  <c r="D2286" i="1"/>
  <c r="D2285" i="1"/>
  <c r="D2284" i="1"/>
  <c r="D2283" i="1"/>
  <c r="D2282" i="1"/>
  <c r="D2281" i="1"/>
  <c r="D2280" i="1"/>
  <c r="D2279" i="1"/>
  <c r="D2278" i="1"/>
  <c r="D2277" i="1"/>
  <c r="D2276" i="1"/>
  <c r="D2273" i="1"/>
  <c r="D2272" i="1"/>
  <c r="D2271" i="1"/>
  <c r="D2270" i="1"/>
  <c r="D2269" i="1"/>
  <c r="D2268" i="1"/>
  <c r="D2267" i="1"/>
  <c r="D2266" i="1"/>
  <c r="D2265" i="1"/>
  <c r="D2264" i="1"/>
  <c r="D2263" i="1"/>
  <c r="D2262" i="1"/>
  <c r="D2261" i="1"/>
  <c r="D2260" i="1"/>
  <c r="D2258" i="1"/>
  <c r="D2257" i="1"/>
  <c r="D2254" i="1"/>
  <c r="D2252" i="1"/>
  <c r="D2251" i="1"/>
  <c r="D2250" i="1"/>
  <c r="D2249" i="1"/>
  <c r="D2248" i="1"/>
  <c r="D2247" i="1"/>
  <c r="D2246" i="1"/>
  <c r="D2245" i="1"/>
  <c r="D2244" i="1"/>
  <c r="D2243" i="1"/>
  <c r="D2241" i="1"/>
  <c r="D2240" i="1"/>
  <c r="D2239" i="1"/>
  <c r="D2238" i="1"/>
  <c r="D2237" i="1"/>
  <c r="D2236" i="1"/>
  <c r="D2235" i="1"/>
  <c r="D2234" i="1"/>
  <c r="D2233" i="1"/>
  <c r="D2232" i="1"/>
  <c r="D2231" i="1"/>
  <c r="D2230" i="1"/>
  <c r="D2229" i="1"/>
  <c r="D2228" i="1"/>
  <c r="D2227" i="1"/>
  <c r="D2226" i="1"/>
  <c r="D2225" i="1"/>
  <c r="D2223" i="1"/>
  <c r="D2222" i="1"/>
  <c r="D2221" i="1"/>
  <c r="D2220" i="1"/>
  <c r="D2219" i="1"/>
  <c r="D2218" i="1"/>
  <c r="D2217" i="1"/>
  <c r="D2216" i="1"/>
  <c r="D2215" i="1"/>
  <c r="D2214" i="1"/>
  <c r="D2213" i="1"/>
  <c r="D2212" i="1"/>
  <c r="D2211" i="1"/>
  <c r="D2210" i="1"/>
  <c r="D2209" i="1"/>
  <c r="D2208" i="1"/>
  <c r="D2207" i="1"/>
  <c r="D2206" i="1"/>
  <c r="D2205" i="1"/>
  <c r="D2204" i="1"/>
  <c r="D2203" i="1"/>
  <c r="D2202" i="1"/>
  <c r="D2201" i="1"/>
  <c r="D2200" i="1"/>
  <c r="D2199" i="1"/>
  <c r="D2196" i="1"/>
  <c r="D2193" i="1"/>
  <c r="D2192" i="1"/>
  <c r="D2191" i="1"/>
  <c r="D2190" i="1"/>
  <c r="D2189" i="1"/>
  <c r="D2188" i="1"/>
  <c r="D2187" i="1"/>
  <c r="D2186" i="1"/>
  <c r="D2184" i="1"/>
  <c r="D2183" i="1"/>
  <c r="D2182" i="1"/>
  <c r="D2181" i="1"/>
  <c r="D2180" i="1"/>
  <c r="D2179" i="1"/>
  <c r="D2178" i="1"/>
  <c r="D2177" i="1"/>
  <c r="D2176" i="1"/>
  <c r="D2175" i="1"/>
  <c r="D2174" i="1"/>
  <c r="D2173" i="1"/>
  <c r="D2172" i="1"/>
  <c r="D2171" i="1"/>
  <c r="D2170" i="1"/>
  <c r="D2169" i="1"/>
  <c r="D2167" i="1"/>
  <c r="D2165" i="1"/>
  <c r="D2164" i="1"/>
  <c r="D2163" i="1"/>
  <c r="D2162" i="1"/>
  <c r="D2161" i="1"/>
  <c r="D2160" i="1"/>
  <c r="D2159" i="1"/>
  <c r="D2158" i="1"/>
  <c r="D2157" i="1"/>
  <c r="D2156" i="1"/>
  <c r="D2155" i="1"/>
  <c r="D2154" i="1"/>
  <c r="D2153" i="1"/>
  <c r="D2152" i="1"/>
  <c r="D2151" i="1"/>
  <c r="D2150" i="1"/>
  <c r="D2149" i="1"/>
  <c r="D2148" i="1"/>
  <c r="D2147" i="1"/>
  <c r="D2146" i="1"/>
  <c r="D2145" i="1"/>
  <c r="D2144" i="1"/>
  <c r="D2143" i="1"/>
  <c r="D2142" i="1"/>
  <c r="D2141" i="1"/>
  <c r="D2140" i="1"/>
  <c r="D2139" i="1"/>
  <c r="D2138" i="1"/>
  <c r="D2137" i="1"/>
  <c r="D2136" i="1"/>
  <c r="D2135" i="1"/>
  <c r="D2134" i="1"/>
  <c r="D2133" i="1"/>
  <c r="D2132" i="1"/>
  <c r="D2130" i="1"/>
  <c r="D2128" i="1"/>
  <c r="D2127" i="1"/>
  <c r="D2126" i="1"/>
  <c r="D2125" i="1"/>
  <c r="D2124" i="1"/>
  <c r="D2122" i="1"/>
  <c r="D2121" i="1"/>
  <c r="D2120" i="1"/>
  <c r="D2119" i="1"/>
  <c r="D2114" i="1"/>
  <c r="D2113" i="1"/>
  <c r="D2112" i="1"/>
  <c r="D2110" i="1"/>
  <c r="D2109" i="1"/>
  <c r="D2108" i="1"/>
  <c r="D2107" i="1"/>
  <c r="D2105" i="1"/>
  <c r="D2104" i="1"/>
  <c r="D2103" i="1"/>
  <c r="D2102" i="1"/>
  <c r="D2101" i="1"/>
  <c r="D2100" i="1"/>
  <c r="D2099" i="1"/>
  <c r="D2098" i="1"/>
  <c r="D2097" i="1"/>
  <c r="D2096" i="1"/>
  <c r="D2095" i="1"/>
  <c r="D2094" i="1"/>
  <c r="D2093" i="1"/>
  <c r="D2092" i="1"/>
  <c r="D2090" i="1"/>
  <c r="D2089" i="1"/>
  <c r="D2088" i="1"/>
  <c r="D2087" i="1"/>
  <c r="D2086" i="1"/>
  <c r="D2085" i="1"/>
  <c r="D2084" i="1"/>
  <c r="D2083" i="1"/>
  <c r="D2082" i="1"/>
  <c r="D2081" i="1"/>
  <c r="D2080" i="1"/>
  <c r="D2079" i="1"/>
  <c r="D2078" i="1"/>
  <c r="D2077" i="1"/>
  <c r="D2074" i="1"/>
  <c r="D2073" i="1"/>
  <c r="D2071" i="1"/>
  <c r="D2070" i="1"/>
  <c r="D2069" i="1"/>
  <c r="D2068" i="1"/>
  <c r="D2067" i="1"/>
  <c r="D2065" i="1"/>
  <c r="D2064" i="1"/>
  <c r="D2063" i="1"/>
  <c r="D2062" i="1"/>
  <c r="D2061" i="1"/>
  <c r="D2060" i="1"/>
  <c r="D2059" i="1"/>
  <c r="D2058" i="1"/>
  <c r="D2055" i="1"/>
  <c r="D2054" i="1"/>
  <c r="D2053" i="1"/>
  <c r="D2052" i="1"/>
  <c r="D2051" i="1"/>
  <c r="D2050" i="1"/>
  <c r="D2049" i="1"/>
  <c r="D2048" i="1"/>
  <c r="D2047" i="1"/>
  <c r="D2044" i="1"/>
  <c r="D2043" i="1"/>
  <c r="D2042" i="1"/>
  <c r="D2041" i="1"/>
  <c r="D2040" i="1"/>
  <c r="D2039" i="1"/>
  <c r="D2038" i="1"/>
  <c r="D2037" i="1"/>
  <c r="D2036" i="1"/>
  <c r="D2035" i="1"/>
  <c r="D2034" i="1"/>
  <c r="D2033" i="1"/>
  <c r="D2032" i="1"/>
  <c r="D2031" i="1"/>
  <c r="D2030" i="1"/>
  <c r="D2029" i="1"/>
  <c r="D2028" i="1"/>
  <c r="D2027" i="1"/>
  <c r="D2026" i="1"/>
  <c r="D2025" i="1"/>
  <c r="D2024" i="1"/>
  <c r="D2023" i="1"/>
  <c r="D2021" i="1"/>
  <c r="D2020" i="1"/>
  <c r="D2019" i="1"/>
  <c r="D2018" i="1"/>
  <c r="D2017" i="1"/>
  <c r="D2016" i="1"/>
  <c r="D2015" i="1"/>
  <c r="D2014" i="1"/>
  <c r="D2013" i="1"/>
  <c r="D2012" i="1"/>
  <c r="D2011" i="1"/>
  <c r="D2010" i="1"/>
  <c r="D2009" i="1"/>
  <c r="D2007" i="1"/>
  <c r="D2006" i="1"/>
  <c r="D2004" i="1"/>
  <c r="D2003" i="1"/>
  <c r="D2002" i="1"/>
  <c r="D2001" i="1"/>
  <c r="D2000" i="1"/>
  <c r="D1999" i="1"/>
  <c r="D1998" i="1"/>
  <c r="D1997" i="1"/>
  <c r="D1996" i="1"/>
  <c r="D1995" i="1"/>
  <c r="D1994" i="1"/>
  <c r="D1993" i="1"/>
  <c r="D1992" i="1"/>
  <c r="D1991" i="1"/>
  <c r="D1990" i="1"/>
  <c r="D1989" i="1"/>
  <c r="D1988" i="1"/>
  <c r="D1987" i="1"/>
  <c r="D1986" i="1"/>
  <c r="D1985" i="1"/>
  <c r="D1984" i="1"/>
  <c r="D1983" i="1"/>
  <c r="D1982" i="1"/>
  <c r="D1981" i="1"/>
  <c r="D1980" i="1"/>
  <c r="D1979" i="1"/>
  <c r="D1978" i="1"/>
  <c r="D1977" i="1"/>
  <c r="D1975" i="1"/>
  <c r="D1974" i="1"/>
  <c r="D1973" i="1"/>
  <c r="D1971" i="1"/>
  <c r="D1970" i="1"/>
  <c r="D1968" i="1"/>
  <c r="D1967" i="1"/>
  <c r="D1966" i="1"/>
  <c r="D1965" i="1"/>
  <c r="D1962" i="1"/>
  <c r="D1960" i="1"/>
  <c r="D1959" i="1"/>
  <c r="D1955" i="1"/>
  <c r="D1953" i="1"/>
  <c r="D1952" i="1"/>
  <c r="D1951" i="1"/>
  <c r="D1950" i="1"/>
  <c r="D1949" i="1"/>
  <c r="D1948" i="1"/>
  <c r="D1947" i="1"/>
  <c r="D1946" i="1"/>
  <c r="D1945" i="1"/>
  <c r="D1944" i="1"/>
  <c r="D1943" i="1"/>
  <c r="D1942" i="1"/>
  <c r="D1941" i="1"/>
  <c r="D1940" i="1"/>
  <c r="D1939" i="1"/>
  <c r="D1938" i="1"/>
  <c r="D1937" i="1"/>
  <c r="D1936" i="1"/>
  <c r="D1935" i="1"/>
  <c r="D1934" i="1"/>
  <c r="D1933" i="1"/>
  <c r="D1932" i="1"/>
  <c r="D1931" i="1"/>
  <c r="D1930" i="1"/>
  <c r="D1929" i="1"/>
  <c r="D1928" i="1"/>
  <c r="D1927" i="1"/>
  <c r="D1926" i="1"/>
  <c r="D1925" i="1"/>
  <c r="D1924" i="1"/>
  <c r="D1923" i="1"/>
  <c r="D1922" i="1"/>
  <c r="D1920" i="1"/>
  <c r="D1919" i="1"/>
  <c r="D1918" i="1"/>
  <c r="D1917" i="1"/>
  <c r="D1916" i="1"/>
  <c r="D1915" i="1"/>
  <c r="D1914" i="1"/>
  <c r="D1913" i="1"/>
  <c r="D1912" i="1"/>
  <c r="D1911" i="1"/>
  <c r="D1910" i="1"/>
  <c r="D1909" i="1"/>
  <c r="D1908" i="1"/>
  <c r="D1907" i="1"/>
  <c r="D1906" i="1"/>
  <c r="D1905" i="1"/>
  <c r="D1904" i="1"/>
  <c r="D1903" i="1"/>
  <c r="D1901" i="1"/>
  <c r="D1900" i="1"/>
  <c r="D1899" i="1"/>
  <c r="D1897" i="1"/>
  <c r="D1896" i="1"/>
  <c r="D1895" i="1"/>
  <c r="D1894" i="1"/>
  <c r="D1892" i="1"/>
  <c r="D1891" i="1"/>
  <c r="D1890" i="1"/>
  <c r="D1889" i="1"/>
  <c r="D1888" i="1"/>
  <c r="D1887" i="1"/>
  <c r="D1886" i="1"/>
  <c r="D1885" i="1"/>
  <c r="D1884" i="1"/>
  <c r="D1883" i="1"/>
  <c r="D1882" i="1"/>
  <c r="D1881" i="1"/>
  <c r="D1880" i="1"/>
  <c r="D1879" i="1"/>
  <c r="D1878" i="1"/>
  <c r="D1877" i="1"/>
  <c r="D1876" i="1"/>
  <c r="D1875" i="1"/>
  <c r="D1873" i="1"/>
  <c r="D1872" i="1"/>
  <c r="D1871" i="1"/>
  <c r="D1870" i="1"/>
  <c r="D1869" i="1"/>
  <c r="D1868" i="1"/>
  <c r="D1867" i="1"/>
  <c r="D1866" i="1"/>
  <c r="D1865" i="1"/>
  <c r="D1864" i="1"/>
  <c r="D1863" i="1"/>
  <c r="D1862" i="1"/>
  <c r="D1861" i="1"/>
  <c r="D1860" i="1"/>
  <c r="D1859" i="1"/>
  <c r="D1857" i="1"/>
  <c r="D1856" i="1"/>
  <c r="D1855" i="1"/>
  <c r="D1854" i="1"/>
  <c r="D1851" i="1"/>
  <c r="D1850" i="1"/>
  <c r="D1849" i="1"/>
  <c r="D1848" i="1"/>
  <c r="D1847" i="1"/>
  <c r="D1846" i="1"/>
  <c r="D1845" i="1"/>
  <c r="D1844" i="1"/>
  <c r="D1843" i="1"/>
  <c r="D1842" i="1"/>
  <c r="D1841" i="1"/>
  <c r="D1840" i="1"/>
  <c r="D1839" i="1"/>
  <c r="D1838" i="1"/>
  <c r="D1837" i="1"/>
  <c r="D1836" i="1"/>
  <c r="D1835" i="1"/>
  <c r="D1834" i="1"/>
  <c r="D1833" i="1"/>
  <c r="D1832" i="1"/>
  <c r="D1831" i="1"/>
  <c r="D1830" i="1"/>
  <c r="D1829" i="1"/>
  <c r="D1828" i="1"/>
  <c r="D1827" i="1"/>
  <c r="D1826" i="1"/>
  <c r="D1825" i="1"/>
  <c r="D1824" i="1"/>
  <c r="D1823" i="1"/>
  <c r="D1822" i="1"/>
  <c r="D1821" i="1"/>
  <c r="D1820" i="1"/>
  <c r="D1819" i="1"/>
  <c r="D1818" i="1"/>
  <c r="D1817" i="1"/>
  <c r="D1816" i="1"/>
  <c r="D1815" i="1"/>
  <c r="D1814" i="1"/>
  <c r="D1813" i="1"/>
  <c r="D1812" i="1"/>
  <c r="D1811" i="1"/>
  <c r="D1810" i="1"/>
  <c r="D1809" i="1"/>
  <c r="D1808" i="1"/>
  <c r="D1807" i="1"/>
  <c r="D1806" i="1"/>
  <c r="D1805" i="1"/>
  <c r="D1804" i="1"/>
  <c r="D1803" i="1"/>
  <c r="D1802" i="1"/>
  <c r="D1801" i="1"/>
  <c r="D1800" i="1"/>
  <c r="D1799" i="1"/>
  <c r="D1798" i="1"/>
  <c r="D1797" i="1"/>
  <c r="D1796" i="1"/>
  <c r="D1795" i="1"/>
  <c r="D1794" i="1"/>
  <c r="D1793" i="1"/>
  <c r="D1792" i="1"/>
  <c r="D1791" i="1"/>
  <c r="D1790" i="1"/>
  <c r="D1789" i="1"/>
  <c r="D1788" i="1"/>
  <c r="D1787" i="1"/>
  <c r="D1786" i="1"/>
  <c r="D1785" i="1"/>
  <c r="D1784" i="1"/>
  <c r="D1783" i="1"/>
  <c r="D1782" i="1"/>
  <c r="D1781" i="1"/>
  <c r="D1780" i="1"/>
  <c r="D1779" i="1"/>
  <c r="D1778" i="1"/>
  <c r="D1777" i="1"/>
  <c r="D1776" i="1"/>
  <c r="D1775" i="1"/>
  <c r="D1774" i="1"/>
  <c r="D1772" i="1"/>
  <c r="D1770" i="1"/>
  <c r="D1769" i="1"/>
  <c r="D1768" i="1"/>
  <c r="D1766" i="1"/>
  <c r="D1765" i="1"/>
  <c r="D1764" i="1"/>
  <c r="D1763" i="1"/>
  <c r="D1762" i="1"/>
  <c r="D1761" i="1"/>
  <c r="D1760" i="1"/>
  <c r="D1759" i="1"/>
  <c r="D1758" i="1"/>
  <c r="D1757" i="1"/>
  <c r="D1756" i="1"/>
  <c r="D1755" i="1"/>
  <c r="D1754" i="1"/>
  <c r="D1753" i="1"/>
  <c r="D1752" i="1"/>
  <c r="D1751" i="1"/>
  <c r="D1750" i="1"/>
  <c r="D1749" i="1"/>
  <c r="D1748" i="1"/>
  <c r="D1747" i="1"/>
  <c r="D1746" i="1"/>
  <c r="D1745" i="1"/>
  <c r="D1744" i="1"/>
  <c r="D1743" i="1"/>
  <c r="D1742" i="1"/>
  <c r="D1741" i="1"/>
  <c r="D1740" i="1"/>
  <c r="D1738" i="1"/>
  <c r="D1737" i="1"/>
  <c r="D1736" i="1"/>
  <c r="D1735" i="1"/>
  <c r="D1734" i="1"/>
  <c r="D1733" i="1"/>
  <c r="D1732" i="1"/>
  <c r="D1731" i="1"/>
  <c r="D1730" i="1"/>
  <c r="D1729" i="1"/>
  <c r="D1728" i="1"/>
  <c r="D1726" i="1"/>
  <c r="D1725" i="1"/>
  <c r="D1724" i="1"/>
  <c r="D1723" i="1"/>
  <c r="D1722" i="1"/>
  <c r="D1721" i="1"/>
  <c r="D1720" i="1"/>
  <c r="D1719" i="1"/>
  <c r="D1718" i="1"/>
  <c r="D1717" i="1"/>
  <c r="D1716" i="1"/>
  <c r="D1715" i="1"/>
  <c r="D1714" i="1"/>
  <c r="D1713" i="1"/>
  <c r="D1712" i="1"/>
  <c r="D1711" i="1"/>
  <c r="D1710" i="1"/>
  <c r="D1709" i="1"/>
  <c r="D1708" i="1"/>
  <c r="D1707" i="1"/>
  <c r="D1706" i="1"/>
  <c r="D1705" i="1"/>
  <c r="D1704" i="1"/>
  <c r="D1703" i="1"/>
  <c r="D1702" i="1"/>
  <c r="D1701" i="1"/>
  <c r="D1700" i="1"/>
  <c r="D1699" i="1"/>
  <c r="D1698" i="1"/>
  <c r="D1697" i="1"/>
  <c r="D1696" i="1"/>
  <c r="D1695" i="1"/>
  <c r="D1694" i="1"/>
  <c r="D1693" i="1"/>
  <c r="D1692" i="1"/>
  <c r="D1691" i="1"/>
  <c r="D1690" i="1"/>
  <c r="D1689" i="1"/>
  <c r="D1688" i="1"/>
  <c r="D1687" i="1"/>
  <c r="D1686" i="1"/>
  <c r="D1685" i="1"/>
  <c r="D1684" i="1"/>
  <c r="D1683" i="1"/>
  <c r="D1682" i="1"/>
  <c r="D1681" i="1"/>
  <c r="D1680" i="1"/>
  <c r="D1679" i="1"/>
  <c r="D1678" i="1"/>
  <c r="D1677" i="1"/>
  <c r="D1676" i="1"/>
  <c r="D1675" i="1"/>
  <c r="D1674" i="1"/>
  <c r="D1673" i="1"/>
  <c r="D1672" i="1"/>
  <c r="D1671" i="1"/>
  <c r="D1670" i="1"/>
  <c r="D1669" i="1"/>
  <c r="D1668" i="1"/>
  <c r="D1667" i="1"/>
  <c r="D1666" i="1"/>
  <c r="D1665" i="1"/>
  <c r="D1664" i="1"/>
  <c r="D1663" i="1"/>
  <c r="D1662" i="1"/>
  <c r="D1661" i="1"/>
  <c r="D1660" i="1"/>
  <c r="D1659" i="1"/>
  <c r="D1658" i="1"/>
  <c r="D1657" i="1"/>
  <c r="D1656" i="1"/>
  <c r="D1655" i="1"/>
  <c r="D1654" i="1"/>
  <c r="D1653" i="1"/>
  <c r="D1652" i="1"/>
  <c r="D1651" i="1"/>
  <c r="D1650" i="1"/>
  <c r="D1649" i="1"/>
  <c r="D1648" i="1"/>
  <c r="D1647" i="1"/>
  <c r="D1646" i="1"/>
  <c r="D1645" i="1"/>
  <c r="D1644" i="1"/>
  <c r="D1643" i="1"/>
  <c r="D1642" i="1"/>
  <c r="D1641" i="1"/>
  <c r="D1640" i="1"/>
  <c r="D1639" i="1"/>
  <c r="D1638" i="1"/>
  <c r="D1637" i="1"/>
  <c r="D1636" i="1"/>
  <c r="D1635" i="1"/>
  <c r="D1634" i="1"/>
  <c r="D1633" i="1"/>
  <c r="D1632" i="1"/>
  <c r="D1631" i="1"/>
  <c r="D1630" i="1"/>
  <c r="D1629" i="1"/>
  <c r="D1628" i="1"/>
  <c r="D1627" i="1"/>
  <c r="D1626" i="1"/>
  <c r="D1625" i="1"/>
  <c r="D1624" i="1"/>
  <c r="D1623" i="1"/>
  <c r="D1622" i="1"/>
  <c r="D1621" i="1"/>
  <c r="D1620" i="1"/>
  <c r="D1619" i="1"/>
  <c r="D1618" i="1"/>
  <c r="D1615" i="1"/>
  <c r="D1614" i="1"/>
  <c r="D1613" i="1"/>
  <c r="D1612" i="1"/>
  <c r="D1611" i="1"/>
  <c r="D1610" i="1"/>
  <c r="D1609" i="1"/>
  <c r="D1608" i="1"/>
  <c r="D1607" i="1"/>
  <c r="D1606" i="1"/>
  <c r="D1605" i="1"/>
  <c r="D1604" i="1"/>
  <c r="D1603" i="1"/>
  <c r="D1602" i="1"/>
  <c r="D1601" i="1"/>
  <c r="D1600" i="1"/>
  <c r="D1599" i="1"/>
  <c r="D1598" i="1"/>
  <c r="D1597" i="1"/>
  <c r="D1596" i="1"/>
  <c r="D1595" i="1"/>
  <c r="D1594" i="1"/>
  <c r="D1593" i="1"/>
  <c r="D1592" i="1"/>
  <c r="D1591" i="1"/>
  <c r="D1590" i="1"/>
  <c r="D1589" i="1"/>
  <c r="D1588" i="1"/>
  <c r="D1587" i="1"/>
  <c r="D1586" i="1"/>
  <c r="D1585" i="1"/>
  <c r="D1584" i="1"/>
  <c r="D1582" i="1"/>
  <c r="D1580" i="1"/>
  <c r="D1579" i="1"/>
  <c r="D1578" i="1"/>
  <c r="D1576" i="1"/>
  <c r="D1575" i="1"/>
  <c r="D1574" i="1"/>
  <c r="D1573" i="1"/>
  <c r="D1572" i="1"/>
  <c r="D1571" i="1"/>
  <c r="D1570" i="1"/>
  <c r="D1569" i="1"/>
  <c r="D1568" i="1"/>
  <c r="D1567" i="1"/>
  <c r="D1566" i="1"/>
  <c r="D1565" i="1"/>
  <c r="D1564" i="1"/>
  <c r="D1563" i="1"/>
  <c r="D1562" i="1"/>
  <c r="D1561" i="1"/>
  <c r="D1560" i="1"/>
  <c r="D1558" i="1"/>
  <c r="D1556" i="1"/>
  <c r="D1555" i="1"/>
  <c r="D1554" i="1"/>
  <c r="D1553" i="1"/>
  <c r="D1552" i="1"/>
  <c r="D1550" i="1"/>
  <c r="D1549" i="1"/>
  <c r="D1548" i="1"/>
  <c r="D1547" i="1"/>
  <c r="D1546" i="1"/>
  <c r="D1545" i="1"/>
  <c r="D1544" i="1"/>
  <c r="D1543" i="1"/>
  <c r="D1542" i="1"/>
  <c r="D1541" i="1"/>
  <c r="D1539" i="1"/>
  <c r="D1537" i="1"/>
  <c r="D1536" i="1"/>
  <c r="D1535" i="1"/>
  <c r="D1534" i="1"/>
  <c r="D1533" i="1"/>
  <c r="D1532" i="1"/>
  <c r="D1531" i="1"/>
  <c r="D1530" i="1"/>
  <c r="D1529" i="1"/>
  <c r="D1528" i="1"/>
  <c r="D1527" i="1"/>
  <c r="D1526" i="1"/>
  <c r="D1525" i="1"/>
  <c r="D1524" i="1"/>
  <c r="D1523" i="1"/>
  <c r="D1522" i="1"/>
  <c r="D1521" i="1"/>
  <c r="D1520" i="1"/>
  <c r="D1519" i="1"/>
  <c r="D1518" i="1"/>
  <c r="D1517" i="1"/>
  <c r="D1516" i="1"/>
  <c r="D1515" i="1"/>
  <c r="D1512" i="1"/>
  <c r="D1509" i="1"/>
  <c r="D1506" i="1"/>
  <c r="D1505" i="1"/>
  <c r="D1504" i="1"/>
  <c r="D1503" i="1"/>
  <c r="D1502" i="1"/>
  <c r="D1501" i="1"/>
  <c r="D1500" i="1"/>
  <c r="D1499" i="1"/>
  <c r="D1498" i="1"/>
  <c r="D1497" i="1"/>
  <c r="D1496" i="1"/>
  <c r="D1495" i="1"/>
  <c r="D1494" i="1"/>
  <c r="D1493" i="1"/>
  <c r="D1492" i="1"/>
  <c r="D1491" i="1"/>
  <c r="D1490" i="1"/>
  <c r="D1489" i="1"/>
  <c r="D1488" i="1"/>
  <c r="D1487" i="1"/>
  <c r="D1486" i="1"/>
  <c r="D1485" i="1"/>
  <c r="D1484" i="1"/>
  <c r="D1483" i="1"/>
  <c r="D1482" i="1"/>
  <c r="D1481" i="1"/>
  <c r="D1480" i="1"/>
  <c r="D1479" i="1"/>
  <c r="D1478" i="1"/>
  <c r="D1477" i="1"/>
  <c r="D1476" i="1"/>
  <c r="D1475" i="1"/>
  <c r="D1474" i="1"/>
  <c r="D1473" i="1"/>
  <c r="D1472" i="1"/>
  <c r="D1471" i="1"/>
  <c r="D1470" i="1"/>
  <c r="D1469" i="1"/>
  <c r="D1468" i="1"/>
  <c r="D1467" i="1"/>
  <c r="D1466" i="1"/>
  <c r="D1465" i="1"/>
  <c r="D1464" i="1"/>
  <c r="D1463" i="1"/>
  <c r="D1462" i="1"/>
  <c r="D1461" i="1"/>
  <c r="D1460" i="1"/>
  <c r="D1459" i="1"/>
  <c r="D1458" i="1"/>
  <c r="D1457" i="1"/>
  <c r="D1456" i="1"/>
  <c r="D1455" i="1"/>
  <c r="D1454" i="1"/>
  <c r="D1453" i="1"/>
  <c r="D1452" i="1"/>
  <c r="D1451" i="1"/>
  <c r="D1450" i="1"/>
  <c r="D1449" i="1"/>
  <c r="D1448" i="1"/>
  <c r="D1447" i="1"/>
  <c r="D1446" i="1"/>
  <c r="D1445" i="1"/>
  <c r="D1444" i="1"/>
  <c r="D1443" i="1"/>
  <c r="D1442" i="1"/>
  <c r="D1441" i="1"/>
  <c r="D1440" i="1"/>
  <c r="D1439" i="1"/>
  <c r="D1438" i="1"/>
  <c r="D1437" i="1"/>
  <c r="D1436" i="1"/>
  <c r="D1434" i="1"/>
  <c r="D1433" i="1"/>
  <c r="D1431" i="1"/>
  <c r="D1429" i="1"/>
  <c r="D1428" i="1"/>
  <c r="D1427" i="1"/>
  <c r="D1426" i="1"/>
  <c r="D1425" i="1"/>
  <c r="D1424" i="1"/>
  <c r="D1422" i="1"/>
  <c r="D1421" i="1"/>
  <c r="D1420" i="1"/>
  <c r="D1419" i="1"/>
  <c r="D1418" i="1"/>
  <c r="D1417" i="1"/>
  <c r="D1416" i="1"/>
  <c r="D1415" i="1"/>
  <c r="D1414" i="1"/>
  <c r="D1413" i="1"/>
  <c r="D1412" i="1"/>
  <c r="D1411" i="1"/>
  <c r="D1410" i="1"/>
  <c r="D1409" i="1"/>
  <c r="D1408" i="1"/>
  <c r="D1407" i="1"/>
  <c r="D1406" i="1"/>
  <c r="D1405" i="1"/>
  <c r="D1404" i="1"/>
  <c r="D1403" i="1"/>
  <c r="D1402" i="1"/>
  <c r="D1401" i="1"/>
  <c r="D1400" i="1"/>
  <c r="D1399" i="1"/>
  <c r="D1398" i="1"/>
  <c r="D1397" i="1"/>
  <c r="D1396" i="1"/>
  <c r="D1395" i="1"/>
  <c r="D1394" i="1"/>
  <c r="D1393" i="1"/>
  <c r="D1392" i="1"/>
  <c r="D1391" i="1"/>
  <c r="D1390" i="1"/>
  <c r="D1389" i="1"/>
  <c r="D1388" i="1"/>
  <c r="D1387" i="1"/>
  <c r="D1386" i="1"/>
  <c r="D1385" i="1"/>
  <c r="D1384" i="1"/>
  <c r="D1383" i="1"/>
  <c r="D1382" i="1"/>
  <c r="D1381" i="1"/>
  <c r="D1380" i="1"/>
  <c r="D1379" i="1"/>
  <c r="D1378" i="1"/>
  <c r="D1377" i="1"/>
  <c r="D1376" i="1"/>
  <c r="D1375" i="1"/>
  <c r="D1374" i="1"/>
  <c r="D1373" i="1"/>
  <c r="D1372" i="1"/>
  <c r="D1371" i="1"/>
  <c r="D1370" i="1"/>
  <c r="D1369" i="1"/>
  <c r="D1368" i="1"/>
  <c r="D1367" i="1"/>
  <c r="D1366" i="1"/>
  <c r="D1364" i="1"/>
  <c r="D1363" i="1"/>
  <c r="D1362" i="1"/>
  <c r="D1361" i="1"/>
  <c r="D1359" i="1"/>
  <c r="D1358" i="1"/>
  <c r="D1357" i="1"/>
  <c r="D1355" i="1"/>
  <c r="D1354" i="1"/>
  <c r="D1353" i="1"/>
  <c r="D1352" i="1"/>
  <c r="D1351" i="1"/>
  <c r="D1350" i="1"/>
  <c r="D1349" i="1"/>
  <c r="D1348" i="1"/>
  <c r="D1347" i="1"/>
  <c r="D1346" i="1"/>
  <c r="D1345" i="1"/>
  <c r="D1344" i="1"/>
  <c r="D1343" i="1"/>
  <c r="D1342" i="1"/>
  <c r="D1341" i="1"/>
  <c r="D1340" i="1"/>
  <c r="D1339" i="1"/>
  <c r="D1338" i="1"/>
  <c r="D1337" i="1"/>
  <c r="D1336" i="1"/>
  <c r="D1335" i="1"/>
  <c r="D1334" i="1"/>
  <c r="D1333" i="1"/>
  <c r="D1331" i="1"/>
  <c r="D1330" i="1"/>
  <c r="D1329" i="1"/>
  <c r="D1327" i="1"/>
  <c r="D1326" i="1"/>
  <c r="D1325" i="1"/>
  <c r="D1324" i="1"/>
  <c r="D1322" i="1"/>
  <c r="D1321" i="1"/>
  <c r="D1319" i="1"/>
  <c r="D1317" i="1"/>
  <c r="D1316" i="1"/>
  <c r="D1314" i="1"/>
  <c r="D1313" i="1"/>
  <c r="D1312" i="1"/>
  <c r="D1311" i="1"/>
  <c r="D1310" i="1"/>
  <c r="D1309" i="1"/>
  <c r="D1308" i="1"/>
  <c r="D1307" i="1"/>
  <c r="D1306" i="1"/>
  <c r="D1305" i="1"/>
  <c r="D1304" i="1"/>
  <c r="D1303" i="1"/>
  <c r="D1302" i="1"/>
  <c r="D1301" i="1"/>
  <c r="D1300" i="1"/>
  <c r="D1299" i="1"/>
  <c r="D1298" i="1"/>
  <c r="D1297" i="1"/>
  <c r="D1296" i="1"/>
  <c r="D1295" i="1"/>
  <c r="D1294" i="1"/>
  <c r="D1293" i="1"/>
  <c r="D1292" i="1"/>
  <c r="D1291" i="1"/>
  <c r="D1290" i="1"/>
  <c r="D1288" i="1"/>
  <c r="D1287" i="1"/>
  <c r="D1286" i="1"/>
  <c r="D1285" i="1"/>
  <c r="D1284" i="1"/>
  <c r="D1283" i="1"/>
  <c r="D1282" i="1"/>
  <c r="D1281" i="1"/>
  <c r="D1280" i="1"/>
  <c r="D1279" i="1"/>
  <c r="D1278" i="1"/>
  <c r="D1277" i="1"/>
  <c r="D1276" i="1"/>
  <c r="D1275" i="1"/>
  <c r="D1274" i="1"/>
  <c r="D1273" i="1"/>
  <c r="D1272" i="1"/>
  <c r="D1271" i="1"/>
  <c r="D1270" i="1"/>
  <c r="D1269" i="1"/>
  <c r="D1268" i="1"/>
  <c r="D1267" i="1"/>
  <c r="D1266" i="1"/>
  <c r="D1265" i="1"/>
  <c r="D1264" i="1"/>
  <c r="D1263" i="1"/>
  <c r="D1262" i="1"/>
  <c r="D1261" i="1"/>
  <c r="D1260" i="1"/>
  <c r="D1259" i="1"/>
  <c r="D1258" i="1"/>
  <c r="D1257" i="1"/>
  <c r="D1256" i="1"/>
  <c r="D1255" i="1"/>
  <c r="D1254" i="1"/>
  <c r="D1253" i="1"/>
  <c r="D1252" i="1"/>
  <c r="D1251" i="1"/>
  <c r="D1250" i="1"/>
  <c r="D1249" i="1"/>
  <c r="D1248" i="1"/>
  <c r="D1247" i="1"/>
  <c r="D1246" i="1"/>
  <c r="D1245" i="1"/>
  <c r="D1244" i="1"/>
  <c r="D1243" i="1"/>
  <c r="D1242" i="1"/>
  <c r="D1241" i="1"/>
  <c r="D1240" i="1"/>
  <c r="D1239" i="1"/>
  <c r="D1238" i="1"/>
  <c r="D1237" i="1"/>
  <c r="D1236" i="1"/>
  <c r="D1235" i="1"/>
  <c r="D1234" i="1"/>
  <c r="D1233" i="1"/>
  <c r="D1232" i="1"/>
  <c r="D1231" i="1"/>
  <c r="D1230" i="1"/>
  <c r="D1228" i="1"/>
  <c r="D1227" i="1"/>
  <c r="D1226" i="1"/>
  <c r="D1225" i="1"/>
  <c r="D1224" i="1"/>
  <c r="D1223" i="1"/>
  <c r="D1222" i="1"/>
  <c r="D1221" i="1"/>
  <c r="D1220" i="1"/>
  <c r="D1219" i="1"/>
  <c r="D1218" i="1"/>
  <c r="D1217" i="1"/>
  <c r="D1216" i="1"/>
  <c r="D1215" i="1"/>
  <c r="D1214" i="1"/>
  <c r="D1213" i="1"/>
  <c r="D1212" i="1"/>
  <c r="D1211" i="1"/>
  <c r="D1210" i="1"/>
  <c r="D1209" i="1"/>
  <c r="D1208" i="1"/>
  <c r="D1205" i="1"/>
  <c r="D1204" i="1"/>
  <c r="D1203" i="1"/>
  <c r="D1202" i="1"/>
  <c r="D1201" i="1"/>
  <c r="D1200" i="1"/>
  <c r="D1199" i="1"/>
  <c r="D1198" i="1"/>
  <c r="D1197" i="1"/>
  <c r="D1196" i="1"/>
  <c r="D1195" i="1"/>
  <c r="D1194" i="1"/>
  <c r="D1193" i="1"/>
  <c r="D1192" i="1"/>
  <c r="D1191" i="1"/>
  <c r="D1190" i="1"/>
  <c r="D1189" i="1"/>
  <c r="D1188" i="1"/>
  <c r="D1187" i="1"/>
  <c r="D1186" i="1"/>
  <c r="D1185" i="1"/>
  <c r="D1184" i="1"/>
  <c r="D1183" i="1"/>
  <c r="D1182" i="1"/>
  <c r="D1181" i="1"/>
  <c r="D1180" i="1"/>
  <c r="D1179" i="1"/>
  <c r="D1178" i="1"/>
  <c r="D1177" i="1"/>
  <c r="D1176" i="1"/>
  <c r="D1175" i="1"/>
  <c r="D1174" i="1"/>
  <c r="D1173" i="1"/>
  <c r="D1172" i="1"/>
  <c r="D1171" i="1"/>
  <c r="D1170" i="1"/>
  <c r="D1169" i="1"/>
  <c r="D1168" i="1"/>
  <c r="D1167" i="1"/>
  <c r="D1166" i="1"/>
  <c r="D1165" i="1"/>
  <c r="D1163" i="1"/>
  <c r="D1162" i="1"/>
  <c r="D1161" i="1"/>
  <c r="D1160" i="1"/>
  <c r="D1159" i="1"/>
  <c r="D1158" i="1"/>
  <c r="D1157" i="1"/>
  <c r="D1156" i="1"/>
  <c r="D1155" i="1"/>
  <c r="D1154" i="1"/>
  <c r="D1153" i="1"/>
  <c r="D1152" i="1"/>
  <c r="D1151" i="1"/>
  <c r="D1150" i="1"/>
  <c r="D1149" i="1"/>
  <c r="D1148" i="1"/>
  <c r="D1146" i="1"/>
  <c r="D1143" i="1"/>
  <c r="D1142" i="1"/>
  <c r="D1141" i="1"/>
  <c r="D1140" i="1"/>
  <c r="D1139" i="1"/>
  <c r="D1138" i="1"/>
  <c r="D1137" i="1"/>
  <c r="D1135" i="1"/>
  <c r="D1133" i="1"/>
  <c r="D1132" i="1"/>
  <c r="D1130" i="1"/>
  <c r="D1129" i="1"/>
  <c r="D1128" i="1"/>
  <c r="D1127" i="1"/>
  <c r="D1126" i="1"/>
  <c r="D1125" i="1"/>
  <c r="D1124" i="1"/>
  <c r="D1123" i="1"/>
  <c r="D1122" i="1"/>
  <c r="D1121" i="1"/>
  <c r="D1120" i="1"/>
  <c r="D1118" i="1"/>
  <c r="D1117" i="1"/>
  <c r="D1116" i="1"/>
  <c r="D1115" i="1"/>
  <c r="D1114" i="1"/>
  <c r="D1113" i="1"/>
  <c r="D1112" i="1"/>
  <c r="D1111" i="1"/>
  <c r="D1110" i="1"/>
  <c r="D1109" i="1"/>
  <c r="D1106" i="1"/>
  <c r="D1104" i="1"/>
  <c r="D1102" i="1"/>
  <c r="D1099" i="1"/>
  <c r="D1098" i="1"/>
  <c r="D1097" i="1"/>
  <c r="D1096" i="1"/>
  <c r="D1095" i="1"/>
  <c r="D1094" i="1"/>
  <c r="D1093" i="1"/>
  <c r="D1092" i="1"/>
  <c r="D1091" i="1"/>
  <c r="D1090" i="1"/>
  <c r="D1088" i="1"/>
  <c r="D1087" i="1"/>
  <c r="D1086" i="1"/>
  <c r="D1084" i="1"/>
  <c r="D1083" i="1"/>
  <c r="D1082" i="1"/>
  <c r="D1079" i="1"/>
  <c r="D1078" i="1"/>
  <c r="D1077" i="1"/>
  <c r="D1076" i="1"/>
  <c r="D1075" i="1"/>
  <c r="D1074" i="1"/>
  <c r="D1073" i="1"/>
  <c r="D1072" i="1"/>
  <c r="D1071" i="1"/>
  <c r="D1070" i="1"/>
  <c r="D1069" i="1"/>
  <c r="D1066" i="1"/>
  <c r="D1065" i="1"/>
  <c r="D1064" i="1"/>
  <c r="D1063" i="1"/>
  <c r="D1062" i="1"/>
  <c r="D1061" i="1"/>
  <c r="D1059" i="1"/>
  <c r="D1057" i="1"/>
  <c r="D1056" i="1"/>
  <c r="D1055" i="1"/>
  <c r="D1054" i="1"/>
  <c r="D1053" i="1"/>
  <c r="D1052" i="1"/>
  <c r="D1051" i="1"/>
  <c r="D1050" i="1"/>
  <c r="D1049" i="1"/>
  <c r="D1048" i="1"/>
  <c r="D1047" i="1"/>
  <c r="D1046" i="1"/>
  <c r="D1045" i="1"/>
  <c r="D1044" i="1"/>
  <c r="D1043" i="1"/>
  <c r="D1042" i="1"/>
  <c r="D1041" i="1"/>
  <c r="D1040" i="1"/>
  <c r="D1039" i="1"/>
  <c r="D1038" i="1"/>
  <c r="D1037" i="1"/>
  <c r="D1036" i="1"/>
  <c r="D1035" i="1"/>
  <c r="D1034" i="1"/>
  <c r="D1033" i="1"/>
  <c r="D1032" i="1"/>
  <c r="D1031" i="1"/>
  <c r="D1030" i="1"/>
  <c r="D1029" i="1"/>
  <c r="D1028" i="1"/>
  <c r="D1027" i="1"/>
  <c r="D1026" i="1"/>
  <c r="D1025" i="1"/>
  <c r="D1024" i="1"/>
  <c r="D1023" i="1"/>
  <c r="D1022" i="1"/>
  <c r="D1021" i="1"/>
  <c r="D1020" i="1"/>
  <c r="D1019" i="1"/>
  <c r="D1018" i="1"/>
  <c r="D1017" i="1"/>
  <c r="D1016" i="1"/>
  <c r="D1015" i="1"/>
  <c r="D1014" i="1"/>
  <c r="D1013" i="1"/>
  <c r="D1012" i="1"/>
  <c r="D1011" i="1"/>
  <c r="D1010" i="1"/>
  <c r="D1009" i="1"/>
  <c r="D1008" i="1"/>
  <c r="D1007" i="1"/>
  <c r="D1006" i="1"/>
  <c r="D1005" i="1"/>
  <c r="D1002" i="1"/>
  <c r="D1000" i="1"/>
  <c r="D999" i="1"/>
  <c r="D998" i="1"/>
  <c r="D996" i="1"/>
  <c r="D995" i="1"/>
  <c r="D994" i="1"/>
  <c r="D993" i="1"/>
  <c r="D992" i="1"/>
  <c r="D991" i="1"/>
  <c r="D990" i="1"/>
  <c r="D989" i="1"/>
  <c r="D987" i="1"/>
  <c r="D986" i="1"/>
  <c r="D985" i="1"/>
  <c r="D984" i="1"/>
  <c r="D983" i="1"/>
  <c r="D982" i="1"/>
  <c r="D981" i="1"/>
  <c r="D980" i="1"/>
  <c r="D979" i="1"/>
  <c r="D978" i="1"/>
  <c r="D977" i="1"/>
  <c r="D976" i="1"/>
  <c r="D973" i="1"/>
  <c r="D972" i="1"/>
  <c r="D971" i="1"/>
  <c r="D970" i="1"/>
  <c r="D969" i="1"/>
  <c r="D968" i="1"/>
  <c r="D967" i="1"/>
  <c r="D966" i="1"/>
  <c r="D965" i="1"/>
  <c r="D964" i="1"/>
  <c r="D963" i="1"/>
  <c r="D962" i="1"/>
  <c r="D961" i="1"/>
  <c r="D960" i="1"/>
  <c r="D959" i="1"/>
  <c r="D958" i="1"/>
  <c r="D957" i="1"/>
  <c r="D956" i="1"/>
  <c r="D955" i="1"/>
  <c r="D954" i="1"/>
  <c r="D953" i="1"/>
  <c r="D952" i="1"/>
  <c r="D951" i="1"/>
  <c r="D950" i="1"/>
  <c r="D949" i="1"/>
  <c r="D948" i="1"/>
  <c r="D947" i="1"/>
  <c r="D946" i="1"/>
  <c r="D945" i="1"/>
  <c r="D944" i="1"/>
  <c r="D943" i="1"/>
  <c r="D942" i="1"/>
  <c r="D941" i="1"/>
  <c r="D940" i="1"/>
  <c r="D939" i="1"/>
  <c r="D938" i="1"/>
  <c r="D937" i="1"/>
  <c r="D936" i="1"/>
  <c r="D935" i="1"/>
  <c r="D934" i="1"/>
  <c r="D933" i="1"/>
  <c r="D932" i="1"/>
  <c r="D931" i="1"/>
  <c r="D930" i="1"/>
  <c r="D929" i="1"/>
  <c r="D928" i="1"/>
  <c r="D927" i="1"/>
  <c r="D925" i="1"/>
  <c r="D924" i="1"/>
  <c r="D923" i="1"/>
  <c r="D922" i="1"/>
  <c r="D921" i="1"/>
  <c r="D920" i="1"/>
  <c r="D919" i="1"/>
  <c r="D918" i="1"/>
  <c r="D917" i="1"/>
  <c r="D916" i="1"/>
  <c r="D915" i="1"/>
  <c r="D914" i="1"/>
  <c r="D913" i="1"/>
  <c r="D912" i="1"/>
  <c r="D911" i="1"/>
  <c r="D910" i="1"/>
  <c r="D909" i="1"/>
  <c r="D908" i="1"/>
  <c r="D907" i="1"/>
  <c r="D906" i="1"/>
  <c r="D905" i="1"/>
  <c r="D904" i="1"/>
  <c r="D903" i="1"/>
  <c r="D902" i="1"/>
  <c r="D901" i="1"/>
  <c r="D900" i="1"/>
  <c r="D899" i="1"/>
  <c r="D898" i="1"/>
  <c r="D897" i="1"/>
  <c r="D896" i="1"/>
  <c r="D895" i="1"/>
  <c r="D894" i="1"/>
  <c r="D893" i="1"/>
  <c r="D892" i="1"/>
  <c r="D891" i="1"/>
  <c r="D890" i="1"/>
  <c r="D889" i="1"/>
  <c r="D888" i="1"/>
  <c r="D887" i="1"/>
  <c r="D886" i="1"/>
  <c r="D885" i="1"/>
  <c r="D884" i="1"/>
  <c r="D883" i="1"/>
  <c r="D882" i="1"/>
  <c r="D881" i="1"/>
  <c r="D880" i="1"/>
  <c r="D879" i="1"/>
  <c r="D878" i="1"/>
  <c r="D877" i="1"/>
  <c r="D876" i="1"/>
  <c r="D875" i="1"/>
  <c r="D874" i="1"/>
  <c r="D873" i="1"/>
  <c r="D872" i="1"/>
  <c r="D871" i="1"/>
  <c r="D870" i="1"/>
  <c r="D869" i="1"/>
  <c r="D868" i="1"/>
  <c r="D867" i="1"/>
  <c r="D866" i="1"/>
  <c r="D865" i="1"/>
  <c r="D864" i="1"/>
  <c r="D863" i="1"/>
  <c r="D862" i="1"/>
  <c r="D861" i="1"/>
  <c r="D860" i="1"/>
  <c r="D859" i="1"/>
  <c r="D858" i="1"/>
  <c r="D857" i="1"/>
  <c r="D856" i="1"/>
  <c r="D855" i="1"/>
  <c r="D854" i="1"/>
  <c r="D853" i="1"/>
  <c r="D852" i="1"/>
  <c r="D851" i="1"/>
  <c r="D850" i="1"/>
  <c r="D849" i="1"/>
  <c r="D848" i="1"/>
  <c r="D847" i="1"/>
  <c r="D846" i="1"/>
  <c r="D845" i="1"/>
  <c r="D844" i="1"/>
  <c r="D843" i="1"/>
  <c r="D842" i="1"/>
  <c r="D841" i="1"/>
  <c r="D840" i="1"/>
  <c r="D839" i="1"/>
  <c r="D838" i="1"/>
  <c r="D837" i="1"/>
  <c r="D836" i="1"/>
  <c r="D835" i="1"/>
  <c r="D834" i="1"/>
  <c r="D833" i="1"/>
  <c r="D832" i="1"/>
  <c r="D831" i="1"/>
  <c r="D830" i="1"/>
  <c r="D829" i="1"/>
  <c r="D828" i="1"/>
  <c r="D827" i="1"/>
  <c r="D826" i="1"/>
  <c r="D825" i="1"/>
  <c r="D824" i="1"/>
  <c r="D823" i="1"/>
  <c r="D822" i="1"/>
  <c r="D821" i="1"/>
  <c r="D820" i="1"/>
  <c r="D819" i="1"/>
  <c r="D818" i="1"/>
  <c r="D817" i="1"/>
  <c r="D816" i="1"/>
  <c r="D815" i="1"/>
  <c r="D814" i="1"/>
  <c r="D813" i="1"/>
  <c r="D812" i="1"/>
  <c r="D811" i="1"/>
  <c r="D810" i="1"/>
  <c r="D809" i="1"/>
  <c r="D808" i="1"/>
  <c r="D807" i="1"/>
  <c r="D806" i="1"/>
  <c r="D805" i="1"/>
  <c r="D804" i="1"/>
  <c r="D803" i="1"/>
  <c r="D802" i="1"/>
  <c r="D801" i="1"/>
  <c r="D800" i="1"/>
  <c r="D799" i="1"/>
  <c r="D798" i="1"/>
  <c r="D797" i="1"/>
  <c r="D796" i="1"/>
  <c r="D795" i="1"/>
  <c r="D794" i="1"/>
  <c r="D793" i="1"/>
  <c r="D792" i="1"/>
  <c r="D791" i="1"/>
  <c r="D790" i="1"/>
  <c r="D789" i="1"/>
  <c r="D788" i="1"/>
  <c r="D787" i="1"/>
  <c r="D786" i="1"/>
  <c r="D785" i="1"/>
  <c r="D784" i="1"/>
  <c r="D783" i="1"/>
  <c r="D782" i="1"/>
  <c r="D781" i="1"/>
  <c r="D780" i="1"/>
  <c r="D779" i="1"/>
  <c r="D778" i="1"/>
  <c r="D777" i="1"/>
  <c r="D776" i="1"/>
  <c r="D775" i="1"/>
  <c r="D774" i="1"/>
  <c r="D773" i="1"/>
  <c r="D772" i="1"/>
  <c r="D771" i="1"/>
  <c r="D770" i="1"/>
  <c r="D769" i="1"/>
  <c r="D768" i="1"/>
  <c r="D767" i="1"/>
  <c r="D766" i="1"/>
  <c r="D765" i="1"/>
  <c r="D764" i="1"/>
  <c r="D763" i="1"/>
  <c r="D762" i="1"/>
  <c r="D761" i="1"/>
  <c r="D760" i="1"/>
  <c r="D759" i="1"/>
  <c r="D758" i="1"/>
  <c r="D757" i="1"/>
  <c r="D756" i="1"/>
  <c r="D755" i="1"/>
  <c r="D754" i="1"/>
  <c r="D753" i="1"/>
  <c r="D752" i="1"/>
  <c r="D751" i="1"/>
  <c r="D750" i="1"/>
  <c r="D749" i="1"/>
  <c r="D748" i="1"/>
  <c r="D747" i="1"/>
  <c r="D746" i="1"/>
  <c r="D745" i="1"/>
  <c r="D744" i="1"/>
  <c r="D743" i="1"/>
  <c r="D742" i="1"/>
  <c r="D741" i="1"/>
  <c r="D740" i="1"/>
  <c r="D739" i="1"/>
  <c r="D738" i="1"/>
  <c r="D737" i="1"/>
  <c r="D736" i="1"/>
  <c r="D735" i="1"/>
  <c r="D734" i="1"/>
  <c r="D733" i="1"/>
  <c r="D732" i="1"/>
  <c r="D731" i="1"/>
  <c r="D730" i="1"/>
  <c r="D729" i="1"/>
  <c r="D728" i="1"/>
  <c r="D727" i="1"/>
  <c r="D726" i="1"/>
  <c r="D725" i="1"/>
  <c r="D724" i="1"/>
  <c r="D723" i="1"/>
  <c r="D722" i="1"/>
  <c r="D720" i="1"/>
  <c r="D719" i="1"/>
  <c r="D718" i="1"/>
  <c r="D717" i="1"/>
  <c r="D716" i="1"/>
  <c r="D715" i="1"/>
  <c r="D714" i="1"/>
  <c r="D713" i="1"/>
  <c r="D712" i="1"/>
  <c r="D711" i="1"/>
  <c r="D710" i="1"/>
  <c r="D709" i="1"/>
  <c r="D708" i="1"/>
  <c r="D707" i="1"/>
  <c r="D706" i="1"/>
  <c r="D705" i="1"/>
  <c r="D704" i="1"/>
  <c r="D703" i="1"/>
  <c r="D702" i="1"/>
  <c r="D701" i="1"/>
  <c r="D700" i="1"/>
  <c r="D699" i="1"/>
  <c r="D698" i="1"/>
  <c r="D697" i="1"/>
  <c r="D696" i="1"/>
  <c r="D695" i="1"/>
  <c r="D694" i="1"/>
  <c r="D693" i="1"/>
  <c r="D692" i="1"/>
  <c r="D691" i="1"/>
  <c r="D690" i="1"/>
  <c r="D689" i="1"/>
  <c r="D688" i="1"/>
  <c r="D687" i="1"/>
  <c r="D686" i="1"/>
  <c r="D685" i="1"/>
  <c r="D684" i="1"/>
  <c r="D683" i="1"/>
  <c r="D682" i="1"/>
  <c r="D681" i="1"/>
  <c r="D680" i="1"/>
  <c r="D679" i="1"/>
  <c r="D678" i="1"/>
  <c r="D677" i="1"/>
  <c r="D676" i="1"/>
  <c r="D675" i="1"/>
  <c r="D674" i="1"/>
  <c r="D673" i="1"/>
  <c r="D672" i="1"/>
  <c r="D671" i="1"/>
  <c r="D670" i="1"/>
  <c r="D669" i="1"/>
  <c r="D668" i="1"/>
  <c r="D667" i="1"/>
  <c r="D666" i="1"/>
  <c r="D665" i="1"/>
  <c r="D664" i="1"/>
  <c r="D663" i="1"/>
  <c r="D661" i="1"/>
  <c r="D660" i="1"/>
  <c r="D659" i="1"/>
  <c r="D658" i="1"/>
  <c r="D657" i="1"/>
  <c r="D656" i="1"/>
  <c r="D655" i="1"/>
  <c r="D654" i="1"/>
  <c r="D653" i="1"/>
  <c r="D652" i="1"/>
  <c r="D651" i="1"/>
  <c r="D650" i="1"/>
  <c r="D649" i="1"/>
  <c r="D648" i="1"/>
  <c r="D647" i="1"/>
  <c r="D646" i="1"/>
  <c r="D645" i="1"/>
  <c r="D644" i="1"/>
  <c r="D643" i="1"/>
  <c r="D642" i="1"/>
  <c r="D641" i="1"/>
  <c r="D640" i="1"/>
  <c r="D639" i="1"/>
  <c r="D638" i="1"/>
  <c r="D637" i="1"/>
  <c r="D636" i="1"/>
  <c r="D635" i="1"/>
  <c r="D634" i="1"/>
  <c r="D633" i="1"/>
  <c r="D632" i="1"/>
  <c r="D631" i="1"/>
  <c r="D630" i="1"/>
  <c r="D629" i="1"/>
  <c r="D628" i="1"/>
  <c r="D627" i="1"/>
  <c r="D626" i="1"/>
  <c r="D625" i="1"/>
  <c r="D624" i="1"/>
  <c r="D623" i="1"/>
  <c r="D622" i="1"/>
  <c r="D621" i="1"/>
  <c r="D618" i="1"/>
  <c r="D617" i="1"/>
  <c r="D616" i="1"/>
  <c r="D615" i="1"/>
  <c r="D614" i="1"/>
  <c r="D613" i="1"/>
  <c r="D612" i="1"/>
  <c r="D611" i="1"/>
  <c r="D610" i="1"/>
  <c r="D609" i="1"/>
  <c r="D608" i="1"/>
  <c r="D607" i="1"/>
  <c r="D606" i="1"/>
  <c r="D605" i="1"/>
  <c r="D604" i="1"/>
  <c r="D603" i="1"/>
  <c r="D602" i="1"/>
  <c r="D601" i="1"/>
  <c r="D600" i="1"/>
  <c r="D599" i="1"/>
  <c r="D598" i="1"/>
  <c r="D597" i="1"/>
  <c r="D596" i="1"/>
  <c r="D595" i="1"/>
  <c r="D594" i="1"/>
  <c r="D593" i="1"/>
  <c r="D592" i="1"/>
  <c r="D591" i="1"/>
  <c r="D590" i="1"/>
  <c r="D589" i="1"/>
  <c r="D588" i="1"/>
  <c r="D587" i="1"/>
  <c r="D586" i="1"/>
  <c r="D585" i="1"/>
  <c r="D584" i="1"/>
  <c r="D583" i="1"/>
  <c r="D582" i="1"/>
  <c r="D581" i="1"/>
  <c r="D580" i="1"/>
  <c r="D579" i="1"/>
  <c r="D578" i="1"/>
  <c r="D577" i="1"/>
  <c r="D576" i="1"/>
  <c r="D575" i="1"/>
  <c r="D574" i="1"/>
  <c r="D573" i="1"/>
  <c r="D572" i="1"/>
  <c r="D571" i="1"/>
  <c r="D570" i="1"/>
  <c r="D569" i="1"/>
  <c r="D568" i="1"/>
  <c r="D567" i="1"/>
  <c r="D566" i="1"/>
  <c r="D565" i="1"/>
  <c r="D564" i="1"/>
  <c r="D563" i="1"/>
  <c r="D562" i="1"/>
  <c r="D561" i="1"/>
  <c r="D560" i="1"/>
  <c r="D559" i="1"/>
  <c r="D558" i="1"/>
  <c r="D557" i="1"/>
  <c r="D556" i="1"/>
  <c r="D555" i="1"/>
  <c r="D554" i="1"/>
  <c r="D553" i="1"/>
  <c r="D552" i="1"/>
  <c r="D551" i="1"/>
  <c r="D550" i="1"/>
  <c r="D549" i="1"/>
  <c r="D548" i="1"/>
  <c r="D547" i="1"/>
  <c r="D546" i="1"/>
  <c r="D545" i="1"/>
  <c r="D544" i="1"/>
  <c r="D543" i="1"/>
  <c r="D542" i="1"/>
  <c r="D541" i="1"/>
  <c r="D540" i="1"/>
  <c r="D539" i="1"/>
  <c r="D538" i="1"/>
  <c r="D537" i="1"/>
  <c r="D536" i="1"/>
  <c r="D535" i="1"/>
  <c r="D534" i="1"/>
  <c r="D533" i="1"/>
  <c r="D532" i="1"/>
  <c r="D531" i="1"/>
  <c r="D530" i="1"/>
  <c r="D529" i="1"/>
  <c r="D528" i="1"/>
  <c r="D527" i="1"/>
  <c r="D526" i="1"/>
  <c r="D525" i="1"/>
  <c r="D524" i="1"/>
  <c r="D523" i="1"/>
  <c r="D522" i="1"/>
  <c r="D521" i="1"/>
  <c r="D520" i="1"/>
  <c r="D519" i="1"/>
  <c r="D518" i="1"/>
  <c r="D517" i="1"/>
  <c r="D516" i="1"/>
  <c r="D515" i="1"/>
  <c r="D514" i="1"/>
  <c r="D513" i="1"/>
  <c r="D512" i="1"/>
  <c r="D511" i="1"/>
  <c r="D510" i="1"/>
  <c r="D509" i="1"/>
  <c r="D508" i="1"/>
  <c r="D507" i="1"/>
  <c r="D506" i="1"/>
  <c r="D505" i="1"/>
  <c r="D504" i="1"/>
  <c r="D503" i="1"/>
  <c r="D502" i="1"/>
  <c r="D501" i="1"/>
  <c r="D500" i="1"/>
  <c r="D498" i="1"/>
  <c r="D497" i="1"/>
  <c r="D496" i="1"/>
  <c r="D495" i="1"/>
  <c r="D494" i="1"/>
  <c r="D493" i="1"/>
  <c r="D492" i="1"/>
  <c r="D491" i="1"/>
  <c r="D490" i="1"/>
  <c r="D489" i="1"/>
  <c r="D487" i="1"/>
  <c r="D483" i="1"/>
  <c r="D482" i="1"/>
  <c r="D480" i="1"/>
  <c r="D479" i="1"/>
  <c r="D476" i="1"/>
  <c r="D475" i="1"/>
  <c r="D474" i="1"/>
  <c r="D473" i="1"/>
  <c r="D472" i="1"/>
  <c r="D471" i="1"/>
  <c r="D470" i="1"/>
  <c r="D469" i="1"/>
  <c r="D468" i="1"/>
  <c r="D467" i="1"/>
  <c r="D466" i="1"/>
  <c r="D465" i="1"/>
  <c r="D464" i="1"/>
  <c r="D463" i="1"/>
  <c r="D462" i="1"/>
  <c r="D461" i="1"/>
  <c r="D460" i="1"/>
  <c r="D459" i="1"/>
  <c r="D457" i="1"/>
  <c r="D456" i="1"/>
  <c r="D455" i="1"/>
  <c r="D454" i="1"/>
  <c r="D453" i="1"/>
  <c r="D452" i="1"/>
  <c r="D451" i="1"/>
  <c r="D450" i="1"/>
  <c r="D446" i="1"/>
  <c r="D445" i="1"/>
  <c r="D444" i="1"/>
  <c r="D443" i="1"/>
  <c r="D442" i="1"/>
  <c r="D440" i="1"/>
  <c r="D437" i="1"/>
  <c r="D436" i="1"/>
  <c r="D435" i="1"/>
  <c r="D434" i="1"/>
  <c r="D433" i="1"/>
  <c r="D432" i="1"/>
  <c r="D431" i="1"/>
  <c r="D430" i="1"/>
  <c r="D427" i="1"/>
  <c r="D425" i="1"/>
  <c r="D423" i="1"/>
  <c r="D421" i="1"/>
  <c r="D419" i="1"/>
  <c r="D418" i="1"/>
  <c r="D417" i="1"/>
  <c r="D416" i="1"/>
  <c r="D415" i="1"/>
  <c r="D414" i="1"/>
  <c r="D411" i="1"/>
  <c r="D409" i="1"/>
  <c r="D408" i="1"/>
  <c r="D407" i="1"/>
  <c r="D403" i="1"/>
  <c r="D402" i="1"/>
  <c r="D401" i="1"/>
  <c r="D400" i="1"/>
  <c r="D399" i="1"/>
  <c r="D398" i="1"/>
  <c r="D397" i="1"/>
  <c r="D396" i="1"/>
  <c r="D395" i="1"/>
  <c r="D394" i="1"/>
  <c r="D393" i="1"/>
  <c r="D392" i="1"/>
  <c r="D391" i="1"/>
  <c r="D390" i="1"/>
  <c r="D389" i="1"/>
  <c r="D388" i="1"/>
  <c r="D387" i="1"/>
  <c r="D386" i="1"/>
  <c r="D385" i="1"/>
  <c r="D384" i="1"/>
  <c r="D383" i="1"/>
  <c r="D382" i="1"/>
  <c r="D381" i="1"/>
  <c r="D380" i="1"/>
  <c r="D379" i="1"/>
  <c r="D378" i="1"/>
  <c r="D377" i="1"/>
  <c r="D376" i="1"/>
  <c r="D375" i="1"/>
  <c r="D374" i="1"/>
  <c r="D373" i="1"/>
  <c r="D372" i="1"/>
  <c r="D371" i="1"/>
  <c r="D369" i="1"/>
  <c r="D368" i="1"/>
  <c r="D367" i="1"/>
  <c r="D366" i="1"/>
  <c r="D365" i="1"/>
  <c r="D364" i="1"/>
  <c r="D363" i="1"/>
  <c r="D362" i="1"/>
  <c r="D361" i="1"/>
  <c r="D360" i="1"/>
  <c r="D359" i="1"/>
  <c r="D358" i="1"/>
  <c r="D357" i="1"/>
  <c r="D356" i="1"/>
  <c r="D355" i="1"/>
  <c r="D354" i="1"/>
  <c r="D353" i="1"/>
  <c r="D352" i="1"/>
  <c r="D351" i="1"/>
  <c r="D350" i="1"/>
  <c r="D349" i="1"/>
  <c r="D348" i="1"/>
  <c r="D347" i="1"/>
  <c r="D346" i="1"/>
  <c r="D345" i="1"/>
  <c r="D344" i="1"/>
  <c r="D343" i="1"/>
  <c r="D342" i="1"/>
  <c r="D341" i="1"/>
  <c r="D340" i="1"/>
  <c r="D339" i="1"/>
  <c r="D338" i="1"/>
  <c r="D337" i="1"/>
  <c r="D336" i="1"/>
  <c r="D335" i="1"/>
  <c r="D334" i="1"/>
  <c r="D333" i="1"/>
  <c r="D332" i="1"/>
  <c r="D331" i="1"/>
  <c r="D330" i="1"/>
  <c r="D329" i="1"/>
  <c r="D328" i="1"/>
  <c r="D327" i="1"/>
  <c r="D326" i="1"/>
  <c r="D325" i="1"/>
  <c r="D324" i="1"/>
  <c r="D323" i="1"/>
  <c r="D322" i="1"/>
  <c r="D321" i="1"/>
  <c r="D320" i="1"/>
  <c r="D319" i="1"/>
  <c r="D318" i="1"/>
  <c r="D317" i="1"/>
  <c r="D316" i="1"/>
  <c r="D315" i="1"/>
  <c r="D314" i="1"/>
  <c r="D312" i="1"/>
  <c r="D311" i="1"/>
  <c r="D310" i="1"/>
  <c r="D309" i="1"/>
  <c r="D308" i="1"/>
  <c r="D306" i="1"/>
  <c r="D305" i="1"/>
  <c r="D304" i="1"/>
  <c r="D303" i="1"/>
  <c r="D302" i="1"/>
  <c r="D301" i="1"/>
  <c r="D300" i="1"/>
  <c r="D299" i="1"/>
  <c r="D298" i="1"/>
  <c r="D297" i="1"/>
  <c r="D296" i="1"/>
  <c r="D295" i="1"/>
  <c r="D294" i="1"/>
  <c r="D293" i="1"/>
  <c r="D292" i="1"/>
  <c r="D291" i="1"/>
  <c r="D290" i="1"/>
  <c r="D289" i="1"/>
  <c r="D287" i="1"/>
  <c r="D286" i="1"/>
  <c r="D285" i="1"/>
  <c r="D283" i="1"/>
  <c r="D282" i="1"/>
  <c r="D281" i="1"/>
  <c r="D280" i="1"/>
  <c r="D279" i="1"/>
  <c r="D278" i="1"/>
  <c r="D277" i="1"/>
  <c r="D276" i="1"/>
  <c r="D275" i="1"/>
  <c r="D274" i="1"/>
  <c r="D273" i="1"/>
  <c r="D272" i="1"/>
  <c r="D271" i="1"/>
  <c r="D270" i="1"/>
  <c r="D269" i="1"/>
  <c r="D268" i="1"/>
  <c r="D267" i="1"/>
  <c r="D266" i="1"/>
  <c r="D265" i="1"/>
  <c r="D264" i="1"/>
  <c r="D263" i="1"/>
  <c r="D262" i="1"/>
  <c r="D261" i="1"/>
  <c r="D260" i="1"/>
  <c r="D259" i="1"/>
  <c r="D258" i="1"/>
  <c r="D257" i="1"/>
  <c r="D256" i="1"/>
  <c r="D255" i="1"/>
  <c r="D254" i="1"/>
  <c r="D253" i="1"/>
  <c r="D252" i="1"/>
  <c r="D250" i="1"/>
  <c r="D249" i="1"/>
  <c r="D248" i="1"/>
  <c r="D247" i="1"/>
  <c r="D246" i="1"/>
  <c r="D245" i="1"/>
  <c r="D244" i="1"/>
  <c r="D243" i="1"/>
  <c r="D242" i="1"/>
  <c r="D241" i="1"/>
  <c r="D240" i="1"/>
  <c r="D239" i="1"/>
  <c r="D238" i="1"/>
  <c r="D237" i="1"/>
  <c r="D236" i="1"/>
  <c r="D235" i="1"/>
  <c r="D234" i="1"/>
  <c r="D233" i="1"/>
  <c r="D232" i="1"/>
  <c r="D231" i="1"/>
  <c r="D230" i="1"/>
  <c r="D229" i="1"/>
  <c r="D228" i="1"/>
  <c r="D227" i="1"/>
  <c r="D226" i="1"/>
  <c r="D225" i="1"/>
  <c r="D224" i="1"/>
  <c r="D223" i="1"/>
  <c r="D222" i="1"/>
  <c r="D221" i="1"/>
  <c r="D220" i="1"/>
  <c r="D219" i="1"/>
  <c r="D218" i="1"/>
  <c r="D217" i="1"/>
  <c r="D216" i="1"/>
  <c r="D215" i="1"/>
  <c r="D214" i="1"/>
  <c r="D213" i="1"/>
  <c r="D210" i="1"/>
  <c r="D209" i="1"/>
  <c r="D208" i="1"/>
  <c r="D207" i="1"/>
  <c r="D205" i="1"/>
  <c r="D204" i="1"/>
  <c r="D203" i="1"/>
  <c r="D202" i="1"/>
  <c r="D201" i="1"/>
  <c r="D200" i="1"/>
  <c r="D197" i="1"/>
  <c r="D195" i="1"/>
  <c r="D194" i="1"/>
  <c r="D191" i="1"/>
  <c r="D190" i="1"/>
  <c r="D189" i="1"/>
  <c r="D188" i="1"/>
  <c r="D187" i="1"/>
  <c r="D186" i="1"/>
  <c r="D185" i="1"/>
  <c r="D184" i="1"/>
  <c r="D183" i="1"/>
  <c r="D182" i="1"/>
  <c r="D181" i="1"/>
  <c r="D180" i="1"/>
  <c r="D179" i="1"/>
  <c r="D178" i="1"/>
  <c r="D177" i="1"/>
  <c r="D176" i="1"/>
  <c r="D175" i="1"/>
  <c r="D174" i="1"/>
  <c r="D173" i="1"/>
  <c r="D172" i="1"/>
  <c r="D170" i="1"/>
  <c r="D169" i="1"/>
  <c r="D168" i="1"/>
  <c r="D167" i="1"/>
  <c r="D165" i="1"/>
  <c r="D163" i="1"/>
  <c r="D161" i="1"/>
  <c r="D160" i="1"/>
  <c r="D158" i="1"/>
  <c r="D157" i="1"/>
  <c r="D156" i="1"/>
  <c r="D155" i="1"/>
  <c r="D154" i="1"/>
  <c r="D153" i="1"/>
  <c r="D152" i="1"/>
  <c r="D151" i="1"/>
  <c r="D150" i="1"/>
  <c r="D148" i="1"/>
  <c r="D146" i="1"/>
  <c r="D145" i="1"/>
  <c r="D143" i="1"/>
  <c r="D142" i="1"/>
  <c r="D141" i="1"/>
  <c r="D140" i="1"/>
  <c r="D139" i="1"/>
  <c r="D138" i="1"/>
  <c r="D137" i="1"/>
  <c r="D136" i="1"/>
  <c r="D135" i="1"/>
  <c r="D134" i="1"/>
  <c r="D133" i="1"/>
  <c r="D132" i="1"/>
  <c r="D131" i="1"/>
  <c r="D129" i="1"/>
  <c r="D126" i="1"/>
  <c r="D125" i="1"/>
  <c r="D124" i="1"/>
  <c r="D120" i="1"/>
  <c r="D119" i="1"/>
  <c r="D118" i="1"/>
  <c r="D117" i="1"/>
  <c r="D116" i="1"/>
  <c r="D115" i="1"/>
  <c r="D114" i="1"/>
  <c r="D113" i="1"/>
  <c r="D110" i="1"/>
  <c r="D108" i="1"/>
  <c r="D107" i="1"/>
  <c r="D106" i="1"/>
  <c r="D105" i="1"/>
  <c r="D104" i="1"/>
  <c r="D103" i="1"/>
  <c r="D102" i="1"/>
  <c r="D101" i="1"/>
  <c r="D100" i="1"/>
  <c r="D99" i="1"/>
  <c r="D98" i="1"/>
  <c r="D97" i="1"/>
  <c r="D94" i="1"/>
  <c r="D93" i="1"/>
  <c r="D89" i="1"/>
  <c r="D87" i="1"/>
  <c r="D86" i="1"/>
  <c r="D84" i="1"/>
  <c r="D83" i="1"/>
  <c r="D82" i="1"/>
  <c r="D81" i="1"/>
  <c r="D80" i="1"/>
  <c r="D79" i="1"/>
  <c r="D78" i="1"/>
  <c r="D77" i="1"/>
  <c r="D76" i="1"/>
  <c r="D74" i="1"/>
  <c r="D73" i="1"/>
  <c r="D72" i="1"/>
  <c r="D71" i="1"/>
  <c r="D69" i="1"/>
  <c r="D68" i="1"/>
  <c r="D67" i="1"/>
  <c r="D66" i="1"/>
  <c r="D65" i="1"/>
  <c r="D64" i="1"/>
  <c r="D63" i="1"/>
  <c r="D62" i="1"/>
  <c r="D61" i="1"/>
  <c r="D60" i="1"/>
  <c r="D59" i="1"/>
  <c r="D58" i="1"/>
  <c r="D57" i="1"/>
  <c r="D56" i="1"/>
  <c r="D55" i="1"/>
  <c r="D54" i="1"/>
  <c r="D53" i="1"/>
  <c r="D52" i="1"/>
  <c r="D3" i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1" i="1"/>
  <c r="D22" i="1"/>
  <c r="D23" i="1"/>
  <c r="D24" i="1"/>
  <c r="D25" i="1"/>
  <c r="D26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4" i="1"/>
  <c r="D45" i="1"/>
  <c r="D46" i="1"/>
  <c r="D50" i="1"/>
</calcChain>
</file>

<file path=xl/sharedStrings.xml><?xml version="1.0" encoding="utf-8"?>
<sst xmlns="http://schemas.openxmlformats.org/spreadsheetml/2006/main" count="51865" uniqueCount="13381">
  <si>
    <t xml:space="preserve">Component                                                                                           </t>
  </si>
  <si>
    <t xml:space="preserve">Component name                                                                                      </t>
  </si>
  <si>
    <t xml:space="preserve">Note number                                                                                         </t>
  </si>
  <si>
    <t xml:space="preserve">Note version                                                                                        </t>
  </si>
  <si>
    <t xml:space="preserve">Note description                                                                                    </t>
  </si>
  <si>
    <t>AP</t>
  </si>
  <si>
    <t>Application Platform</t>
  </si>
  <si>
    <t>AP-CFG</t>
  </si>
  <si>
    <t>Product Configuration</t>
  </si>
  <si>
    <t>Problems with parallel replication of knowledgebases (2)</t>
  </si>
  <si>
    <t>Complete jRFC function modules for configuration</t>
  </si>
  <si>
    <t>Errors during KB replication: Improvement of log messages</t>
  </si>
  <si>
    <t>No output in program RCOM_CFG_RFC_TRACE_NAVIGATOR - II</t>
  </si>
  <si>
    <t>Usage of an obsolete escaping method</t>
  </si>
  <si>
    <t>SCE: API for classic dependency profiling</t>
  </si>
  <si>
    <t>AP-LIM</t>
  </si>
  <si>
    <t>Logistics Inventory Mangement Engine</t>
  </si>
  <si>
    <t>Archiving object LIME_LOG is obsolete</t>
  </si>
  <si>
    <t>Archive Object: LIME_NLOG running too long</t>
  </si>
  <si>
    <t>Warehouse task creation failure for serialized delivery</t>
  </si>
  <si>
    <t>Extension of the report /LIME/HIST_STOCK</t>
  </si>
  <si>
    <t>CX_SY_DYNAMIC_OSQL_SYNTAX executing /SCWM/SELECT_STOCK</t>
  </si>
  <si>
    <t>Duplicate input for location/HU creation is not handled</t>
  </si>
  <si>
    <t>/LIME/ARCH_WR performance correction</t>
  </si>
  <si>
    <t>Dummy Note</t>
  </si>
  <si>
    <t>Long runtime of a select on empty table /lime/nserial</t>
  </si>
  <si>
    <t>Performance of retrieving timestamp from enqueue server</t>
  </si>
  <si>
    <t>/LIME/BACKGROUND_DELETE_EXEC doesn't handle all index tabs</t>
  </si>
  <si>
    <t>AP-MD</t>
  </si>
  <si>
    <t>Master Data</t>
  </si>
  <si>
    <t>AP-MD-IBA</t>
  </si>
  <si>
    <t>Installed Base</t>
  </si>
  <si>
    <t>To prevent entry in IBSTREF from getting deleted</t>
  </si>
  <si>
    <t>Change of Decription of a component Not getting saved</t>
  </si>
  <si>
    <t>Reverting the changes in note 1428547</t>
  </si>
  <si>
    <t>Wrong timestamp returned when time entered as 24:00:00</t>
  </si>
  <si>
    <t>Ibase tables are counted twice when writing archive data</t>
  </si>
  <si>
    <t>Archiving Statistics showing wrong values in delete mode</t>
  </si>
  <si>
    <t>AP-PRC</t>
  </si>
  <si>
    <t>Pricing and Condition Technique</t>
  </si>
  <si>
    <t>AP-PRC-CON</t>
  </si>
  <si>
    <t>Condition Technique</t>
  </si>
  <si>
    <t>Corrections in condition determination trace</t>
  </si>
  <si>
    <t>Objects added to the public package interfaces</t>
  </si>
  <si>
    <t>When RAW datatype is used, semantic keys overlap</t>
  </si>
  <si>
    <t>Incorrect record id is displayed on analysis screen</t>
  </si>
  <si>
    <t>Conditions: Incorrect key combinations can be maintained</t>
  </si>
  <si>
    <t>AP-PRC-PR</t>
  </si>
  <si>
    <t>Pricing</t>
  </si>
  <si>
    <t>Pricing Condition Access formula</t>
  </si>
  <si>
    <t>Change of currency at header level doesn't reflect</t>
  </si>
  <si>
    <t>Short dump due to wrong item id in document level messages</t>
  </si>
  <si>
    <t>multi valued attributes at header level is not possible</t>
  </si>
  <si>
    <t>not able to change condition value from pricing screen</t>
  </si>
  <si>
    <t>Checkman package errors</t>
  </si>
  <si>
    <t>Update 1 to Security Note 1531958</t>
  </si>
  <si>
    <t>AP-TTE</t>
  </si>
  <si>
    <t>Tax Engine</t>
  </si>
  <si>
    <t>Taxes not recalculated on changing ship to in R/3 billing</t>
  </si>
  <si>
    <t>Usage of External Tax Trace</t>
  </si>
  <si>
    <t>Implementing external tax engine userexit in Java</t>
  </si>
  <si>
    <t>LO</t>
  </si>
  <si>
    <t>Logistics - General</t>
  </si>
  <si>
    <t>LO-VC</t>
  </si>
  <si>
    <t>Variant Configuration</t>
  </si>
  <si>
    <t>Performance of database view V_IBIN_SYVAL</t>
  </si>
  <si>
    <t>CUTRC: Memory related dumps II</t>
  </si>
  <si>
    <t>LO-VC-LOI</t>
  </si>
  <si>
    <t>LO Integration</t>
  </si>
  <si>
    <t>IBINOBS entries for planned orders are not deleted</t>
  </si>
  <si>
    <t>XX</t>
  </si>
  <si>
    <t>Miscellaneous</t>
  </si>
  <si>
    <t>XX-PROJ</t>
  </si>
  <si>
    <t>Project-based solutions</t>
  </si>
  <si>
    <t>XX-PROJ-IMS</t>
  </si>
  <si>
    <t>Installed Base Development Projects</t>
  </si>
  <si>
    <t>XX-PROJ-IMS-HA</t>
  </si>
  <si>
    <t>Project HA</t>
  </si>
  <si>
    <t>Correction of check report CONDITION_ACCESS_CHECK</t>
  </si>
  <si>
    <t>Package #</t>
  </si>
  <si>
    <t>SAPKNA7028</t>
  </si>
  <si>
    <t>CFG_API_GET_SHORT_DESCRIPTIONS error for product and class</t>
  </si>
  <si>
    <t>Defaulting pricing data during BOM explosion</t>
  </si>
  <si>
    <t>Short Dump POSTING_ILLEGAL_STATEMENT</t>
  </si>
  <si>
    <t>AP-CFG interface is supplemented by missing entries</t>
  </si>
  <si>
    <t>Engine Trace Messages need structural alignment</t>
  </si>
  <si>
    <t>Conflict Explanation Texts</t>
  </si>
  <si>
    <t>Complement of SAP_AP CFG RFC API: missing case sensitiv flag</t>
  </si>
  <si>
    <t>AP-CFG-CBA</t>
  </si>
  <si>
    <t>cBASE / Configuration Storage</t>
  </si>
  <si>
    <t>Runtime error DBIF_RSQL_SQL_ERROR due to deadlock situations</t>
  </si>
  <si>
    <t>External configuration: Characteristic texts are truncated</t>
  </si>
  <si>
    <t>Runtime error DBIF_RSQL_SQL_ERROR due to deadlock II</t>
  </si>
  <si>
    <t>AP-CFG-LL</t>
  </si>
  <si>
    <t>Low Level Configuration</t>
  </si>
  <si>
    <t>Enhancement FM CUKR_GET_CUOBS: Return of deleted records</t>
  </si>
  <si>
    <t>/LIME/BACKGROUND_DELETE_EXEC: BAdI for index table deletion</t>
  </si>
  <si>
    <t>LIME_NLOG archiving extension</t>
  </si>
  <si>
    <t>Report /LIME/HIST_STOCK runs too long</t>
  </si>
  <si>
    <t>Archiving session note reset to default in /LIME/ARCH_WR</t>
  </si>
  <si>
    <t>LIME Archiving: old entries cannot be archived</t>
  </si>
  <si>
    <t>LIME assertion because of wrong timestamps in log</t>
  </si>
  <si>
    <t>HANA-specific performance improvements in LIME</t>
  </si>
  <si>
    <t>Performance problems during IBase archiving</t>
  </si>
  <si>
    <t>Exception 'Invalid Structure' raised during archiving</t>
  </si>
  <si>
    <t>Search help by Description in IBASE is case sensitive</t>
  </si>
  <si>
    <t>Error when transferring objects of another IBASE</t>
  </si>
  <si>
    <t>Initial direct value not considered</t>
  </si>
  <si>
    <t>Short dump ITAB_DUPLICATE_KEY during condition maintenance</t>
  </si>
  <si>
    <t>Enhance RFC PRC_CNV_UNIT_F4_PHYSICAL_UNITS regarding MSEH6</t>
  </si>
  <si>
    <t>Change currency issue at item level</t>
  </si>
  <si>
    <t>IPC product cache is not updated on dual stack system</t>
  </si>
  <si>
    <t>Dump SYSTEM_LOAD_OF_PROGRAM_FAILED in program SAPLPRC_INT</t>
  </si>
  <si>
    <t>AP-PRC-PRS</t>
  </si>
  <si>
    <t>Product Substitution</t>
  </si>
  <si>
    <t>visibility of elements inside the package PDD_DETERMINATION</t>
  </si>
  <si>
    <t>CRM</t>
  </si>
  <si>
    <t>Customer Relationship Management</t>
  </si>
  <si>
    <t>CRM-IPC</t>
  </si>
  <si>
    <t>Internet Pricing and Configurator</t>
  </si>
  <si>
    <t>so many requests for IPC product buffer update in VMC</t>
  </si>
  <si>
    <t>IPC is not using changed product description</t>
  </si>
  <si>
    <t>CUTRC: Termination</t>
  </si>
  <si>
    <t>Correction in check report CONDITION_ACCESS_CHECK</t>
  </si>
  <si>
    <t>SAPKNA7029</t>
  </si>
  <si>
    <t>AP-MD-BP</t>
  </si>
  <si>
    <t>Business Partner</t>
  </si>
  <si>
    <t>Analysis of access sequences using access type A</t>
  </si>
  <si>
    <t>AC</t>
  </si>
  <si>
    <t>Accounting General</t>
  </si>
  <si>
    <t>AC-COB</t>
  </si>
  <si>
    <t>Coding Block</t>
  </si>
  <si>
    <t>Incorrect object link with forward navigation to AS03</t>
  </si>
  <si>
    <t>No derivation of acct assgmt objects when posting from HR</t>
  </si>
  <si>
    <t>SRM: Sachkontensperre erst nach Überleitung in ERP verprobt</t>
  </si>
  <si>
    <t>Funded program in screens SAPLKACB 1002 and 1004</t>
  </si>
  <si>
    <t>Coding Block fields cause screen inconsistencies (VORNR_AUF)</t>
  </si>
  <si>
    <t>SRM: Verprobung der Sachkontensperre II</t>
  </si>
  <si>
    <t>Missing control entries in coding block for FM fields</t>
  </si>
  <si>
    <t>AC-INT</t>
  </si>
  <si>
    <t>Accounting Interface</t>
  </si>
  <si>
    <t>Reversal w/ invalid AWTYP using BAPI_ACC_DOCUMENT_REV_POST</t>
  </si>
  <si>
    <t>HR-Beleg Storno mit BAPI_ACC_DOCUMENT_REV_POST verhindern</t>
  </si>
  <si>
    <t>Error messgae 3G473 in account assignment block check</t>
  </si>
  <si>
    <t>AC-INT-ECS</t>
  </si>
  <si>
    <t>Error Correction</t>
  </si>
  <si>
    <t>ECS: Username Delivered via Bapi Gets Overwritten in ECS</t>
  </si>
  <si>
    <t>Missing implementation in class CL_GLE_ECS_BRF_ADAPTER</t>
  </si>
  <si>
    <t>Configurator</t>
  </si>
  <si>
    <t>Value precondition for restrictable characteristic</t>
  </si>
  <si>
    <t>AP-MD-BF</t>
  </si>
  <si>
    <t>Basic Functions</t>
  </si>
  <si>
    <t>AP-MD-BF-SYN</t>
  </si>
  <si>
    <t>Master Data Synchron</t>
  </si>
  <si>
    <t>Dumps when we save a customer with a Invalid vendor</t>
  </si>
  <si>
    <t>SAP BP SYN: Runtime error during synchronization restart</t>
  </si>
  <si>
    <t>Dump ITAB_ILLEGAL_SORT_ORDER</t>
  </si>
  <si>
    <t>SOA BP: BP Update service does not create new BP Role</t>
  </si>
  <si>
    <t>BusinessPartnerERPUpdate service: initial validity date</t>
  </si>
  <si>
    <t>AP-MD-BP-SYN</t>
  </si>
  <si>
    <t>Business Partner Syn</t>
  </si>
  <si>
    <t>Missing Tax Number Category Argentina Localization</t>
  </si>
  <si>
    <t>Business Partner not created from transaction FLBPC1</t>
  </si>
  <si>
    <t>Blank block reason inserted during credit card mapping</t>
  </si>
  <si>
    <t>BC</t>
  </si>
  <si>
    <t>Basis Components</t>
  </si>
  <si>
    <t>BC-SRV</t>
  </si>
  <si>
    <t>Basis Services/Communication Interfaces</t>
  </si>
  <si>
    <t>BC-SRV-GBT</t>
  </si>
  <si>
    <t>Please use subcomponents</t>
  </si>
  <si>
    <t>BC-SRV-GBT-DRB</t>
  </si>
  <si>
    <t>Document Relation</t>
  </si>
  <si>
    <t>DRB: Correction of DRB call for MM_EKKO</t>
  </si>
  <si>
    <t>DRB: Archived order contains wrong reference</t>
  </si>
  <si>
    <t>ALO1: Error 00 064 when displaying from archive</t>
  </si>
  <si>
    <t>BW</t>
  </si>
  <si>
    <t>SAP Business Information Warehouse</t>
  </si>
  <si>
    <t>BW-BCT</t>
  </si>
  <si>
    <t>Business Content and Extractors</t>
  </si>
  <si>
    <t>BW-BCT-CL</t>
  </si>
  <si>
    <t>Classification Sys</t>
  </si>
  <si>
    <t>The extract structure is not transported</t>
  </si>
  <si>
    <t>BW-BCT-CO</t>
  </si>
  <si>
    <t>Controlling</t>
  </si>
  <si>
    <t>BW-BCT-CO-OM</t>
  </si>
  <si>
    <t>Overhead Cost Cont.</t>
  </si>
  <si>
    <t>BW-BCT: Limiting extraction messages in the job log</t>
  </si>
  <si>
    <t>BW-BCT: Multiple values for CO-OM line item extraction</t>
  </si>
  <si>
    <t>BW-BCT: Extracting commitment deletion records</t>
  </si>
  <si>
    <t>BW-BCT-CO-PA</t>
  </si>
  <si>
    <t>Profitab. analysis</t>
  </si>
  <si>
    <t>KEB0N: Program termination CONNE_IMPORT_WRONG_STRUCTURE</t>
  </si>
  <si>
    <t>BW-BCT-CO-PC</t>
  </si>
  <si>
    <t>Product Cost Control</t>
  </si>
  <si>
    <t>Datasource 0CO_PC_01: Data selection incorrect</t>
  </si>
  <si>
    <t>0CO_PC_01 and 0CO_PC_02 selektion with CURTYPE incorrect</t>
  </si>
  <si>
    <t>0CO_PC_PCP_02: Incorrect data selection for period in future</t>
  </si>
  <si>
    <t>BW-BCT-FI</t>
  </si>
  <si>
    <t>Financial Accounting</t>
  </si>
  <si>
    <t>Table ROOSGENQV for 0FI_*_3 extractors updated w/o delta que</t>
  </si>
  <si>
    <t>BW-BCT-FI-AA</t>
  </si>
  <si>
    <t>Asset Accounting</t>
  </si>
  <si>
    <t>0FI_AA_20: Extraction structure cannot be enhanced</t>
  </si>
  <si>
    <t>0ASSET_ATTR_TEXT returns incorrect controlling area</t>
  </si>
  <si>
    <t>0ASSET_AFAB_ATTR: Depreciation areas loaded multiple times</t>
  </si>
  <si>
    <t>AA698 when you load the DataSource 0FI_AA_20</t>
  </si>
  <si>
    <t>BW-BCT-FI-GL</t>
  </si>
  <si>
    <t>General Ledger</t>
  </si>
  <si>
    <t>ERP Accelerators: BI rep not accelerated using DataSource</t>
  </si>
  <si>
    <t>BW-BCT-LE</t>
  </si>
  <si>
    <t>Logistics Execution</t>
  </si>
  <si>
    <t>BW-BCT-LE-SHP</t>
  </si>
  <si>
    <t>Shipping</t>
  </si>
  <si>
    <t>Error MCEX032 with 2LIS_12_VCITM when adding SPE_LIEFFZ</t>
  </si>
  <si>
    <t>BW-BCT-LE-TRA</t>
  </si>
  <si>
    <t>Transport</t>
  </si>
  <si>
    <t>VTBW, VIFBW: Long runtime when you transport with HUs (II)</t>
  </si>
  <si>
    <t>BW-BCT-MM</t>
  </si>
  <si>
    <t>Materials Management</t>
  </si>
  <si>
    <t>BW-BCT-MM-PUR</t>
  </si>
  <si>
    <t>Purchase</t>
  </si>
  <si>
    <t>OLI3BW / 2LIS_02_SRV: Service PO Limit data is not extracted</t>
  </si>
  <si>
    <t>BW-BCT-PLA</t>
  </si>
  <si>
    <t>Business Planning</t>
  </si>
  <si>
    <t>BW-BCT-PLA-MCB</t>
  </si>
  <si>
    <t>PLM Maintenance Cost</t>
  </si>
  <si>
    <t>0PM_PRM_PLCS_1: Extraction returns incorrect result</t>
  </si>
  <si>
    <t>0PM_PRM_PLCS_1: TSV_TNEW_PAGE_ALLOC_FAILED, TIME_OUT</t>
  </si>
  <si>
    <t>0PM_PRM_PLCS_1: Field 'STRAT'not filled for task list</t>
  </si>
  <si>
    <t>0PM_PRM_PLCS_1: TSV_TNEW_PAGE_ALLOC_FAILED</t>
  </si>
  <si>
    <t>Selection criterion planning plant (IWERK) too restrictive</t>
  </si>
  <si>
    <t>0PM_PRM_PLCS_1: Activity type missing in task list -&gt; IBW011</t>
  </si>
  <si>
    <t>BW-BCT-PM</t>
  </si>
  <si>
    <t>Plant Maintenance</t>
  </si>
  <si>
    <t>OLIIBW/OLISBW: Long runtimes when rebuilding setup tables</t>
  </si>
  <si>
    <t>PM Status extractor select parameters</t>
  </si>
  <si>
    <t>0EQUIPMENT_TEXT: extremely long runtime</t>
  </si>
  <si>
    <t>BW-BCT-PP</t>
  </si>
  <si>
    <t>Production Planning and Control</t>
  </si>
  <si>
    <t>BW-BCT-PP-PP</t>
  </si>
  <si>
    <t>Production Planning</t>
  </si>
  <si>
    <t>Extractor 0S_OPERAT_TEXT performance</t>
  </si>
  <si>
    <t>Activating the extraction log file - Application 04</t>
  </si>
  <si>
    <t>BW-BCT-RE</t>
  </si>
  <si>
    <t>Real Estate</t>
  </si>
  <si>
    <t>BW-BCT-RE-MD</t>
  </si>
  <si>
    <t>Master Data Real Est</t>
  </si>
  <si>
    <t>Frequency 12:Problem for ending conditions/BW extraction</t>
  </si>
  <si>
    <t>CA</t>
  </si>
  <si>
    <t>Cross-Application Components</t>
  </si>
  <si>
    <t>CA-BK</t>
  </si>
  <si>
    <t>Bank</t>
  </si>
  <si>
    <t>SEPA mandates: Indicator FRST versus RCUR</t>
  </si>
  <si>
    <t>CA-CAD</t>
  </si>
  <si>
    <t>CAD Integration</t>
  </si>
  <si>
    <t>CA-CAD-OBJ</t>
  </si>
  <si>
    <t>Objects Supported</t>
  </si>
  <si>
    <t>RFC_GET_DMS_DATA does not return SAP_FIELD_DATA</t>
  </si>
  <si>
    <t>CA-CL</t>
  </si>
  <si>
    <t>Classification</t>
  </si>
  <si>
    <t>Error in OBJECT_CHECK_PRPS</t>
  </si>
  <si>
    <t>CA-CL-CLS</t>
  </si>
  <si>
    <t>Classes</t>
  </si>
  <si>
    <t>Checking WBS elements</t>
  </si>
  <si>
    <t>CA-CL-SEL</t>
  </si>
  <si>
    <t>Object selection</t>
  </si>
  <si>
    <t>Internal formal adjustment</t>
  </si>
  <si>
    <t>CA-DMF</t>
  </si>
  <si>
    <t>Demand Management Foundation</t>
  </si>
  <si>
    <t>CA-DMF-FCT</t>
  </si>
  <si>
    <t>Foundation Component</t>
  </si>
  <si>
    <t>DRFOUT: Planned Delivery Time not sent for PSOS transfer</t>
  </si>
  <si>
    <t>Prices transferred to Promotion do not consider price unit</t>
  </si>
  <si>
    <t>DRFOUT: Unnecessary processing in PMPL Outbound</t>
  </si>
  <si>
    <t>CA-DMF-PRM</t>
  </si>
  <si>
    <t>Promotions</t>
  </si>
  <si>
    <t>Missing transportation lane after article type change</t>
  </si>
  <si>
    <t>CA-DMS</t>
  </si>
  <si>
    <t>Document management</t>
  </si>
  <si>
    <t>DVSARCH1-Standardising the report</t>
  </si>
  <si>
    <t>CV01N: ACC not saved when creating a Document Info Record</t>
  </si>
  <si>
    <t>Path evaluation for SAPFTP functionality in CA-DMS</t>
  </si>
  <si>
    <t>Accessability related problems in DMS</t>
  </si>
  <si>
    <t>Error while distributing DIR having a default WS application</t>
  </si>
  <si>
    <t>Incorrect indexing in ECC_SET_DOC_STOR_RPT</t>
  </si>
  <si>
    <t>Short dump while using ALE at fields with CURR Datatype</t>
  </si>
  <si>
    <t>DVSARCH1: SPAU issues due to moving Enhancement Spot Defn</t>
  </si>
  <si>
    <t>Display original opens file though Document is not selected</t>
  </si>
  <si>
    <t>CA-DMS-CNV</t>
  </si>
  <si>
    <t>DMS Integration</t>
  </si>
  <si>
    <t>SU22 authorization maintenance for Viewer and thumbnail Chip</t>
  </si>
  <si>
    <t>Conversion fails when done via non-English logon language</t>
  </si>
  <si>
    <t>VMP development</t>
  </si>
  <si>
    <t>CA-DMS-EDT</t>
  </si>
  <si>
    <t>Document Processing</t>
  </si>
  <si>
    <t>Extra dialog shown when more than one doc in recipient list</t>
  </si>
  <si>
    <t>Display original in Thumbnail view is not working correctly</t>
  </si>
  <si>
    <t>CA-DMS-RTV</t>
  </si>
  <si>
    <t>Retrieval</t>
  </si>
  <si>
    <t>Class data after return from hit list not considered(search)</t>
  </si>
  <si>
    <t>CA-EPT</t>
  </si>
  <si>
    <t>Processes and Tools for Enterprise Applications</t>
  </si>
  <si>
    <t>CA-EPT-VE</t>
  </si>
  <si>
    <t>Visual Enterprise</t>
  </si>
  <si>
    <t>CA-EPT-VE-VEG</t>
  </si>
  <si>
    <t>Downport ATS+1 changes SAP_APPL</t>
  </si>
  <si>
    <t>Material number not getting tagged properly in RH file</t>
  </si>
  <si>
    <t>CA-EUR</t>
  </si>
  <si>
    <t>European Monetary Union - Euro</t>
  </si>
  <si>
    <t>CA-EUR-CNV</t>
  </si>
  <si>
    <t>Local Currency Conv.</t>
  </si>
  <si>
    <t>LCC: EWCGENEW - Optimization according to Note 963370</t>
  </si>
  <si>
    <t>CA-GTF</t>
  </si>
  <si>
    <t>General Application Functions</t>
  </si>
  <si>
    <t>CA-GTF-BS</t>
  </si>
  <si>
    <t>Business Application Support</t>
  </si>
  <si>
    <t>CA-GTF-BS-MC</t>
  </si>
  <si>
    <t>Message Control</t>
  </si>
  <si>
    <t>Output is archived without checking if user has authority</t>
  </si>
  <si>
    <t>Condition record has "Name" field truncated</t>
  </si>
  <si>
    <t>Performance: Log in the output determination II</t>
  </si>
  <si>
    <t>CA-GTF-CPE</t>
  </si>
  <si>
    <t>Commodity Pricing</t>
  </si>
  <si>
    <t>CheckMan error: CPE-relevant packages in SAP_APPL 605, 606</t>
  </si>
  <si>
    <t>KUMZA, KUMNE and KAWRT in case of CPE conditions</t>
  </si>
  <si>
    <t>CPE_ERP_CPEDOC_READ_OW delivers incorrect values</t>
  </si>
  <si>
    <t>CA-GTF-CSC</t>
  </si>
  <si>
    <t>Country specific application interface objects</t>
  </si>
  <si>
    <t>CA-GTF-CSC-DME</t>
  </si>
  <si>
    <t>Data Medium Exchange</t>
  </si>
  <si>
    <t>Test function for UMS1 tree type</t>
  </si>
  <si>
    <t>CA-GTF-DRT</t>
  </si>
  <si>
    <t>Data Retention Tool</t>
  </si>
  <si>
    <t>FTW1A: Control Totals Errors for different currency (2)</t>
  </si>
  <si>
    <t>FTWP: Directory set doesnt get updated with Document Type</t>
  </si>
  <si>
    <t>CA-GTF-SP</t>
  </si>
  <si>
    <t>Business Suite SP</t>
  </si>
  <si>
    <t>Side Panels Notes/Attachments, Collaboration not editable</t>
  </si>
  <si>
    <t>CA-MDG</t>
  </si>
  <si>
    <t>Master Data Governance</t>
  </si>
  <si>
    <t>CA-MDG-APP</t>
  </si>
  <si>
    <t>Applications</t>
  </si>
  <si>
    <t>CA-MDG-APP-BP</t>
  </si>
  <si>
    <t>MDG Business Partner</t>
  </si>
  <si>
    <t>MDG: Change request created from UKM despite error</t>
  </si>
  <si>
    <t>MDG: Dumps in case of customer-specific append structures</t>
  </si>
  <si>
    <t>MDG: Serialization error for inbound processing</t>
  </si>
  <si>
    <t>CA-MDG-APP-CUS</t>
  </si>
  <si>
    <t>MDG Customer</t>
  </si>
  <si>
    <t>MDGC: Issue during Customer Maintenance on Client outbound</t>
  </si>
  <si>
    <t>MDGC: Client maint. of relations fails in client outbound</t>
  </si>
  <si>
    <t>MDGC: Client Maintenance of relations fails in Hub inbound</t>
  </si>
  <si>
    <t>MDG Local Copy: Customer contact persons not copied</t>
  </si>
  <si>
    <t>MDGC/S: Correction for Required Field Checks</t>
  </si>
  <si>
    <t>Required fields - international address version</t>
  </si>
  <si>
    <t>Incorrect initialization of a structure</t>
  </si>
  <si>
    <t>CA-MDG-APP-FIN</t>
  </si>
  <si>
    <t>MDG Financials</t>
  </si>
  <si>
    <t>Error during distribution of Company</t>
  </si>
  <si>
    <t>Profit/Cost Center Group Hierarchy replication fails (OH040)</t>
  </si>
  <si>
    <t>Dump CX_SY_ITAB_DUPLICATE_KEY occurs during CCGH processing</t>
  </si>
  <si>
    <t>KBAS_XI_PROXY 071 during cost center hierarchy replication</t>
  </si>
  <si>
    <t>Error KBAS_XI_PROXY 069 and OH 040 in CCGH replication</t>
  </si>
  <si>
    <t>Sequence of cost center groups within hierarchy is wrong</t>
  </si>
  <si>
    <t>Lock error FH080 during G/L account replication</t>
  </si>
  <si>
    <t>Distribution status 'Completed' despite of user lock error</t>
  </si>
  <si>
    <t>Dump ASSERTION_FAILED during cost element replication</t>
  </si>
  <si>
    <t>PCTR change replication moves PCTR to top hierarchy node</t>
  </si>
  <si>
    <t>PCTR address information is not written to FI data</t>
  </si>
  <si>
    <t>KM357 - Profit/Cost Center Group Hierarchy replication fails</t>
  </si>
  <si>
    <t>Performance of profit/cost center hierarchy replication</t>
  </si>
  <si>
    <t>Unjustified error KM733 during PCTR group hierarchy inbound</t>
  </si>
  <si>
    <t>CA-MDG-APP-MM</t>
  </si>
  <si>
    <t>MDG Material</t>
  </si>
  <si>
    <t>To enhance search scope</t>
  </si>
  <si>
    <t>To add Clint and Status to the MDG_Material template</t>
  </si>
  <si>
    <t>CA-MDG-APP-SUP</t>
  </si>
  <si>
    <t>MDG Supplier (Centra</t>
  </si>
  <si>
    <t>MDG Messages - navigation for Incoterm</t>
  </si>
  <si>
    <t>MDGS: Importing partner role files for contact people</t>
  </si>
  <si>
    <t>MDGS: Inbound issue during indicator conversion</t>
  </si>
  <si>
    <t>CVI: Missing check for plant assignment in purchasing data</t>
  </si>
  <si>
    <t>Löschen von Ansprechpartnern im MDG</t>
  </si>
  <si>
    <t>CA-MDG-DRF</t>
  </si>
  <si>
    <t>Data Replication Fra</t>
  </si>
  <si>
    <t>Prod Loc: Listing conditions not transferred correctly</t>
  </si>
  <si>
    <t>CA-NO</t>
  </si>
  <si>
    <t>Notifications</t>
  </si>
  <si>
    <t>HDBC: Message HDB 003</t>
  </si>
  <si>
    <t>CA-TS</t>
  </si>
  <si>
    <t>Time Sheet</t>
  </si>
  <si>
    <t>Abap dump when executing CATC</t>
  </si>
  <si>
    <t>CAT2: Input help for field RKDPOS(Receiver sales order item)</t>
  </si>
  <si>
    <t>CAT2: Approved breaktime hours are not displayed</t>
  </si>
  <si>
    <t>CATS: Short text display in BAPI_CATIMESHEETRECORD_GETLIST</t>
  </si>
  <si>
    <t>CATS: Error message during release of timesheet records</t>
  </si>
  <si>
    <t>CA-TS-IA</t>
  </si>
  <si>
    <t>Internet Applications</t>
  </si>
  <si>
    <t>CA-TS-IA-XS</t>
  </si>
  <si>
    <t>Self Services Web Dy</t>
  </si>
  <si>
    <t>CATS WD: ESS record working time worklist</t>
  </si>
  <si>
    <t>CO</t>
  </si>
  <si>
    <t>Technical changes - only internal</t>
  </si>
  <si>
    <t>CO-OM</t>
  </si>
  <si>
    <t>COGM: Technical corrections</t>
  </si>
  <si>
    <t>Where-used list of set: Set description is truncated</t>
  </si>
  <si>
    <t>Neue Funktionen für COGM - Sammelhinweis</t>
  </si>
  <si>
    <t>SE16N: Text import deletes existing list</t>
  </si>
  <si>
    <t>CO-OM tools: Application-specific selection screens SE16H</t>
  </si>
  <si>
    <t>Side Panel Cost Center Planning (KP06/KP07, KP26/KP27)</t>
  </si>
  <si>
    <t>RKACOR04 creates new totals records</t>
  </si>
  <si>
    <t>CR: Note cannot be saved in change request</t>
  </si>
  <si>
    <t>CO-OM tools: SE16N: Authorization for columns and lines</t>
  </si>
  <si>
    <t>CO-OM tools: F4 input help displays no values in SE16N</t>
  </si>
  <si>
    <t>CO-OM tools: Download in txt file does not displ all columns</t>
  </si>
  <si>
    <t>Master data: Double semicolon in result list</t>
  </si>
  <si>
    <t>Authorization check for SE16N variant transaction</t>
  </si>
  <si>
    <t>Enhancements for package interfaces for appl. component CO</t>
  </si>
  <si>
    <t>CO-OM tools: Automatic reconciliation for side-by-side</t>
  </si>
  <si>
    <t>CO-OM tools: Entry field 'Group' too short</t>
  </si>
  <si>
    <t>Log adjustment CO_ITEM_WRI when OPEN_FILE fails</t>
  </si>
  <si>
    <t>CO-OM tools: SAP HANA connection: Authorization check</t>
  </si>
  <si>
    <t>CO-OM tools: Unnecessary message WUSL 149</t>
  </si>
  <si>
    <t>CO-OM-ABC</t>
  </si>
  <si>
    <t>Activity-Based Cost.</t>
  </si>
  <si>
    <t>CPT1, CPT2: No F4 dialog box for object in environment CPD</t>
  </si>
  <si>
    <t>CTU6, CPT1, CPT2: Fields of table MARM are empty</t>
  </si>
  <si>
    <t>Transfer from LIS: Job log is full</t>
  </si>
  <si>
    <t>CTU6: Cost element template function translated incorrectly</t>
  </si>
  <si>
    <t>Template Allocation: Header material considered in BOM</t>
  </si>
  <si>
    <t>CO-OM-ABC-F</t>
  </si>
  <si>
    <t>Period-end Closing</t>
  </si>
  <si>
    <t>Template allocation: Function K_ABC_COST_ELEMENTS_READ_NEW</t>
  </si>
  <si>
    <t>Template allocation: Incorrect derivation of segment</t>
  </si>
  <si>
    <t>Template allocation: Error M3 749 not justified</t>
  </si>
  <si>
    <t>Template allocation: Functional area missing</t>
  </si>
  <si>
    <t>CO-OM-ACT</t>
  </si>
  <si>
    <t>Activity Types</t>
  </si>
  <si>
    <t>CO-OM-ACT-F</t>
  </si>
  <si>
    <t>PCOGM: Revaluation of sales order items</t>
  </si>
  <si>
    <t>Cost component split not updated</t>
  </si>
  <si>
    <t>KSII: Multiple execution post senseless CO-documents</t>
  </si>
  <si>
    <t>CO-OM-CCA</t>
  </si>
  <si>
    <t>Cost Center Accounting</t>
  </si>
  <si>
    <t>CO-OM-CCA-B</t>
  </si>
  <si>
    <t>Planning</t>
  </si>
  <si>
    <t>Performance problem with virtual hierarchies</t>
  </si>
  <si>
    <t>SP5ff: Erweiterung der manuellen Kostenstellenplanung</t>
  </si>
  <si>
    <t>CO Renewal Project Planning - Duplicate hierarchy names</t>
  </si>
  <si>
    <t>New planning applications in CO: Performance/hierarchies</t>
  </si>
  <si>
    <t>CO-OM-CCA-E</t>
  </si>
  <si>
    <t>Postings</t>
  </si>
  <si>
    <t>KB61: Quantity is not reposted</t>
  </si>
  <si>
    <t>DBM/KB61: Items already reposted are no longer displayed</t>
  </si>
  <si>
    <t>CO-reversal document displayed as accounting document</t>
  </si>
  <si>
    <t>Error BK832 in KB61 for reposted document</t>
  </si>
  <si>
    <t>CO-OM-CCA-F</t>
  </si>
  <si>
    <t>ALLOCATION: Functional area for sender not derived</t>
  </si>
  <si>
    <t>KSA3: COKEY attributes are not populated when booked</t>
  </si>
  <si>
    <t>SAP HANA: Connection of allocation processor</t>
  </si>
  <si>
    <t>ALLOCATIONS: Currency translation for cumulative cycles</t>
  </si>
  <si>
    <t>ALLOCATIONS: MESSAGE_TYPE_X Periodic Reposting</t>
  </si>
  <si>
    <t>Optimized cumulated JV assess., distrib.: Objects missing</t>
  </si>
  <si>
    <t>Cycle overview: No authorization check for customer exits</t>
  </si>
  <si>
    <t>ALLOCATIONS: Saving variants with reversal indicator</t>
  </si>
  <si>
    <t>CO-OM-CCA-G</t>
  </si>
  <si>
    <t>Reporting, iViews</t>
  </si>
  <si>
    <t>Error KB 420 even though data is available</t>
  </si>
  <si>
    <t>RS_CHANGE_CREATED_VARIANT not possible for free selections</t>
  </si>
  <si>
    <t>CO-OM-CEL</t>
  </si>
  <si>
    <t>Cost Element Accounting</t>
  </si>
  <si>
    <t>CO-OM-CEL-E</t>
  </si>
  <si>
    <t>Asset posting: Segment not derived again</t>
  </si>
  <si>
    <t>CO-OM-IS</t>
  </si>
  <si>
    <t>Infosystem, iViews</t>
  </si>
  <si>
    <t>KAEP: Line item reporting with SAP HANA: Connection to RRI</t>
  </si>
  <si>
    <t>KAEP: Line item reporting with SAP HANA: Database hint</t>
  </si>
  <si>
    <t>Long runtime for RWCOOM reports with cost centers</t>
  </si>
  <si>
    <t>KAEP: Increasing the number of selection criteria</t>
  </si>
  <si>
    <t>CO-OM-OPA</t>
  </si>
  <si>
    <t>Overhead Orders</t>
  </si>
  <si>
    <t>CO-OM-OPA-A</t>
  </si>
  <si>
    <t>BAPI_INTERNALORDER_CREATE CI_AUFK MAP_USER_FIELDS</t>
  </si>
  <si>
    <t>Settlement rule: Identical rule created automatically</t>
  </si>
  <si>
    <t>KAUF_ORDER_CHANGE_BAPIFIELDS: Error msg FAGL_ORG_UNITS 011</t>
  </si>
  <si>
    <t>CO-OM-OPA-B</t>
  </si>
  <si>
    <t>IMCCP3, IMCOC3, IMCRC3: Various terminations</t>
  </si>
  <si>
    <t>Not all master data for /ERP/VERSION displayed in value help</t>
  </si>
  <si>
    <t>Termination in FCOM_IP_PROJ_OVERALL01</t>
  </si>
  <si>
    <t>CO-OM-OPA-C</t>
  </si>
  <si>
    <t>Budgeting</t>
  </si>
  <si>
    <t>Short dump RAISE_EXCEPTION after note 1608831</t>
  </si>
  <si>
    <t>Monitor availability control for orders</t>
  </si>
  <si>
    <t>Monitor availability control for WBS element</t>
  </si>
  <si>
    <t>Monitor availability control for orders/WBS element</t>
  </si>
  <si>
    <t>CJBW: Truncated headings in log</t>
  </si>
  <si>
    <t>Availability control: Goods receipt/service entry using BAPI</t>
  </si>
  <si>
    <t>No messages for availability control when using Note 955107</t>
  </si>
  <si>
    <t>Unjustified error messages for availability control</t>
  </si>
  <si>
    <t>No avail.ctrl/incorr. assgd value for avail.ctrl in obj.crcy</t>
  </si>
  <si>
    <t>Error when activating view V_AVCHANA_OR_GE and other views</t>
  </si>
  <si>
    <t>CO-OM-OPA-D</t>
  </si>
  <si>
    <t>Commitments</t>
  </si>
  <si>
    <t>RKAGJOBL provides different selection options</t>
  </si>
  <si>
    <t>CO-OM-OPA-F</t>
  </si>
  <si>
    <t>Overhead/accrucal calculation :Errlr credit objekt not found</t>
  </si>
  <si>
    <t>Settlement to FI in valuation views '5', '6' and '7'</t>
  </si>
  <si>
    <t>Settlement to account: AW 751 during reversal</t>
  </si>
  <si>
    <t>OHA: Improvement when reading line items</t>
  </si>
  <si>
    <t>Settlement of inv. measure: Termination with CONVT_NO_NUMBER</t>
  </si>
  <si>
    <t>Business transaction derivation in case of plan rules</t>
  </si>
  <si>
    <t>K_COSTS_CREATE extend import parameters for second currency</t>
  </si>
  <si>
    <t>BAPI_ALM_ORDER_MAINTAIN K_POSTING_RULE_INSERT valid to</t>
  </si>
  <si>
    <t>WIP settlement: Value missing in parallel currency in FI</t>
  </si>
  <si>
    <t>Overhead rates/accrual calc: Reading of costs using SAP HANA</t>
  </si>
  <si>
    <t>OHA: Planned overheads lead to program termination</t>
  </si>
  <si>
    <t>Settlement: Runtime error DATA_LENGTH_0 with detail list</t>
  </si>
  <si>
    <t>CO-OM-OPA-G</t>
  </si>
  <si>
    <t>KOB1 with OLC: Descriptn of order header instead of operatn</t>
  </si>
  <si>
    <t>CO-PA</t>
  </si>
  <si>
    <t>KE28: Origin of line items cannot be recognized</t>
  </si>
  <si>
    <t>Ergebnisrechnung mit dem ERP Accelerator</t>
  </si>
  <si>
    <t>HDBC: Various corrections</t>
  </si>
  <si>
    <t>KE28L: Exit to enhance the authorization checks</t>
  </si>
  <si>
    <t>KEHC: Access to OLAP view does not work</t>
  </si>
  <si>
    <t>View maintenance V_TKEZU: F4 help displays too many fields</t>
  </si>
  <si>
    <t>KECM: Dump when displaying summarization level overview</t>
  </si>
  <si>
    <t>KEHW: Structural chg. leads to regeneration in SAP HANA DB</t>
  </si>
  <si>
    <t>KE28: detailed Runtimetrace</t>
  </si>
  <si>
    <t>KEU5: Detailed runtime measurements</t>
  </si>
  <si>
    <t>KE28: dump ITAB_ILLEGAL_SORT_ORDER, cumulate VRGAR</t>
  </si>
  <si>
    <t>KE28L: Cancellation of runtime measurement too imprecise</t>
  </si>
  <si>
    <t>KE28: Derivation overwrites too many characteristics</t>
  </si>
  <si>
    <t>HDBC: Dump CX_SY_DYN_CALL_PARAM_MISSING</t>
  </si>
  <si>
    <t>KEU1: F4 help for start date missing</t>
  </si>
  <si>
    <t>CO-PA-ACT</t>
  </si>
  <si>
    <t>Flow of actual value</t>
  </si>
  <si>
    <t>Incoming order despite fully invoiced order item</t>
  </si>
  <si>
    <t>VF44: Fixed characteristics not filled in CO-PA line items</t>
  </si>
  <si>
    <t>FI parking using BAPI leads to duplicate CO-PA documents</t>
  </si>
  <si>
    <t>Allocations: COGM for assessment to CO-PA - part 2</t>
  </si>
  <si>
    <t>KE28L: Runtime error CX_SY_IMPORT_MISMATCH_ERROR</t>
  </si>
  <si>
    <t>KE549 during reversal after changing profit. segment usage</t>
  </si>
  <si>
    <t>CO-PA-MD</t>
  </si>
  <si>
    <t>KEAT: "nonbilled goods issue" incorrect if company code chg</t>
  </si>
  <si>
    <t>CO-PA-SPP</t>
  </si>
  <si>
    <t>Sales/profit plan.</t>
  </si>
  <si>
    <t>KE2K - Where-used-list does not work for KEPM</t>
  </si>
  <si>
    <t>KE1Z: dump when executed in background</t>
  </si>
  <si>
    <t>KE28: cumulate record type, the same VRGAR source and refer.</t>
  </si>
  <si>
    <t>CO-PA-TO</t>
  </si>
  <si>
    <t>Tools</t>
  </si>
  <si>
    <t>KE499 after archiving profitability segments</t>
  </si>
  <si>
    <t>CO-PC</t>
  </si>
  <si>
    <t>Product Cost Controlling</t>
  </si>
  <si>
    <t>CO-PC-ACT</t>
  </si>
  <si>
    <t>Actual Costing/M. L.</t>
  </si>
  <si>
    <t>MLCCS_STARTUP: Errors for activity types</t>
  </si>
  <si>
    <t>Performance: Production Order history compression</t>
  </si>
  <si>
    <t>Table CKMI1: check for duplicate entries (ver. 5.00 and up)</t>
  </si>
  <si>
    <t>ABAP run time error while executing ME87 transaction</t>
  </si>
  <si>
    <t>FCML_FILL: Program termination due to division by zero</t>
  </si>
  <si>
    <t>SAPRCKMJX: Deletion of WIP tables and other corrections</t>
  </si>
  <si>
    <t>Error C+012 for goods movement</t>
  </si>
  <si>
    <t>Error KI 026 in company code w/o controlling area</t>
  </si>
  <si>
    <t>BADI_ENDING_INV: Incorr cost component split if ending inv 0</t>
  </si>
  <si>
    <t>SIT: Incorr amounts for goods receipt for stock transfer (2)</t>
  </si>
  <si>
    <t>MR11, CKMLMV009 Internal error in program LCKMLMVQUANTF00</t>
  </si>
  <si>
    <t>System error CJ 895 when executing closing entry in the bkgd</t>
  </si>
  <si>
    <t>Incorrect standard price splitting for special stock</t>
  </si>
  <si>
    <t>Background execution of ML_SHOW_PROTOCOL</t>
  </si>
  <si>
    <t>CKM3N: Export of CCS to Excel with Long Material Number</t>
  </si>
  <si>
    <t>CKM3N: Export of CCS Excel with Long Material Number (2)</t>
  </si>
  <si>
    <t>Incorr. cost component view for future price/standard price</t>
  </si>
  <si>
    <t>Store Type of Tables in Accelerated BW Extraction (HDBC)</t>
  </si>
  <si>
    <t>CheckMan: CL_HANA_ACC READ_CONFIG / FCMLA1_GET_CONFIG</t>
  </si>
  <si>
    <t>CO-PC-ACT-MAC</t>
  </si>
  <si>
    <t>Multilevel Actl Cstg</t>
  </si>
  <si>
    <t>KE27: Long runtime when accessing ML data</t>
  </si>
  <si>
    <t>CO-PC-ACT-PER</t>
  </si>
  <si>
    <t>Periodic Matl Valn</t>
  </si>
  <si>
    <t>Termination when creating a costing run</t>
  </si>
  <si>
    <t>CO-PC-ACT-WIP</t>
  </si>
  <si>
    <t>revaluation of WIP</t>
  </si>
  <si>
    <t>COGM: WIP-calculation with error KJ 464</t>
  </si>
  <si>
    <t>CO-PC-IS</t>
  </si>
  <si>
    <t>Info.Syst. CO-PC</t>
  </si>
  <si>
    <t>KKP6 - Scrap and variances missing</t>
  </si>
  <si>
    <t>RKKBSELL - incorrect currency used as object currency</t>
  </si>
  <si>
    <t>KKRC: Termin. CALL_FUNCTION_CONFLICT_TYPE - field VERAA_USER</t>
  </si>
  <si>
    <t>CK85_99 &amp; CK89_99 - authority check on calculation missing</t>
  </si>
  <si>
    <t>KKBC_ORD - drilldown to line items</t>
  </si>
  <si>
    <t>RKKBALV1 - Dump COMPUTE_BCD_OVERFLOW in DIFFERENCES_GET</t>
  </si>
  <si>
    <t>CO-PC-PCP</t>
  </si>
  <si>
    <t>Product Cost Plan.</t>
  </si>
  <si>
    <t>CO-PC-PCP: Checkman Fehler</t>
  </si>
  <si>
    <t>External processing: Price from purchasing info record</t>
  </si>
  <si>
    <t>Message CK 457 issued incorrectly</t>
  </si>
  <si>
    <t>CO-PC-PCP-WQS</t>
  </si>
  <si>
    <t>Prod.Cstg w/Qty Str.</t>
  </si>
  <si>
    <t>SAP Note 1668762 does not consider BAdI MAT_SELECTION_CK</t>
  </si>
  <si>
    <t>Enhancing SAPLXCKA: Missing data in the table T_KEPH  (2)</t>
  </si>
  <si>
    <t>CRM-ANA</t>
  </si>
  <si>
    <t>CRM Analytics</t>
  </si>
  <si>
    <t>CRM-ANA-SRV</t>
  </si>
  <si>
    <t>Service Analytics</t>
  </si>
  <si>
    <t>CRM-ANA-SRV-BW</t>
  </si>
  <si>
    <t>BW Data Exchange</t>
  </si>
  <si>
    <t>0CRM_SRVCNF_COSTS datasource - empty fields</t>
  </si>
  <si>
    <t>OBJECT_ID is empty for revenues in 0CRM_SRVCNF_COSTS</t>
  </si>
  <si>
    <t>0CRM_SRVCNF_COSTS - turnover with wrong sign</t>
  </si>
  <si>
    <t>CRM-BE</t>
  </si>
  <si>
    <t>Billing</t>
  </si>
  <si>
    <t>CRM-BE-BD</t>
  </si>
  <si>
    <t>Billing Document</t>
  </si>
  <si>
    <t>Settlement2Invoice fails with material tax classification</t>
  </si>
  <si>
    <t>CRM-BTX</t>
  </si>
  <si>
    <t>Business Transactions</t>
  </si>
  <si>
    <t>CRM-BTX-BF</t>
  </si>
  <si>
    <t>Basic Functions for Business Transactions</t>
  </si>
  <si>
    <t>CRM-BTX-BF-ATP</t>
  </si>
  <si>
    <t>Availability Check</t>
  </si>
  <si>
    <t>Local ATP: No messages with regard to incorrect Customizing</t>
  </si>
  <si>
    <t>CRM-BTX-BF-EBI</t>
  </si>
  <si>
    <t>Integration ERP</t>
  </si>
  <si>
    <t>Unnecessary credit memo request for service confirmation 2</t>
  </si>
  <si>
    <t>CRM-BTX-BF-IF</t>
  </si>
  <si>
    <t>R/3 Interface for Bu</t>
  </si>
  <si>
    <t>Performance problem in PGI, CRS_SEND_DELIVERY_DATA_UT</t>
  </si>
  <si>
    <t>Short dump occurs when saving sales order: MESSAGE_TYPE_X</t>
  </si>
  <si>
    <t>CRM-BTX-BF-LOG</t>
  </si>
  <si>
    <t>wrong Good's receipt item number in docflow of service doc</t>
  </si>
  <si>
    <t>CRM-BTX-ERP</t>
  </si>
  <si>
    <t>CRM UI for ERP Sales</t>
  </si>
  <si>
    <t>Payment Cards valuehelp in CRM</t>
  </si>
  <si>
    <t>CRM-CLA</t>
  </si>
  <si>
    <t>Claims Management</t>
  </si>
  <si>
    <t>CRM-CLA-STL</t>
  </si>
  <si>
    <t>Claim Settlement</t>
  </si>
  <si>
    <t>Incorrect condition values for the claim correction</t>
  </si>
  <si>
    <t>CRM-IM</t>
  </si>
  <si>
    <t>Media</t>
  </si>
  <si>
    <t>CRM-IM-IPM</t>
  </si>
  <si>
    <t>Int.Prop. Management</t>
  </si>
  <si>
    <t>G/L account posting not transferred to OR data</t>
  </si>
  <si>
    <t>CRM-ISA</t>
  </si>
  <si>
    <t>Internet Sales</t>
  </si>
  <si>
    <t>CRM-ISA-UM</t>
  </si>
  <si>
    <t>User Management</t>
  </si>
  <si>
    <t>Modifying a user with ISA User Admin and activated CUA</t>
  </si>
  <si>
    <t>CRM-IT</t>
  </si>
  <si>
    <t>Telecommunications</t>
  </si>
  <si>
    <t>CRM-IT-BTX</t>
  </si>
  <si>
    <t>Business Transaction</t>
  </si>
  <si>
    <t>Customizing tables for COL</t>
  </si>
  <si>
    <t>CRM-MD</t>
  </si>
  <si>
    <t>CRM-MD-BP</t>
  </si>
  <si>
    <t>Business Partners</t>
  </si>
  <si>
    <t>CRM-MD-BP-IF</t>
  </si>
  <si>
    <t>Data Exch. CRM - R/3</t>
  </si>
  <si>
    <t>Dump occurs when Apostrophe replaces Percentage in MATNR</t>
  </si>
  <si>
    <t>Short dump during BP upload from CRM to ECC.</t>
  </si>
  <si>
    <t>CRM-MD-INB</t>
  </si>
  <si>
    <t>Installed Bases</t>
  </si>
  <si>
    <t>Warranty of indivual Object is cleared upon Equip download</t>
  </si>
  <si>
    <t>Changes made to Email in ERP system is not updated in CRM</t>
  </si>
  <si>
    <t>Initial or request load hangs without error</t>
  </si>
  <si>
    <t>Dump occurs while creating an equipment</t>
  </si>
  <si>
    <t>CRM-MD-PRO</t>
  </si>
  <si>
    <t>Products</t>
  </si>
  <si>
    <t>Incorrect deltas for Materials with serial no. profiles</t>
  </si>
  <si>
    <t>CRM-MD-PRO-IF</t>
  </si>
  <si>
    <t>Data Exchange</t>
  </si>
  <si>
    <t>Inconsistent BOM ERP data in CRM after delta download</t>
  </si>
  <si>
    <t>CS</t>
  </si>
  <si>
    <t>Customer Service (formerly: PM-SM)</t>
  </si>
  <si>
    <t>CS-CI</t>
  </si>
  <si>
    <t>Customer Interaction</t>
  </si>
  <si>
    <t>CS-CI-CIC</t>
  </si>
  <si>
    <t>CIC: Call parameters error while using Parameter dialog</t>
  </si>
  <si>
    <t>CS-CM</t>
  </si>
  <si>
    <t>Call Management</t>
  </si>
  <si>
    <t>CS-CM-SN</t>
  </si>
  <si>
    <t>Service Notification</t>
  </si>
  <si>
    <t>Time zone functionality introduced for CS Notifications</t>
  </si>
  <si>
    <t>BAPI: Sales organisation details are not populated</t>
  </si>
  <si>
    <t>EAM message: Changes to data are not applied</t>
  </si>
  <si>
    <t>CS-ES</t>
  </si>
  <si>
    <t>ES Customer Service</t>
  </si>
  <si>
    <t>ESOA: Incorrect conversion of Buyer Document Id Date</t>
  </si>
  <si>
    <t>CS-IB</t>
  </si>
  <si>
    <t>Installed Base Mgmt</t>
  </si>
  <si>
    <t>Navigation to batch master data is not working from IB53</t>
  </si>
  <si>
    <t>EC</t>
  </si>
  <si>
    <t>Enterprise Controlling</t>
  </si>
  <si>
    <t>EC-CS</t>
  </si>
  <si>
    <t>Legal Consolidation</t>
  </si>
  <si>
    <t>EC-CS-CSF</t>
  </si>
  <si>
    <t>Consolidation Functions</t>
  </si>
  <si>
    <t>EC-CS-CSF-A</t>
  </si>
  <si>
    <t>Master data</t>
  </si>
  <si>
    <t>Messages for FS item escapes during navigation in hierarchy</t>
  </si>
  <si>
    <t>EC-CS-CSF-D</t>
  </si>
  <si>
    <t>Monitor</t>
  </si>
  <si>
    <t>Status initial &lt;-&gt; ohne Bedeutung: Vererbung nach oben</t>
  </si>
  <si>
    <t>EC-CS-CSF-F</t>
  </si>
  <si>
    <t>Posting</t>
  </si>
  <si>
    <t>Mass reversal dumps with ITAB_DUPLICATE_KEY</t>
  </si>
  <si>
    <t>EC-CS-CSF-J</t>
  </si>
  <si>
    <t>Consolidation of inv</t>
  </si>
  <si>
    <t>Chgs in investee equity during elimination of invstmnt incom</t>
  </si>
  <si>
    <t>Fehlende Auflösung stiller Lasten in Erstkonsolidierung</t>
  </si>
  <si>
    <t>Consistency check for consol. of investments: Error G00 325</t>
  </si>
  <si>
    <t>EC-CS-CSF-L</t>
  </si>
  <si>
    <t>Others</t>
  </si>
  <si>
    <t>Consolidation group change: Incorrect subitem for merger</t>
  </si>
  <si>
    <t>EC-CS-INT</t>
  </si>
  <si>
    <t>Data Transfer/int.</t>
  </si>
  <si>
    <t>Reading reported financial data from BW - various problems</t>
  </si>
  <si>
    <t>EC-EIS</t>
  </si>
  <si>
    <t>Executive Information System</t>
  </si>
  <si>
    <t>EC-EIS-DD</t>
  </si>
  <si>
    <t>Interactive Report.</t>
  </si>
  <si>
    <t>Drilldown reporting: performance during graph. output</t>
  </si>
  <si>
    <t>Technical enhancement -Text-read interface</t>
  </si>
  <si>
    <t>Drilldown reporting: Problem with header in ALV output II</t>
  </si>
  <si>
    <t>Falsche Daten beim Nachlesen und Hierarchieaggregation</t>
  </si>
  <si>
    <t>WRITE_TO_OFFSET_TOOLARGE bei Aufruf über EIS_REPORT_INIT</t>
  </si>
  <si>
    <t>WRITE_TO_OFFSET_TOOLARGE when printing in background job</t>
  </si>
  <si>
    <t>TKESV - storage of default values for global variables</t>
  </si>
  <si>
    <t>HTML Export from Drilldown Reporting issue</t>
  </si>
  <si>
    <t>EC-PCA</t>
  </si>
  <si>
    <t>Profit Center Acctg.</t>
  </si>
  <si>
    <t>Inactivation of GLTPC leads to syntax errors in SAPFGRWG</t>
  </si>
  <si>
    <t>dummy</t>
  </si>
  <si>
    <t>EC-PCA-ACT</t>
  </si>
  <si>
    <t>Actual Data</t>
  </si>
  <si>
    <t>Incorr partner PC in intercompany billing before ext billing</t>
  </si>
  <si>
    <t>KI205 during reversal of invoice (MR8M)</t>
  </si>
  <si>
    <t>EC-PCA-MD</t>
  </si>
  <si>
    <t>KCH5N/KCH6N: Standard hierarchy and inactive master data</t>
  </si>
  <si>
    <t>KE51/KE52: Jurisdiction code</t>
  </si>
  <si>
    <t>BAPI_PROFITCENTER_CREATE/CHANGE - languages</t>
  </si>
  <si>
    <t>1KE4N: Profit center group is truncated</t>
  </si>
  <si>
    <t>KE53/KE54: Error message if user does not exist</t>
  </si>
  <si>
    <t>EC-PCA-TP</t>
  </si>
  <si>
    <t>Transfer Prices</t>
  </si>
  <si>
    <t>TP: Termination ITAB_DUPLICATE_KEY on LT_MKPF</t>
  </si>
  <si>
    <t>EHS</t>
  </si>
  <si>
    <t>Environment, Health and Safety</t>
  </si>
  <si>
    <t>EHS-BD</t>
  </si>
  <si>
    <t>Basic Data and Tools</t>
  </si>
  <si>
    <t>EHS-BD-SPE</t>
  </si>
  <si>
    <t>Specification Mgmt</t>
  </si>
  <si>
    <t>Interface note: Conversion exit domain ESDSUBID</t>
  </si>
  <si>
    <t>Interface note: Conversion exit - functions</t>
  </si>
  <si>
    <t>EHS-DGP</t>
  </si>
  <si>
    <t>Dangerous Goods Management</t>
  </si>
  <si>
    <t>EHS-DGP-DOC</t>
  </si>
  <si>
    <t>Dangerous Goods Doc.</t>
  </si>
  <si>
    <t>Message type DESADV/SHPADV: Syntax error in IDoc</t>
  </si>
  <si>
    <t>EHS-DGP-MD</t>
  </si>
  <si>
    <t>DGR1 does not display hazard inducer MP2 and prefix/suffix</t>
  </si>
  <si>
    <t>EP</t>
  </si>
  <si>
    <t>Enterprise Portal</t>
  </si>
  <si>
    <t>EP-PCT</t>
  </si>
  <si>
    <t>Portal Content</t>
  </si>
  <si>
    <t>EP-PCT-MAN</t>
  </si>
  <si>
    <t>Manufacturing Packages</t>
  </si>
  <si>
    <t>EP-PCT-MAN-M</t>
  </si>
  <si>
    <t>BP for Manufacturing</t>
  </si>
  <si>
    <t>Syntax error in BSP application in plant manager</t>
  </si>
  <si>
    <t>EP-PCT-PUR</t>
  </si>
  <si>
    <t>Purchasing Packages</t>
  </si>
  <si>
    <t>EP-PCT-PUR-BP</t>
  </si>
  <si>
    <t>BP for Buyer</t>
  </si>
  <si>
    <t>TREX search help for material/vendor not available on portal</t>
  </si>
  <si>
    <t>CPPR: Source of supply not taken over from vendor comparison</t>
  </si>
  <si>
    <t>CPPR: Create RFX not possible for PR with item release</t>
  </si>
  <si>
    <t>CPPR: PR which is not changeable not sent to ext. sourcing</t>
  </si>
  <si>
    <t>Wrong document type description in POWL Purchasing querys</t>
  </si>
  <si>
    <t>Deleted Outline item gets added back</t>
  </si>
  <si>
    <t>Create RFQ from portal, no reference to PR possible</t>
  </si>
  <si>
    <t>ME006 when creating RFQ with reference to PR in portal</t>
  </si>
  <si>
    <t>OBN to material master fails with formatted material number</t>
  </si>
  <si>
    <t>OBN to material master fails with formatted material</t>
  </si>
  <si>
    <t>FI</t>
  </si>
  <si>
    <t>FI-AA</t>
  </si>
  <si>
    <t>Missing authorization default values</t>
  </si>
  <si>
    <t>Name of depreciation area in language that does not exist</t>
  </si>
  <si>
    <t>Doku: Korrekturen FI-AA</t>
  </si>
  <si>
    <t>FI-AA-AA</t>
  </si>
  <si>
    <t>Resetting company code: ANLBZW is not deleted</t>
  </si>
  <si>
    <t>FI-AA-AA-A</t>
  </si>
  <si>
    <t>BAPI_FIXEDASSET_GETLIST: Authorization check</t>
  </si>
  <si>
    <t>Entries in ANLBZA for deleted depreciation area</t>
  </si>
  <si>
    <t>SV 510 when saving "define field transfer" process</t>
  </si>
  <si>
    <t>AS02 Error F5567 if time-dependent data is changed</t>
  </si>
  <si>
    <t>AS03: No navigation to asset-specific base value percentages</t>
  </si>
  <si>
    <t>Err when creating fixed assets using BAPI (deactivatd areas)</t>
  </si>
  <si>
    <t>Transfer/transfer posting: ANLBZW is not transferred</t>
  </si>
  <si>
    <t>Inconsistency for screen layout rule</t>
  </si>
  <si>
    <t>Indicator ANLA-HAS_TTDP is inconsistent after change</t>
  </si>
  <si>
    <t>Transfer: ANLBZW updated with internal number</t>
  </si>
  <si>
    <t>Asset can be deleted even though documents/requests in FI-CA</t>
  </si>
  <si>
    <t>FI-AA-AA-B</t>
  </si>
  <si>
    <t>Transaction Figures</t>
  </si>
  <si>
    <t>Base val 10 does not take depreciatn of curr yr into account</t>
  </si>
  <si>
    <t>Transac. for fixed asset w/o amount during posting w/ BAPI</t>
  </si>
  <si>
    <t>FI-AA-AA-C</t>
  </si>
  <si>
    <t>Transactions</t>
  </si>
  <si>
    <t>ABT1: Missing asset values during transfer to new asset</t>
  </si>
  <si>
    <t>Transfer: Alternative transaction type in parallel currency</t>
  </si>
  <si>
    <t>BAPI: Acct assgmt objs in posting after master data change</t>
  </si>
  <si>
    <t>ABAA: Unjustified error F5 814</t>
  </si>
  <si>
    <t>FI-AA-AA-E</t>
  </si>
  <si>
    <t>Periodic Posting</t>
  </si>
  <si>
    <t>RAPOST2000: Performance problems in test run</t>
  </si>
  <si>
    <t>RAPOST2000 - Info for posting parameters</t>
  </si>
  <si>
    <t>FI-AA-AA-H</t>
  </si>
  <si>
    <t>Revaluation</t>
  </si>
  <si>
    <t>RAABST02: FAGL_EMU 007 when using several ledger groups</t>
  </si>
  <si>
    <t>Error AA660 by asset impairment with parallel areas</t>
  </si>
  <si>
    <t>FI-AA-IS</t>
  </si>
  <si>
    <t>Information System</t>
  </si>
  <si>
    <t>Reporting: RUNTIME error SAPSQL_CURSOR_ALREADY_OPEN</t>
  </si>
  <si>
    <t>Incorrect values in "Asset Balances for Group Assets"</t>
  </si>
  <si>
    <t>AW01N - No currency translation</t>
  </si>
  <si>
    <t>RASIMU_ALV01 displays incorrect depreciations posted</t>
  </si>
  <si>
    <t>RASIMU_ALV01 - No book value for fiscal year end</t>
  </si>
  <si>
    <t>FI-AP</t>
  </si>
  <si>
    <t>Accounts Payable</t>
  </si>
  <si>
    <t>Approver: Change to glossary definition needed</t>
  </si>
  <si>
    <t>CHECKMAN Issues</t>
  </si>
  <si>
    <t>FI-AP-AP</t>
  </si>
  <si>
    <t>Error message is raised on uploading the documents</t>
  </si>
  <si>
    <t>Column set are duplicate in filter of vendor sustainability</t>
  </si>
  <si>
    <t>FB60: Laufzeitfehler bei komplexer Suche nach Kreditor</t>
  </si>
  <si>
    <t>FI-AP-AP-A</t>
  </si>
  <si>
    <t>Pstng/Clrg/SpecG.Led</t>
  </si>
  <si>
    <t>EnjoySAP/address field: Country displayed in diff language</t>
  </si>
  <si>
    <t>Residual items when withholding tax with central invoice</t>
  </si>
  <si>
    <t>FB02: Error F5 348 when you change a retention FI document</t>
  </si>
  <si>
    <t>ENJOY: Berechtigungsprüfung Belegart bei Simulation</t>
  </si>
  <si>
    <t>FB01/FBV1: F4 help for reconciliation account</t>
  </si>
  <si>
    <t>FB60: Proposal for MWSKZ although rec. acct not tax-relevant</t>
  </si>
  <si>
    <t>FB65: Incorrect terms of payment with invoice reference</t>
  </si>
  <si>
    <t>FI-AP-AP-B</t>
  </si>
  <si>
    <t>Payment prg. /trnsf.</t>
  </si>
  <si>
    <t>F110: Selection of bank subaccount for RE items</t>
  </si>
  <si>
    <t>F110: Payment methods in language of country only</t>
  </si>
  <si>
    <t>Language of payment summary when using the PMW</t>
  </si>
  <si>
    <t>F110: Unjustified error message for ISR payments</t>
  </si>
  <si>
    <t>F110: Extended individual payment (10)</t>
  </si>
  <si>
    <t>V_T042E: Values change when navigating back</t>
  </si>
  <si>
    <t>F110/F111: "Superseding" SEPA mandates</t>
  </si>
  <si>
    <t>F110: Erweiterung der freien Selektionen</t>
  </si>
  <si>
    <t>F110 company code parameter: Error F0 004 unjustified</t>
  </si>
  <si>
    <t>F110: Unjustified error message FS 201</t>
  </si>
  <si>
    <t>F110/FBZ0: EDI payment advice note with alternative payee</t>
  </si>
  <si>
    <t>F110: Validity check of factory calendar in payment program</t>
  </si>
  <si>
    <t>Missing report title in ABAP report RFPYORDL</t>
  </si>
  <si>
    <t>F110: Grouping for individual payment and invoice reference</t>
  </si>
  <si>
    <t>F110: System terminates when processing a subgroup</t>
  </si>
  <si>
    <t>FBZ0: Display for vendor or customer account clearing</t>
  </si>
  <si>
    <t>F110: COLLECT_OVERFLOW during item processing</t>
  </si>
  <si>
    <t>F110: Missing initialization when creating posting items</t>
  </si>
  <si>
    <t>F110/SEPA: Incorrect assignment of document-related mandates</t>
  </si>
  <si>
    <t>FI-AP-AP-B1</t>
  </si>
  <si>
    <t>Payment transfer</t>
  </si>
  <si>
    <t>DMEE: AUTOPLAN1 format for Hongkong</t>
  </si>
  <si>
    <t>RFESR000: Document reversals and corrections not handled</t>
  </si>
  <si>
    <t>Ulster Bank: DMEE format tree IE_ULSTER</t>
  </si>
  <si>
    <t>RFFOIT_FOR: INF should be passed in P9 record</t>
  </si>
  <si>
    <t>RFEBNO00: Incorrect multicash files</t>
  </si>
  <si>
    <t>RFFOES_T:Country Code populated incorrectly for Special T/f</t>
  </si>
  <si>
    <t>RFFOGB_T: No END record in DME file for 'BACWAY' format</t>
  </si>
  <si>
    <t>V3 and V3_IZV: Telephone Number is incorrect in the DME file</t>
  </si>
  <si>
    <t>DMEE: GB_BACS: Wrong CONTRA entries in the DME file</t>
  </si>
  <si>
    <t>RFFOF__T: Wrong value in field dtadfrb-b4</t>
  </si>
  <si>
    <t>RFFOJP_T: Authorization value not present for Spool request</t>
  </si>
  <si>
    <t>RFFONL_A:Wrong information in record 22 for ISO country code</t>
  </si>
  <si>
    <t>FI-AP-AP-G</t>
  </si>
  <si>
    <t>Cl. Ops./Period-End</t>
  </si>
  <si>
    <t>Correspondence: Bank country and bank key not output</t>
  </si>
  <si>
    <t>F.18 (SAPF130K): Wrong status message</t>
  </si>
  <si>
    <t>FI-AP-AP-I</t>
  </si>
  <si>
    <t>B.Input/Data Transf.</t>
  </si>
  <si>
    <t>RFBIDE00/RFBIKR00: Termination during enhancement check</t>
  </si>
  <si>
    <t>Incorrect bank data can be copied</t>
  </si>
  <si>
    <t>FI-AP-AP-J</t>
  </si>
  <si>
    <t>Int./Acc.Interface</t>
  </si>
  <si>
    <t>Classificatn for FI docs from Logistics Invoice Verification</t>
  </si>
  <si>
    <t>BAPI: Alternative reconciliation account is not updated</t>
  </si>
  <si>
    <t>Note 1646319 is still too restrictive</t>
  </si>
  <si>
    <t>Difference in tax base in local currency for travel expenses</t>
  </si>
  <si>
    <t>KIDNO with check digit '-' for Norway</t>
  </si>
  <si>
    <t>Fehlerhafte Änderungsbelege bei FI_DOCUMENT_CHANGE</t>
  </si>
  <si>
    <t>Split for USA and Canada w/o line-by-line tax determination</t>
  </si>
  <si>
    <t>Note 1601586 : Split not executed for overflow of BSET-BUZEI</t>
  </si>
  <si>
    <t>Split as per Notes 1497092/1670486 for Morocco and Tunisia</t>
  </si>
  <si>
    <t>FI-AP-AP-M</t>
  </si>
  <si>
    <t>Ext. Interfaces</t>
  </si>
  <si>
    <t>INVOIC: Message FF 848</t>
  </si>
  <si>
    <t>INVOIC: Message FF 733</t>
  </si>
  <si>
    <t>FI-AP-AP-N</t>
  </si>
  <si>
    <t>Improved usability in vendor master data</t>
  </si>
  <si>
    <t>Customizing message F2 116</t>
  </si>
  <si>
    <t>Master data index: Tax numbers are not displayed</t>
  </si>
  <si>
    <t>Maintaining value added tax registration numbers for Monaco</t>
  </si>
  <si>
    <t>Umsatzsteueridentifikationsnummer für San Marino pflegen</t>
  </si>
  <si>
    <t>FI-AP-AP-Q</t>
  </si>
  <si>
    <t>WithholdingTax(Calc)</t>
  </si>
  <si>
    <t>7Q303 message is received while trying to create document</t>
  </si>
  <si>
    <t>BADI for India</t>
  </si>
  <si>
    <t>No error displayed although WT amnt in 2LC &gt; invoice amnt</t>
  </si>
  <si>
    <t>Incorrect value in field j_1af_wt_repbs</t>
  </si>
  <si>
    <t>Badi for India to handle DPC from MIRO</t>
  </si>
  <si>
    <t>P2P status partially kept with automatic withholding</t>
  </si>
  <si>
    <t>FI-AP-AP-Q1</t>
  </si>
  <si>
    <t>WithholdingTax(Rptg)</t>
  </si>
  <si>
    <t>RFKQST00: Columns inverted in F_RFKQST60_20 form</t>
  </si>
  <si>
    <t>RFIDYYWT: DP paid with BOE is not reporting correctly</t>
  </si>
  <si>
    <t>RFIDYYWT- MEXICO IDWTCERT_MX Changes</t>
  </si>
  <si>
    <t>RCT legal change- Issues with Payment Notification</t>
  </si>
  <si>
    <t>RF0KQST5:Illegal field format in withholding tax file output</t>
  </si>
  <si>
    <t>RFQSCI01-Performance issue</t>
  </si>
  <si>
    <t>IDWTCERT_PH_2307: Amount allignment in SMARTFORM</t>
  </si>
  <si>
    <t>RFKQSCI00: Formatting in SAP SCRIPT</t>
  </si>
  <si>
    <t>RFIDYYWT :Payment amount in Local Currency is incorrect</t>
  </si>
  <si>
    <t>Inclusion of Downpayment Chain documents for Ireland RCT</t>
  </si>
  <si>
    <t>RFIDYYWT: Bill Of Exchange documents not reporting correctly</t>
  </si>
  <si>
    <t>RF0KQST5 - missing withholding tax amount</t>
  </si>
  <si>
    <t>Italy legal change 2012 - RF0KQST5</t>
  </si>
  <si>
    <t>RFIDYYWT:Error in reporting of Down payments</t>
  </si>
  <si>
    <t>Ireland RCT - Vendor master badi implementaion update issue</t>
  </si>
  <si>
    <t>FI-AP-AP-W</t>
  </si>
  <si>
    <t>Pre Posting/Workflow</t>
  </si>
  <si>
    <t>FBV0: Doc. w/ tax itm and one-time acct itm cannot be posted</t>
  </si>
  <si>
    <t>FB02 sets workflow payment block in MIRO documents</t>
  </si>
  <si>
    <t>ENJOY: Posting/completely despite validation error V</t>
  </si>
  <si>
    <t>FV60: Runtime error SAPSQL_ARRAY_INSERT_DUPREC (VBKPF)</t>
  </si>
  <si>
    <t>FI-AR</t>
  </si>
  <si>
    <t>Accounts Receivable</t>
  </si>
  <si>
    <t>FI-AR-AR</t>
  </si>
  <si>
    <t>FI-AR-AR-A</t>
  </si>
  <si>
    <t>FB05/payment advice note: Differences handled incorrectly</t>
  </si>
  <si>
    <t>FB05/Distributn of remaining amt:Incorr text for reason code</t>
  </si>
  <si>
    <t>FBD2/FBM2: Error message FF-223 is unjustified</t>
  </si>
  <si>
    <t>FB05/Selection using payment ref no: Incorr vals in clearing</t>
  </si>
  <si>
    <t>FB70: Baseline date for payment not according to payt term</t>
  </si>
  <si>
    <t>FB05: SORT_ITAB_FIELD_INVALID during WBS element sorting</t>
  </si>
  <si>
    <t>FB01: Baseline date for payment not according to payt term</t>
  </si>
  <si>
    <t>FBE3: "Display from Line Item..." does not work</t>
  </si>
  <si>
    <t>FBRA: Possible to reset Biller Direct payments</t>
  </si>
  <si>
    <t>Clearing date and clearing year in cash discount documents</t>
  </si>
  <si>
    <t>FI-AR-AR-C</t>
  </si>
  <si>
    <t>Dunning/Interest</t>
  </si>
  <si>
    <t>FINT: Summarization and withholding tax</t>
  </si>
  <si>
    <t>Dun: Reprinting/ptg ind. dunning notice w/o open FI 00001020</t>
  </si>
  <si>
    <t>FINTSHOW does not reprint</t>
  </si>
  <si>
    <t>F150: Error during clearing if vendor has no open items II</t>
  </si>
  <si>
    <t>F150: Dunning interval is not taken into account III</t>
  </si>
  <si>
    <t>pdf-Formular als Mail kann nicht geöffnet werden</t>
  </si>
  <si>
    <t>FINT: Fehler MSINT343 unnötig nach Modifikation von INTITIT</t>
  </si>
  <si>
    <t>FINT bricht ab mit MSINT401</t>
  </si>
  <si>
    <t>SEND_PDF: Mailing PDF w/ confirmation of receipt/read notif.</t>
  </si>
  <si>
    <t>FINT erzeugt einen Spool-Auftrag pro pdf-Ausdruck</t>
  </si>
  <si>
    <t>FINT: MSINT401 if Customizing missing</t>
  </si>
  <si>
    <t>Error with variable in message MSINT446</t>
  </si>
  <si>
    <t>FI-AR-AR-D</t>
  </si>
  <si>
    <t>Reporting/Display</t>
  </si>
  <si>
    <t>RFDEPL00/RFKEPL00: Missng line in headr details in print (3)</t>
  </si>
  <si>
    <t>RFDOFW00/RFKOFW00: Batch heading - Company code name</t>
  </si>
  <si>
    <t>SAPDBBRF: SAPSQL_INVALID_FIELDNAME after SAP Note 1581699</t>
  </si>
  <si>
    <t>FS10: Transfer price authorization not always checked</t>
  </si>
  <si>
    <t>RFDEPL00 / RFKEPL00 / RFDOPO10: Interne Anpassungen</t>
  </si>
  <si>
    <t>FI-AR-AR-E</t>
  </si>
  <si>
    <t>Archiving</t>
  </si>
  <si>
    <t>FI Archiving: Dump occus when FI_ACCRECV_WRI is executed</t>
  </si>
  <si>
    <t>FI-AR-AR-G</t>
  </si>
  <si>
    <t>MP dummy note</t>
  </si>
  <si>
    <t>FI-AR-AR-H</t>
  </si>
  <si>
    <t>Bill of exchange</t>
  </si>
  <si>
    <t>FBWE: Supporting Payment Medium Workbench (PMW)</t>
  </si>
  <si>
    <t>Change of ALV display for bill/ex. list w/o bill/ex. usage</t>
  </si>
  <si>
    <t>FI-AR-AR-I</t>
  </si>
  <si>
    <t>Generated batch input session cannot be run in background</t>
  </si>
  <si>
    <t>RFBIDE20,RFBIKR20: Laufzeitfehler JOB_NOSTEPS</t>
  </si>
  <si>
    <t>FD15, FK15: Batch input session not created</t>
  </si>
  <si>
    <t>FI-AR-AR-N</t>
  </si>
  <si>
    <t>Addtnl taxes on sls/purchses IDs nt dsplayd corr in RFDKVZ00</t>
  </si>
  <si>
    <t>IBAN and BIC in SEPA mandate (customers)</t>
  </si>
  <si>
    <t>FI_APAR_SEPA_CONV: Mandate without payment method settings</t>
  </si>
  <si>
    <t>Bank details with mandate are (not) changeable</t>
  </si>
  <si>
    <t>SEPA-Mandate Debitoren: Debitor nicht angelegt</t>
  </si>
  <si>
    <t>FI_APAR_SEPA_CONV: Date and place of signature</t>
  </si>
  <si>
    <t>FI-AR-CR</t>
  </si>
  <si>
    <t>Credit Management</t>
  </si>
  <si>
    <t>FD32: Incorrect sales value displayed for child account</t>
  </si>
  <si>
    <t>FI-BL</t>
  </si>
  <si>
    <t>Bank-Related Accounting</t>
  </si>
  <si>
    <t>FI-BL-MD</t>
  </si>
  <si>
    <t>FI12: Direct entry of IBAN</t>
  </si>
  <si>
    <t>FI12: MESSAGE_TYPE_UNKNOWN</t>
  </si>
  <si>
    <t>FI-BL-PT</t>
  </si>
  <si>
    <t>Payment Transactions</t>
  </si>
  <si>
    <t>RVND - Down payments and baseline date for payment</t>
  </si>
  <si>
    <t>FI-BL-PT-BA</t>
  </si>
  <si>
    <t>bank statement</t>
  </si>
  <si>
    <t>Account statement: Customize message FB770</t>
  </si>
  <si>
    <t>SAP Note 1502796 is insufficient</t>
  </si>
  <si>
    <t>XSLT for camt053.001.02</t>
  </si>
  <si>
    <t>Error FB 888 when importing a camt054.001.02 file</t>
  </si>
  <si>
    <t>Electronic bank statement format BAI (as of EhP6)</t>
  </si>
  <si>
    <t>Electr bank stmnt in format BAI (as of EHP6):Dump due to msg</t>
  </si>
  <si>
    <t>ETEBAC: Note to payee truncated</t>
  </si>
  <si>
    <t>Print bank statement: Runtime error GETWA_NOT_ASSIGNED</t>
  </si>
  <si>
    <t>Kontoauszug: Falsche Buchungskreisbezeichnung im Kopftext</t>
  </si>
  <si>
    <t>Customer function module doesn't interpret note to payee</t>
  </si>
  <si>
    <t>BAdI für Camt.054 Nachricht, Split bei &lt;Ntry&gt;</t>
  </si>
  <si>
    <t>Elektr. Kontoauszug XML: 'TRANSLATE' kritisch</t>
  </si>
  <si>
    <t>FEB_BSPROC: Misleading log message when RFEBBU00 fails</t>
  </si>
  <si>
    <t>FI-BL-PT-CJ</t>
  </si>
  <si>
    <t>Cash Journal</t>
  </si>
  <si>
    <t>FBCJ: Update in TCJ_BALANCE missing, TCJ_BALANCE incorrect</t>
  </si>
  <si>
    <t>FBCJ/down payments: Message F5A 057</t>
  </si>
  <si>
    <t>FBCJ: FF 785 prevents posting even though it is deactivated</t>
  </si>
  <si>
    <t>FBCJ: Incorr balance display w/ extended withholding tax II</t>
  </si>
  <si>
    <t>FBCJ: Message FCJ 003 is unjustified</t>
  </si>
  <si>
    <t>FBCJ: General ledger account for down payments</t>
  </si>
  <si>
    <t>FBCJ: Down payment: UMSKZ missing in table TCJ_POSITIONS</t>
  </si>
  <si>
    <t>FBCJ: Text "Entry saved in cash journal" in language JA</t>
  </si>
  <si>
    <t>FI-BL-PT-FO</t>
  </si>
  <si>
    <t>payment forms</t>
  </si>
  <si>
    <t>IDOC : e1idb02-fiibkenn and e1idb02-fiibkukn are empty</t>
  </si>
  <si>
    <t>MT104: Per Specification tag 50 should be option A (not D).</t>
  </si>
  <si>
    <t>Dump CX_SY_RANGE_OUT_OF_BOUNDS when creating payment medium</t>
  </si>
  <si>
    <t>RFFOEDI1 PEXR2003: Segment E1IDKU6</t>
  </si>
  <si>
    <t>Zero net checks using PMW: Several entries in PAYR</t>
  </si>
  <si>
    <t>Termination in PMW with SAPSQL_ARRAY_INSERT_DUPREC (REGUTA)</t>
  </si>
  <si>
    <t>DTAZV with RFFOD__L: Ampersand is removed</t>
  </si>
  <si>
    <t>DTAZV with RFFOD__L: Reporting record with amount zero</t>
  </si>
  <si>
    <t>IDoc: User exit for segment E1IDKU4 is processed twice</t>
  </si>
  <si>
    <t>SEPA: Field UltmtCdtr/UltmtDbtr filled in one-time accounts</t>
  </si>
  <si>
    <t>Zero-net check: Only the first check is printed</t>
  </si>
  <si>
    <t>PMW/DTAZV: Special character '&amp;' to be included as valid.</t>
  </si>
  <si>
    <t>Dump in a RFFO* program: CX_SY_DYN_CALL_ILLEGAL_TYPE</t>
  </si>
  <si>
    <t>DTAZV: Transit trade: Field V10 should be empty</t>
  </si>
  <si>
    <t>PMW: Zugriff auf archivierte Zahlungsbegleitliste</t>
  </si>
  <si>
    <t>SEPA Direct Debit: Alternative debtor from the mandate</t>
  </si>
  <si>
    <t>FI-BL-PT-PR</t>
  </si>
  <si>
    <t>payment prog/request</t>
  </si>
  <si>
    <t>F111 Lock entries (REGUS) are not deleted</t>
  </si>
  <si>
    <t>F8BT Navigation to dependent documents</t>
  </si>
  <si>
    <t>short dump when saving items in OT81.</t>
  </si>
  <si>
    <t>F111 payment run job is not terminated</t>
  </si>
  <si>
    <t>F111: Validity check of factory calendar in payment program</t>
  </si>
  <si>
    <t>FI-BL-PT-US</t>
  </si>
  <si>
    <t>USbank statem/lockbx</t>
  </si>
  <si>
    <t>PreNote: Fill Acct holder name from Bank details in Pre-note</t>
  </si>
  <si>
    <t>PMW/ACH/IAT: Addenda count incorrect &amp; Unwanted Remit addend</t>
  </si>
  <si>
    <t>FCH8: HCM check Cancelation unable to undo Remit Acknowldgmt</t>
  </si>
  <si>
    <t>Dump in FI_UNDO_REMIT_ACKNOWLEDGE</t>
  </si>
  <si>
    <t>FPS3 issue - E20 company code does not exist.</t>
  </si>
  <si>
    <t>FI-FM</t>
  </si>
  <si>
    <t>Funds Management</t>
  </si>
  <si>
    <t>SAP F15 FBS Fallweise Deaktivierung AVK (E08)</t>
  </si>
  <si>
    <t>FI-GL</t>
  </si>
  <si>
    <t>General Ledger Acctg</t>
  </si>
  <si>
    <t>Korrekturen für Dokumentation NewGL EHP5: ALE, COGM, REORG</t>
  </si>
  <si>
    <t>HDBC: Corrections</t>
  </si>
  <si>
    <t>Unjustified error message FAGL_LEDGER_CUST068</t>
  </si>
  <si>
    <t>Business function FIn_GL_CI_3 not listed in Impact Analyzer</t>
  </si>
  <si>
    <t>FI-GL-BA</t>
  </si>
  <si>
    <t>Business Area Acctg</t>
  </si>
  <si>
    <t>Unique business area is not inherited</t>
  </si>
  <si>
    <t>SAPF180P / SAPF180S: Text elements with characters ';;'</t>
  </si>
  <si>
    <t>SAPF180A: Incorrect text in log</t>
  </si>
  <si>
    <t>FI-GL-CU</t>
  </si>
  <si>
    <t>Foreign Currency Accounting</t>
  </si>
  <si>
    <t>FI-GL-CU-MCA</t>
  </si>
  <si>
    <t>Multi Currency Accou</t>
  </si>
  <si>
    <t>Side-Panel Enhancements for MCA</t>
  </si>
  <si>
    <t>Documentation Balance Sheet Report</t>
  </si>
  <si>
    <t>Run time error GETWA_NOT_ASSIGNED during ECS posting</t>
  </si>
  <si>
    <t>Exchange rate deviates from table rate by ... %</t>
  </si>
  <si>
    <t>MCA Runadministration Resize of window fluhes grid</t>
  </si>
  <si>
    <t>MCA Mass Reversal: Reversal of MAR Runs not possible</t>
  </si>
  <si>
    <t>Workflow does not post released MCA document</t>
  </si>
  <si>
    <t>MCA: TX FBMCA08 expand selection screen</t>
  </si>
  <si>
    <t>MCA: Balance-Carry-Forward calls ADB average calculation</t>
  </si>
  <si>
    <t>FBMCA08: Display before reversal shows a Reversal Button</t>
  </si>
  <si>
    <t>MCA: Preventing parking in foreign currency position account</t>
  </si>
  <si>
    <t>MCA Mass Reversal overview shows reversed documents</t>
  </si>
  <si>
    <t>MCA Valuation: amount overflow</t>
  </si>
  <si>
    <t>FI-GL-FL</t>
  </si>
  <si>
    <t>Flexible Structures</t>
  </si>
  <si>
    <t>Erweiterung ERP2005+</t>
  </si>
  <si>
    <t>Account assignment enrichment of doc. splitting not complete</t>
  </si>
  <si>
    <t>Cash discount documents and document splitting</t>
  </si>
  <si>
    <t>Incomplete account assignment in company code clearing lines</t>
  </si>
  <si>
    <t>Error message F5 817 when posting in FI-SL</t>
  </si>
  <si>
    <t>Document splitting: Determination of base lines is incorrect</t>
  </si>
  <si>
    <t>Transferring functional area during JVA integration migratn</t>
  </si>
  <si>
    <t>Duplicate entries in F4 input help of FI-GL (new)</t>
  </si>
  <si>
    <t>Redundant data access to tables T8G30A, T8G30B</t>
  </si>
  <si>
    <t>Performance FAGL_SPL_ACCIT_GET</t>
  </si>
  <si>
    <t>FI-GL-GL</t>
  </si>
  <si>
    <t>NewGL: Summensatzmerkmale nicht vollständig - FIKRS fehlt</t>
  </si>
  <si>
    <t>FI-GL-GL-A</t>
  </si>
  <si>
    <t>Posting/Clearing</t>
  </si>
  <si>
    <t>FBR2: no warning message if equity group is inactive</t>
  </si>
  <si>
    <t>Dummy-Hinweis für dies &amp; das</t>
  </si>
  <si>
    <t>Cross-company-code recurring entries: Parallel currencies</t>
  </si>
  <si>
    <t>FB08: ACCPOSNR for documents with AWTYP &lt;&gt; BKPF</t>
  </si>
  <si>
    <t>FB05L: Selection using HKONT and XBLNR does not work</t>
  </si>
  <si>
    <t>FIN UI decoupling: Posting w/ ref. for ledger-specific docs.</t>
  </si>
  <si>
    <t>F.80/Cross-company-code documents: Message F5302</t>
  </si>
  <si>
    <t>FIN UI decoupling: Runtime error SAPSQL_ARRAY_INSERT_DUPREC</t>
  </si>
  <si>
    <t>RFOB5200 incorrectly ends with FC 452</t>
  </si>
  <si>
    <t>ENJOY VBUND cannot be changed after incorrect entry</t>
  </si>
  <si>
    <t>FBD1: Error F5 150 for recurring entries</t>
  </si>
  <si>
    <t>SAP F15 document checks when changing FI document</t>
  </si>
  <si>
    <t>Termination when generating payables</t>
  </si>
  <si>
    <t>FB03: No value displayed for SSBLK</t>
  </si>
  <si>
    <t>Copy verification document: incorrect document lines</t>
  </si>
  <si>
    <t>FIN UI decoupling: Runtime error ASSERTION_FAILED</t>
  </si>
  <si>
    <t>FI-GL-GL-ADB</t>
  </si>
  <si>
    <t>Average Daily Balanc</t>
  </si>
  <si>
    <t>ADB Move and Merge</t>
  </si>
  <si>
    <t>ADB Extractor: Performance improvement</t>
  </si>
  <si>
    <t>ADB Move and Merge: ignore missing average ledger</t>
  </si>
  <si>
    <t>FI-GL-GL-C</t>
  </si>
  <si>
    <t>Interest</t>
  </si>
  <si>
    <t>RFSZIS00: Too many lines in Interest rate overview</t>
  </si>
  <si>
    <t>FI-GL-GL-CUR</t>
  </si>
  <si>
    <t>Market Data Exchange</t>
  </si>
  <si>
    <t>Enhanced Documentation for MD Exchange Rate</t>
  </si>
  <si>
    <t>FI-GL-GL-D</t>
  </si>
  <si>
    <t>FAGLL03: Special fields not filled for archived items</t>
  </si>
  <si>
    <t>FAGLL03: SAPSQL_STMNT_TOO_LARGE in case of external call</t>
  </si>
  <si>
    <t>FAGLB03: 'Transfer Price Valuations' incorrect in SU22/SU24</t>
  </si>
  <si>
    <t>FBL3N: SAPSQL_INVALID_FIELDNAME for "Funds center" selection</t>
  </si>
  <si>
    <t>FAGLB03: Version does not exist for general selections</t>
  </si>
  <si>
    <t>FAGLP03: ALV layout does not work on selection screen</t>
  </si>
  <si>
    <t>FAGLB03:Special periods not correct w/ shortened fiscal year</t>
  </si>
  <si>
    <t>FAGLL03: Call using RRI - year and period incorrect (2)</t>
  </si>
  <si>
    <t>FI-GL-GL-E</t>
  </si>
  <si>
    <t>FI_DOCUMNT_PST: Cannot enter year if flag 'Note Account Bal'</t>
  </si>
  <si>
    <t>FI-GL-GL-F</t>
  </si>
  <si>
    <t>Value Added Tax (VAT</t>
  </si>
  <si>
    <t>Message FS 895 if compression (BSET) is active</t>
  </si>
  <si>
    <t>MIRO: Tax tolerance check - error FF 707</t>
  </si>
  <si>
    <t>FBR1/FBR2: no parking if jurisdiction codes active</t>
  </si>
  <si>
    <t>Conversion difference btw local crcy &amp; 2nd/3rd local crcy</t>
  </si>
  <si>
    <t>IDoc/BAPI: BSET-KSCHL transferred empty so missing BSET recs</t>
  </si>
  <si>
    <t>RFASLDPC: Systems with different byte orders</t>
  </si>
  <si>
    <t>Tax Jurisdiction tax code I2 inconsistent Extd Remunern Li</t>
  </si>
  <si>
    <t>Tax amount is smaller than tax base (FF 747)</t>
  </si>
  <si>
    <t>FF747 when clearing down paymnt clearing w/ partial clearing</t>
  </si>
  <si>
    <t>MIRO: Tax amt in local crcy not calculated using exch rate</t>
  </si>
  <si>
    <t>PEO: Transactions do not display non-deductible amounts</t>
  </si>
  <si>
    <t>RFUMSV50: Incorrect batch input for coll. transfer posting</t>
  </si>
  <si>
    <t>Suppressing account check (input tax and output tax)</t>
  </si>
  <si>
    <t>RFASLD20: FR: Specification of special exchange rate type</t>
  </si>
  <si>
    <t>100% tax: Adjustment of tax base for all conditions</t>
  </si>
  <si>
    <t>Account and company code not displayed in message FF 848</t>
  </si>
  <si>
    <t>FS 716 "G/L account &amp; in tax code &amp; not found"</t>
  </si>
  <si>
    <t>FB60: FF 716 after replacing manual tax with calculation</t>
  </si>
  <si>
    <t>Check of tax in transaction FMBGM, ALE</t>
  </si>
  <si>
    <t>PEO: Doppelte Belege beim Erzeugen der Anpassungsbuchungen</t>
  </si>
  <si>
    <t>Take Input Jurisdiction code if decomposition fails</t>
  </si>
  <si>
    <t>RF_STEUERINFO: Endlosschleife, Speicherüberlauf</t>
  </si>
  <si>
    <t>RFUMSV00: Short dump COMPUTE_FLOAT_ZERODIVIDE</t>
  </si>
  <si>
    <t>BAPI: Transfer tax data on condition type level</t>
  </si>
  <si>
    <t>Warnungen (Steuern) erscheinen unnötigerweise (CK40N)</t>
  </si>
  <si>
    <t>FBR2: Non-deduct. dstbtl. input tx not distr. when amt chgd</t>
  </si>
  <si>
    <t>Balancing field in line not filled GLT2 201</t>
  </si>
  <si>
    <t>PEO: Berechtigungsprüfungen mit Neuem Hauptbuch FMPEBTIL</t>
  </si>
  <si>
    <t>F-54: exchange rate for BSET-LWBAS, -LWSTE</t>
  </si>
  <si>
    <t>RFASLD20: Deactivating reading VRN from master record</t>
  </si>
  <si>
    <t>RFASLD20: Fehlerhafte Ausgabedatei bei Werksumlagerung</t>
  </si>
  <si>
    <t>RFUMSV10: Entry missing in totals list</t>
  </si>
  <si>
    <t>FI-GL-GL-F1</t>
  </si>
  <si>
    <t>VAT reporting</t>
  </si>
  <si>
    <t>Check Man Errors - Legal reporting</t>
  </si>
  <si>
    <t>RFASLD12:Wrong Info for CPD Customers</t>
  </si>
  <si>
    <t>RFUMSV00: Displays wrong fiscal year for input tax Thailand</t>
  </si>
  <si>
    <t>Performance issue in report RFBELJ10</t>
  </si>
  <si>
    <t>RFIDITSR00(FR) - New Declaration Format: RTE and ECO</t>
  </si>
  <si>
    <t>Model-347:Corrections for Withholding Tax,Incash Payments</t>
  </si>
  <si>
    <t>RFUVXX00 : Amendments in the XML-file of the VAT-report.</t>
  </si>
  <si>
    <t>FI: Potential Directory Traversal- Italy(RFIDITVCL)</t>
  </si>
  <si>
    <t>Model-347:Corrections for File Header,Quarterly split</t>
  </si>
  <si>
    <t>RFIDITSR00: Amounts not calculated properly.</t>
  </si>
  <si>
    <t>Several columns are incorrect in report RFCLLIB04_PE output.</t>
  </si>
  <si>
    <t>FOTV: Issue in opening the XML file from local PC</t>
  </si>
  <si>
    <t>RFCLLIB01:Displaying message New GL Accounting is not active</t>
  </si>
  <si>
    <t>VAT Pro-Rata: Fill in Tax Base amounts</t>
  </si>
  <si>
    <t>LU annual VAT return addtional correction</t>
  </si>
  <si>
    <t>RFIDITVCL: 3000 Euro Communication additional changes</t>
  </si>
  <si>
    <t>RFIDPL06: Header data is not filled properly in output list.</t>
  </si>
  <si>
    <t>SAFT-PT:Corrections RSAFT_PT_XML for 2010(48)</t>
  </si>
  <si>
    <t>LU eVAT: Changes 2012</t>
  </si>
  <si>
    <t>RFIDITVCL:Extension of the file name to 60 characters</t>
  </si>
  <si>
    <t>VAT Pro-Rata: Aggregation key length not long enough</t>
  </si>
  <si>
    <t>SAFT-PT:Corrections RSAFT_PT_XML for 2010(49)</t>
  </si>
  <si>
    <t>RFUVPT00 :Issue with the structure of the xml file.</t>
  </si>
  <si>
    <t>RFIDPL10 - Error in period interval on the report output.</t>
  </si>
  <si>
    <t>RFASLD20: EC Sales List PORTUGAL(Legal Change 2011)</t>
  </si>
  <si>
    <t>Issue in report RFUMPT00</t>
  </si>
  <si>
    <t>VAT Pro-Rata: Documents with 0% coefficient not considered</t>
  </si>
  <si>
    <t>RFASLD15(Corrections) required for Hungary</t>
  </si>
  <si>
    <t>RFUVPT00 and RFUMPT00 Legal Change 2012</t>
  </si>
  <si>
    <t>RFIDITBLIST: Dump after implementing Note 1703851</t>
  </si>
  <si>
    <t>RFUMPT00: Issue in documents having VAT with reverse subject</t>
  </si>
  <si>
    <t>RFKORDC1: GL account is not displayed when document is split</t>
  </si>
  <si>
    <t>RFIDMXFORMAT29: Corrections to several issues</t>
  </si>
  <si>
    <t>SAFT-PT:Corrections RSAFT_PT_XML for 2010(50)</t>
  </si>
  <si>
    <t>FI-GL-GL-G</t>
  </si>
  <si>
    <t>FC_VAL: Problems in update run, generated postings correct</t>
  </si>
  <si>
    <t>RFAWVZ40N: Checking display authorization for company code</t>
  </si>
  <si>
    <t>RFAWVZ40N: Z4 message from loan postings</t>
  </si>
  <si>
    <t>RFAWVZ40N: Reporting down payment postings</t>
  </si>
  <si>
    <t>RFAWVZ40N: Customer credit memos without invoice reference</t>
  </si>
  <si>
    <t>RFC for attachment list of original document: Corrections</t>
  </si>
  <si>
    <t>RFWERE00: Assignment BNG/GNB only based on D/C indicator</t>
  </si>
  <si>
    <t>F107, method 10: Items with a term of less than one month</t>
  </si>
  <si>
    <t>FAGL_FC_VAL: Clearing reset and realized differences</t>
  </si>
  <si>
    <t>FAGL_FCV: Company Code Authorization Check: Load Log</t>
  </si>
  <si>
    <t>FAGL_FC_VALUATION: P&amp;L target account in RXD adjustment</t>
  </si>
  <si>
    <t>FAGLF101: Memory Consumption</t>
  </si>
  <si>
    <t>FAGL_FC_VAL: Remeas. for third LC only if also for second LC</t>
  </si>
  <si>
    <t>FAGL_YEC_POSTINGS: Incorrect 3rd local currency amount.</t>
  </si>
  <si>
    <t>F107: Net amount of FVA incorrect</t>
  </si>
  <si>
    <t>FAGL_YEC_POSTINGS: Closing postings posted more than once.</t>
  </si>
  <si>
    <t>FAGL_FC_VALUATION: CONNE_IMPORT_WRONG_STRUCTURE</t>
  </si>
  <si>
    <t>FAGL_FC_VALUATION: Document Information in Posting List</t>
  </si>
  <si>
    <t>FAGL_FCV: Runtime error DYN_WHERE_PARSE_ERROR</t>
  </si>
  <si>
    <t>FAGLL03: Report-Report-Interface</t>
  </si>
  <si>
    <t>FAGL_FC_VAL: List of cleared items with zero adjustment</t>
  </si>
  <si>
    <t>FAGL_FC_VAL: Balance valuation, error FGV 005</t>
  </si>
  <si>
    <t>FAGL_YEC_POSTINGS_EHP4 posts amount divided by 100</t>
  </si>
  <si>
    <t>RFWERE00: Double select of items when cleared during run</t>
  </si>
  <si>
    <t>FAGLF101 runtime error COMPUTE_BCD_OVERFLOW</t>
  </si>
  <si>
    <t>RFBILA00N: Transaction Code</t>
  </si>
  <si>
    <t>The reversed amount is higher than the original doubdful one</t>
  </si>
  <si>
    <t>FAGL_FC_VALUATION: Reversal document to use negative posting</t>
  </si>
  <si>
    <t>FAGL_FC_VALUATION: Customized messages FR607 and FR886</t>
  </si>
  <si>
    <t>RFKKBU00_NACC: Items missing</t>
  </si>
  <si>
    <t>RFAWVZ40N: Credit memos/payt items with SCB ind. 600 and 810</t>
  </si>
  <si>
    <t>RFSUMB00: The 3rd local currency is the copy of 2nd LC bal.</t>
  </si>
  <si>
    <t>FAGL_CL_REGROUP: Configurable message FR894</t>
  </si>
  <si>
    <t>SAPF101: Incorrect postings for LC2/LC3 acc. to BWBER/OB22</t>
  </si>
  <si>
    <t>RFWERE00: Assignment of GNB/BNG</t>
  </si>
  <si>
    <t>FAGL_FC_VAL: Exchange rate not displayed correctly</t>
  </si>
  <si>
    <t>FAGL_FCV: Account determination and negative posting</t>
  </si>
  <si>
    <t>FAGL_FC_VALUATION: Messge log print format in spool</t>
  </si>
  <si>
    <t>CL_ALV_VARIANT: Runtime error IMPORT_DECOMPRESS_FAILED</t>
  </si>
  <si>
    <t>FI-GL-GL-I</t>
  </si>
  <si>
    <t>BSED-BOENO cannot be transferred using batch input</t>
  </si>
  <si>
    <t>COBL-VORNR_AUF cannot be filled using batch input</t>
  </si>
  <si>
    <t>FB05L: Fields do not exist on screen</t>
  </si>
  <si>
    <t>FI-GL-GL-J</t>
  </si>
  <si>
    <t>Assignment of accounts to accounting principles</t>
  </si>
  <si>
    <t>Analysis help for SAPSQL_ARRAY_INSERT_DUPREC in SAPLGLIU</t>
  </si>
  <si>
    <t>SAP Note 1353827 and cross-company code postings</t>
  </si>
  <si>
    <t>F5 279 when navigating to cross-company code document</t>
  </si>
  <si>
    <t>FI-GL-GL-M</t>
  </si>
  <si>
    <t>ALE FIDCCP02 error F5 346</t>
  </si>
  <si>
    <t>FI ALE: Transaction code has more than four characters</t>
  </si>
  <si>
    <t>FI-GL-GL-N</t>
  </si>
  <si>
    <t>Authorization check is incorrect</t>
  </si>
  <si>
    <t>MDGF: Error inbound financial report structure</t>
  </si>
  <si>
    <t>Replication FRS: To-account/to-functional area not filled</t>
  </si>
  <si>
    <t>Terminatn CX_FEH_CONSISTENCY_ERROR in Postprocessing Office</t>
  </si>
  <si>
    <t>FI-GL-GL-W</t>
  </si>
  <si>
    <t>FBV2/ALV grid control: Line cannot be deleted</t>
  </si>
  <si>
    <t>RFVBER00/FBV0 documents: Multiple line output</t>
  </si>
  <si>
    <t>EnjoySAP/Workflow: No "Display as list" during release</t>
  </si>
  <si>
    <t>FBV1/Schnellerfassung: kein Kopieren Segmenttext</t>
  </si>
  <si>
    <t>FI-GL-GL-X</t>
  </si>
  <si>
    <t>DB Inconsistencies</t>
  </si>
  <si>
    <t>FAGLF03: Runtime - buffer not initialized during doc check</t>
  </si>
  <si>
    <t>FAGL_ACTIVATE_OP: FAGL_SPLINFO is incorr (customer fields)</t>
  </si>
  <si>
    <t>FAGL_ACTIVATE_OP: Error message FAGL_LEDGER_CUST 023</t>
  </si>
  <si>
    <t>FI-GL-IS</t>
  </si>
  <si>
    <t>RFBILA00: Extract to Consolidation</t>
  </si>
  <si>
    <t>AIS: User group /SAPQUERY/AU: Query EB</t>
  </si>
  <si>
    <t>RFBILA10: Reporting for SL with Alternative Accounts</t>
  </si>
  <si>
    <t>RFBELJ10: Incorrect list width in printed output</t>
  </si>
  <si>
    <t>Electronic FS: FSE0_XBRL: Runtime error MESSAGE_TYPE_X</t>
  </si>
  <si>
    <t>Electronic financial statement: Incorrect totaling in P&amp;L</t>
  </si>
  <si>
    <t>EFS: Entry schema for GAAP tax local close</t>
  </si>
  <si>
    <t>E-Bilanz: Global Common Data(GCD)</t>
  </si>
  <si>
    <t>Elec. financial statement: Calculated profit not displayed</t>
  </si>
  <si>
    <t>RFSUSA00: Inccorect period names displayed</t>
  </si>
  <si>
    <t>E financial statement:GCD data - tax no. not ready for input</t>
  </si>
  <si>
    <t>GH109 displays wrong number of records</t>
  </si>
  <si>
    <t>Electronic fin statement: Err when transferring acct assgmt</t>
  </si>
  <si>
    <t>EFS: Bank and insurance provider taxonomies (supplement)</t>
  </si>
  <si>
    <t>EFS: Check for unassigned accounts/functional areas</t>
  </si>
  <si>
    <t>E-BilanZ GCD: Maintenance view customizing correction</t>
  </si>
  <si>
    <t>RFBILA00: Group Account number not displayed</t>
  </si>
  <si>
    <t>Financial Statements: Handling of different currency keys</t>
  </si>
  <si>
    <t>Electronic fin. data: FSE0_XBRL - incorrect account balance</t>
  </si>
  <si>
    <t>RFBILA10: No list generated</t>
  </si>
  <si>
    <t>EFS: Error 61 in RFGSBSTR when defining a debit/credit shift</t>
  </si>
  <si>
    <t>FGI0: Jump to another drilldown from an item fails</t>
  </si>
  <si>
    <t>Export to memory for Qatar in the report RFSSLD00</t>
  </si>
  <si>
    <t>EFS: Balance-dependent display is incorrect</t>
  </si>
  <si>
    <t>EFS: Balance-dependent display incorrect for of-which items</t>
  </si>
  <si>
    <t>FI-GL-MIG</t>
  </si>
  <si>
    <t>general ledger migration</t>
  </si>
  <si>
    <t>FI-GL-MIG-GL</t>
  </si>
  <si>
    <t>general ledger data</t>
  </si>
  <si>
    <t>newGL mig: work list of Open Items incorrectly filled</t>
  </si>
  <si>
    <t>Deadlocks with FAGL_MIG_SUBSEQ_POST when executed parallely</t>
  </si>
  <si>
    <t>Error messages from SD when generating doc splitting info II</t>
  </si>
  <si>
    <t>Missing accnt assgts in Phase0 docs during migration from SL</t>
  </si>
  <si>
    <t>Missing segments after migration to new general ledger</t>
  </si>
  <si>
    <t>Migration: Missing account assignment of RE_ACCOUNT</t>
  </si>
  <si>
    <t>Determination of base rows in migration is incorrect</t>
  </si>
  <si>
    <t>JVA NewGL Integration: split information not created</t>
  </si>
  <si>
    <t>JVA-NewGL Integration: Migration current year Test modus</t>
  </si>
  <si>
    <t>FI-GL-REO</t>
  </si>
  <si>
    <t>General Ledger Reorg</t>
  </si>
  <si>
    <t>FAGL_R_ASSETS_CONSISTENZ_CHECK: RSQL dump</t>
  </si>
  <si>
    <t>SEG: Failed split sim. leads to objects class. as 1st level</t>
  </si>
  <si>
    <t>PRCTR: Status when selecting sales document items</t>
  </si>
  <si>
    <t>PRCTR: Error FAGL_REORGANIZATION 505 - derivation hierarchy</t>
  </si>
  <si>
    <t>Profit center: Runtime error TSV_TNEW_PAGE_ALLOC_FAILED</t>
  </si>
  <si>
    <t>FI-GL-REO-AA</t>
  </si>
  <si>
    <t>Reorganization of As</t>
  </si>
  <si>
    <t>FAGL_ASSET_MASTERDATA_UPD generates transfer postings</t>
  </si>
  <si>
    <t>FI-GL-REO-BF</t>
  </si>
  <si>
    <t>BAdI FAGL_R_GENERATE: Status cannot be set</t>
  </si>
  <si>
    <t>Performance of WD applicatn for reorganizatn plan in detail</t>
  </si>
  <si>
    <t>Objects are not reorganized</t>
  </si>
  <si>
    <t>Job status display is unreliable</t>
  </si>
  <si>
    <t>Reorg Job bricht ab</t>
  </si>
  <si>
    <t>Runtime error ASSERTION_FAILED in CL_FAGL_R_OBJLIST...</t>
  </si>
  <si>
    <t>Runtime err. TSV_TNEW_PAGE_ALLOC_FAILED due to too many objs</t>
  </si>
  <si>
    <t>Source document of transfer posting is not displayed</t>
  </si>
  <si>
    <t>Rntme err TSV_TNEW_PAGE_ALLOC_FAILED due to too many objects</t>
  </si>
  <si>
    <t>No account assignment change for sales orders (XCLOSED = X)</t>
  </si>
  <si>
    <t>FI-GL-REO-CO</t>
  </si>
  <si>
    <t>PRCTR: Message text FAGL_REORGANIZATION 331 is imprecise</t>
  </si>
  <si>
    <t>Unsuitable message FAGL_REORGANIZATION 323</t>
  </si>
  <si>
    <t>PRCTR: Selection of CO objects using status</t>
  </si>
  <si>
    <t>FI-GL-REO-GL</t>
  </si>
  <si>
    <t>PRCTR/SEG: Runtime error during generation of receivables</t>
  </si>
  <si>
    <t>PRCTR/SEG: Meaningful message text for message 503</t>
  </si>
  <si>
    <t>PRCTR/SEG: Error message when generating AP/AR</t>
  </si>
  <si>
    <t>PRCTR/SEG: Error 534 for invoice-related items</t>
  </si>
  <si>
    <t>PRCTR/SEG: Short dump when generating AP/AR</t>
  </si>
  <si>
    <t>PRCTR: Meldung FAGL_REORGANIZATION 556 beim Generieren AP/AR</t>
  </si>
  <si>
    <t>PRCTR/SEG: Error message FAGL_REORGANIZATION 533</t>
  </si>
  <si>
    <t>PRCTR/SEG: Reassigned amount is incomplete for AP/AR</t>
  </si>
  <si>
    <t>PRCTR/SEG: Dump GLT0 000 BALANCE_CCODE after reorganization</t>
  </si>
  <si>
    <t>PRCTR: Incomplete selection of down payments</t>
  </si>
  <si>
    <t>FI-GL-REO-MM</t>
  </si>
  <si>
    <t>PRCTR: Error TYPE_NOT_FOUND for material object list</t>
  </si>
  <si>
    <t>PRCTR: Error SAPSQL_INVALID_TABLENAME in select_first in PO</t>
  </si>
  <si>
    <t>PRCTR: wrong balances of materials(object type MAT)</t>
  </si>
  <si>
    <t>PRCTR: purch. orders not reorganized - error in acc. assign.</t>
  </si>
  <si>
    <t>PRCTR: generating PO takes too long or ITAB_DUPLICATE_KEY</t>
  </si>
  <si>
    <t>PRCTR: multiple improvements in obj. type POA</t>
  </si>
  <si>
    <t>PRCTR: Runtime error ASSERTION_FAILED</t>
  </si>
  <si>
    <t>PRCTR: incorrect balance with purchase orders (PO or POA)</t>
  </si>
  <si>
    <t>PRCTR: Reorganization of purchase orders for ext. services</t>
  </si>
  <si>
    <t>FI-SL</t>
  </si>
  <si>
    <t>Special Purpose Ledger</t>
  </si>
  <si>
    <t>FI-SL-IS</t>
  </si>
  <si>
    <t>FI-SL-IS-A</t>
  </si>
  <si>
    <t>ReportWriter/Painter</t>
  </si>
  <si>
    <t>Report Painter: Formula editor does not provide variables</t>
  </si>
  <si>
    <t>Office Integration: Null values w/ plus/minus sign reversal</t>
  </si>
  <si>
    <t>FI/CO: Report call is not correct</t>
  </si>
  <si>
    <t>RW: Data is displayed at the incorrect location</t>
  </si>
  <si>
    <t>FI/CO: Incorrect column headers with RW reports</t>
  </si>
  <si>
    <t>Spool requests for department printer are not generated</t>
  </si>
  <si>
    <t>NEWGL: T881 entries not complete</t>
  </si>
  <si>
    <t>ReportWriter-Operators are replaced by variable name</t>
  </si>
  <si>
    <t>RW: Text/Value of text variable not displayed at the header</t>
  </si>
  <si>
    <t>Parameters not passed correctly via report interface</t>
  </si>
  <si>
    <t>AC: Deleted archive data is not displayed II</t>
  </si>
  <si>
    <t>CCSS:No Authority check for rolled up data in COSSP/COSPP.</t>
  </si>
  <si>
    <t>FI-SL-SL</t>
  </si>
  <si>
    <t>FI-SL-SL-A</t>
  </si>
  <si>
    <t>Negative posting: Problems with several transactions</t>
  </si>
  <si>
    <t>FI-SL-SL-J</t>
  </si>
  <si>
    <t>Int. / Direct Post.</t>
  </si>
  <si>
    <t>Analysis help (2) for SAPSQL_ARRAY_INSERT_DUPREC in SAPLGLIU</t>
  </si>
  <si>
    <t>FI-SL-SL-K</t>
  </si>
  <si>
    <t>FMPLCPD - raises error message K9 806 - "RACCT not found"</t>
  </si>
  <si>
    <t>RGLPLC00: TO_PER Fill in all required entry fields.</t>
  </si>
  <si>
    <t>FI-SL-SL-T</t>
  </si>
  <si>
    <t>Sets</t>
  </si>
  <si>
    <t>Unicode: Text indicator incorrectly set in tables</t>
  </si>
  <si>
    <t>ERP accelerators: Tables SETNODE and SETLEAF not required</t>
  </si>
  <si>
    <t>ERP Accelerators: Performance for hierarchy access</t>
  </si>
  <si>
    <t>No ALE change pointers using BAPI_COSTCENTERGROUP_CREATE</t>
  </si>
  <si>
    <t>FI-TV</t>
  </si>
  <si>
    <t>Business Trip Management</t>
  </si>
  <si>
    <t>FI-TV-COS</t>
  </si>
  <si>
    <t>Trip Costs</t>
  </si>
  <si>
    <t>TRIP/PR05: Message KI292</t>
  </si>
  <si>
    <t>RPR_AIRP_LRS_TO_FI: Inconsistent currency information</t>
  </si>
  <si>
    <t>RPR_AIRP_LRS_TO_FI: Rounding differences due to tax</t>
  </si>
  <si>
    <t>FIN</t>
  </si>
  <si>
    <t>Financials</t>
  </si>
  <si>
    <t>FIN-FB</t>
  </si>
  <si>
    <t>Financials Basis</t>
  </si>
  <si>
    <t>Central Dummy note for ERP Financials EHP6, EHP6 SoH</t>
  </si>
  <si>
    <t>FIN-FSCM</t>
  </si>
  <si>
    <t>Financial Supply Chain Management</t>
  </si>
  <si>
    <t>FIN-FSCM-BC</t>
  </si>
  <si>
    <t>Billing Consolidation</t>
  </si>
  <si>
    <t>FIN-FSCM-BC-CON</t>
  </si>
  <si>
    <t>EBPP Connectors</t>
  </si>
  <si>
    <t>EDX: EDX_LIST invalid error text</t>
  </si>
  <si>
    <t>EDX: Add Shipment ID to Outbound Information</t>
  </si>
  <si>
    <t>EDX: EDX_LIST wrong date in BD87, wrong detail displayed</t>
  </si>
  <si>
    <t>FIN-FSCM-BNK</t>
  </si>
  <si>
    <t>Direct Bank Communic</t>
  </si>
  <si>
    <t>BNK_MONI: Status not set to "Stmt Received"</t>
  </si>
  <si>
    <t>RBNK_MERGE_RESET: Restriction to batch number</t>
  </si>
  <si>
    <t>CPON: Long runtime for HR advance payments</t>
  </si>
  <si>
    <t>BCM: No alert during or after problems in file creation</t>
  </si>
  <si>
    <t>BCM: Alert table BNK_BTCH_TIMEOUT too large</t>
  </si>
  <si>
    <t>Returned Batches in the Workflow Inbox</t>
  </si>
  <si>
    <t>BNK_MONI: Poor performance II</t>
  </si>
  <si>
    <t>BNK_MONI: Authorization check for payments from HR</t>
  </si>
  <si>
    <t>CPON: Incorrect status "Batch partially processed"</t>
  </si>
  <si>
    <t>FTE_BSM: Posting to bank account in foreign currency</t>
  </si>
  <si>
    <t>CPON: Alert message without item number</t>
  </si>
  <si>
    <t>BNK_MONI: Additional information for batches</t>
  </si>
  <si>
    <t>Authorization check: Password change by signature user</t>
  </si>
  <si>
    <t>Rule maintenance: Short dump MESSAGE_TYPE_UNKNOWN</t>
  </si>
  <si>
    <t>BNK_MONI: Printing payment summary from transaction FDTA</t>
  </si>
  <si>
    <t>Message 601 601 when processing a batch</t>
  </si>
  <si>
    <t>RBNK_COM_SHOW_BTCH_APPR_LST Dump OBJECTS_OBJREF_NOT_ASSIGNED</t>
  </si>
  <si>
    <t>FIN-FSCM-CM</t>
  </si>
  <si>
    <t>Cash Management</t>
  </si>
  <si>
    <t>FF7B layout options disabled in menu</t>
  </si>
  <si>
    <t>FIN-FSCM-CM-CM</t>
  </si>
  <si>
    <t>Taking time zones into accnt for distributed cash management</t>
  </si>
  <si>
    <t>RFFVAL10 replaces RFFVAL00 due to poor performance</t>
  </si>
  <si>
    <t>Bus. function FIN_TRM_CM_DIMENSIONS should be reversible</t>
  </si>
  <si>
    <t>FFI: Duplicate entries in FDFIEP after doc. header change</t>
  </si>
  <si>
    <t>FF.D: No message issued if payment advices locked</t>
  </si>
  <si>
    <t>VER: Popup for data request in FF73 only if required</t>
  </si>
  <si>
    <t>FDFD Data correction using RFFDNA00 does not delete FDFIEP</t>
  </si>
  <si>
    <t>Follow-on Note for Note 1651178: Enhancement category T243e</t>
  </si>
  <si>
    <t>FIN-FSCM-CM-CM-LF</t>
  </si>
  <si>
    <t>Liquidity Forecast</t>
  </si>
  <si>
    <t>Bill doc. terminates w/ runtime err. COLLECT_OVERFLOW_TYPE_P</t>
  </si>
  <si>
    <t>FIN-FSCM-COL</t>
  </si>
  <si>
    <t>Collections Mgmt.</t>
  </si>
  <si>
    <t>FDM_INVOICE_MEMORY: Performance for reversed documents</t>
  </si>
  <si>
    <t>Worklist: Clearing documents not taken into account</t>
  </si>
  <si>
    <t>FDM_COLL_POST_MIRROR clears too many documents</t>
  </si>
  <si>
    <t>FDM_COLL01: Days in arrears for cleared items (2)</t>
  </si>
  <si>
    <t>Missing status information in F1 help</t>
  </si>
  <si>
    <t>Anlegen Zahlungsversprechen: Faxland fehlt (Fehler AM216)</t>
  </si>
  <si>
    <t>FDM_P2P_JUDGE: Performanceprobleme</t>
  </si>
  <si>
    <t>Forderungsbearbeitung: Überflüssige Sperreinträge</t>
  </si>
  <si>
    <t>Receivables processing: Default value for "Payments Since"</t>
  </si>
  <si>
    <t>FIN-FSCM-CR</t>
  </si>
  <si>
    <t>UKM_TRANSFER_VECTOR sometimes returns incorrect data</t>
  </si>
  <si>
    <t>Dokumentierte Kreditentscheidung: BADI UKM_CONV2PARTNER</t>
  </si>
  <si>
    <t>FIN-FSCM-DM</t>
  </si>
  <si>
    <t>Dispute Management</t>
  </si>
  <si>
    <t>FSCM: Sp GL Indicator Dispute Case update incorrect</t>
  </si>
  <si>
    <t>FSCM: Down payments are always recorded as paid in Disputes</t>
  </si>
  <si>
    <t>RFDM3000: Lockbox: No authorization for company code</t>
  </si>
  <si>
    <t>Error during automatic write-off after overpayment</t>
  </si>
  <si>
    <t>Plus/minus sign error in calculation of disputed objects</t>
  </si>
  <si>
    <t>Dump DBIF_RSQL_INVALID_RSQL: Defining document changes</t>
  </si>
  <si>
    <t>Update termination in Dispute Case Creation</t>
  </si>
  <si>
    <t>FIN-FSCM-TRM</t>
  </si>
  <si>
    <t>Treasury and Risk Ma</t>
  </si>
  <si>
    <t>SAP_APPL Badi für Zinskurvenframework</t>
  </si>
  <si>
    <t>Column 'Markup' in TV21</t>
  </si>
  <si>
    <t>Market Data Upload Texts</t>
  </si>
  <si>
    <t>TRCUT_CALUPL: error TR600 on uploading calendars</t>
  </si>
  <si>
    <t>FIN-FSCM-TRM-TM</t>
  </si>
  <si>
    <t>Transaction Manager</t>
  </si>
  <si>
    <t>Upload of Factory Calendars problems</t>
  </si>
  <si>
    <t>FIN-SEM</t>
  </si>
  <si>
    <t>Strategic Enterprise Management</t>
  </si>
  <si>
    <t>FIN-SEM-BCS</t>
  </si>
  <si>
    <t>Business Consolidat.</t>
  </si>
  <si>
    <t>SEM_BCS: Delivery of DataSource 0SEM_BCS_12</t>
  </si>
  <si>
    <t>FS</t>
  </si>
  <si>
    <t>Financial Services</t>
  </si>
  <si>
    <t>FS-BP</t>
  </si>
  <si>
    <t>BP_PAR module BPAR_C_BANK_KEY is used in background process</t>
  </si>
  <si>
    <t>BP_CVI: error messages when switching between BPs in dialog</t>
  </si>
  <si>
    <t>BP_CVI: Default values for customer company code data</t>
  </si>
  <si>
    <t>BP_CVI: Error due to missing company code authorization</t>
  </si>
  <si>
    <t>FS-CML</t>
  </si>
  <si>
    <t>Loans</t>
  </si>
  <si>
    <t>STM: Entering negative interest</t>
  </si>
  <si>
    <t>STM: Unjustified message 69 042 for amount per day</t>
  </si>
  <si>
    <t>IM</t>
  </si>
  <si>
    <t>Investment Management</t>
  </si>
  <si>
    <t>IM-FA</t>
  </si>
  <si>
    <t>Spec. investments</t>
  </si>
  <si>
    <t>IM-FA-IA</t>
  </si>
  <si>
    <t>Appropriation Req.</t>
  </si>
  <si>
    <t>IMA4N: Unjustified information, warning or error messages</t>
  </si>
  <si>
    <t>IMR6/IMR7: Approval year and version missing for variant</t>
  </si>
  <si>
    <t>Massenänderung/IMAM: Falscher Aufruf BAdI APPREQUEST_UPDATE</t>
  </si>
  <si>
    <t>IM-FA-IP</t>
  </si>
  <si>
    <t>Investment Program</t>
  </si>
  <si>
    <t>IM52: Unjustified message BP 741 or BP 668</t>
  </si>
  <si>
    <t>IMCRC3/4, IMCCP3/4, IMPBA3/4, IMCOC3/4: Check too weak</t>
  </si>
  <si>
    <t>IM22/IM23: Poor response times</t>
  </si>
  <si>
    <t>IM-FA-IS</t>
  </si>
  <si>
    <t>RAKOPL02: No account assignment to fund, funct. area, grant</t>
  </si>
  <si>
    <t>Missing plan values for networks in IM reporting</t>
  </si>
  <si>
    <t>IM reports do not permit valuation view 5</t>
  </si>
  <si>
    <t>IM reports do not permit valuation view 5 - part II</t>
  </si>
  <si>
    <t>IM-FA-PR</t>
  </si>
  <si>
    <t>Investment projects</t>
  </si>
  <si>
    <t>CJ01, CJ02, CJ20N: AuC for incorrect company code, plant</t>
  </si>
  <si>
    <t>IS</t>
  </si>
  <si>
    <t>Industry-Specific Components</t>
  </si>
  <si>
    <t>IS-A</t>
  </si>
  <si>
    <t>Industry-Specific Component Automotive</t>
  </si>
  <si>
    <t>IS-A-DBM</t>
  </si>
  <si>
    <t>Dealer Business Mgmt</t>
  </si>
  <si>
    <t>Price formulas and requirements for IS-A-DBM</t>
  </si>
  <si>
    <t>IS-A-GR</t>
  </si>
  <si>
    <t>Goods Receipt</t>
  </si>
  <si>
    <t>No transport assignment after automatic TPOP GR</t>
  </si>
  <si>
    <t>IS-A-HUM</t>
  </si>
  <si>
    <t>Handling Unit Manag.</t>
  </si>
  <si>
    <t>COWBPACK creates too many HUs due to EWM storage location</t>
  </si>
  <si>
    <t>IS-A-JIT</t>
  </si>
  <si>
    <t>Just-In-Time Processing</t>
  </si>
  <si>
    <t>IS-A-JIT-SMO</t>
  </si>
  <si>
    <t>SUMJC</t>
  </si>
  <si>
    <t>Core Enhancement Options for Industry Solution Correction</t>
  </si>
  <si>
    <t>IS-A-LMN</t>
  </si>
  <si>
    <t>Long Material Number</t>
  </si>
  <si>
    <t>Technical prerequisite for Note 1731306</t>
  </si>
  <si>
    <t>IS-ADEC</t>
  </si>
  <si>
    <t>Ind.-Spec.Comp. Aerospace&amp;Defense / Engineering&amp;Construction</t>
  </si>
  <si>
    <t>IS-ADEC-BOQ</t>
  </si>
  <si>
    <t>Bill of Quantity</t>
  </si>
  <si>
    <t>Performance problem in BOS with Billing Plan</t>
  </si>
  <si>
    <t>IS-ADEC-MPD</t>
  </si>
  <si>
    <t>Maintenance Program</t>
  </si>
  <si>
    <t>MPD: Missing check for multicounter plans enhancement</t>
  </si>
  <si>
    <t>IS-ADEC-MPN</t>
  </si>
  <si>
    <t>Manufacturer Part No</t>
  </si>
  <si>
    <t>MD04/ MD07: Ext manufacturer not displayed in material list</t>
  </si>
  <si>
    <t>IS-ADEC-ROT</t>
  </si>
  <si>
    <t>Rotable Mangement</t>
  </si>
  <si>
    <t>Technical prerequisite for Note 1729050</t>
  </si>
  <si>
    <t>BAPI_ALM_ORDER_MAINTAIN: Sales order is initialized</t>
  </si>
  <si>
    <t>Technical prerequisite for SAP Note 1761882</t>
  </si>
  <si>
    <t>IS-CC</t>
  </si>
  <si>
    <t>Convergent Charging</t>
  </si>
  <si>
    <t>Feld NAMESPACE nicht gefüllt für Zähler im Providervertrag</t>
  </si>
  <si>
    <t>IS-CWM</t>
  </si>
  <si>
    <t>Catch Weight Mgmnt</t>
  </si>
  <si>
    <t>Core Enhancement Options for Industry Solution</t>
  </si>
  <si>
    <t>IS-M</t>
  </si>
  <si>
    <t>Industry-Specific Component Media</t>
  </si>
  <si>
    <t>IS-M-MD</t>
  </si>
  <si>
    <t>IS-M-MD-BP</t>
  </si>
  <si>
    <t>BP upload, error when you change several sales areas</t>
  </si>
  <si>
    <t>IS-MP</t>
  </si>
  <si>
    <t>Industry-Specific Component Mill Products</t>
  </si>
  <si>
    <t>IS-MP-PP</t>
  </si>
  <si>
    <t>Technical prerequisite for SAP Note 1757935</t>
  </si>
  <si>
    <t>IS-OIL</t>
  </si>
  <si>
    <t>Industry-Specific Component Oil</t>
  </si>
  <si>
    <t>IS-OIL-DS</t>
  </si>
  <si>
    <t>Downstream</t>
  </si>
  <si>
    <t>IS-R</t>
  </si>
  <si>
    <t>Industry-Specific Component Retail</t>
  </si>
  <si>
    <t>IS-R-BD</t>
  </si>
  <si>
    <t>Basic Data</t>
  </si>
  <si>
    <t>IS-R-BD-ART</t>
  </si>
  <si>
    <t>Articles</t>
  </si>
  <si>
    <t>Posting termination during subsequent forecast creation</t>
  </si>
  <si>
    <t>BAPI: Pricing ref. art. not deleted for first distr. chain 2</t>
  </si>
  <si>
    <t>Missing sales tax data for maintaining generic articles</t>
  </si>
  <si>
    <t>Problems when you change general tax classifications</t>
  </si>
  <si>
    <t>Distribution of materials or articles in retail systems</t>
  </si>
  <si>
    <t>IS-R-BD-BBY</t>
  </si>
  <si>
    <t>Bonus Buy</t>
  </si>
  <si>
    <t>POS download of bonus buys: Warning WC 803 without text</t>
  </si>
  <si>
    <t>IS-R-BD-LST</t>
  </si>
  <si>
    <t>Listing</t>
  </si>
  <si>
    <t>Performance WSM3: Accesses to T001W and TVKWZ</t>
  </si>
  <si>
    <t>WRF_DIS_SEL error due to SAP Note 1711281</t>
  </si>
  <si>
    <t>Prepack articles: Deletion records are sent to POS</t>
  </si>
  <si>
    <t>IS-R-BD-MC</t>
  </si>
  <si>
    <t>Merchandise Categ.</t>
  </si>
  <si>
    <t>ALE outbound processing: W_WGRP-IDocs remain in status 30</t>
  </si>
  <si>
    <t>IS-R-BD-PCT</t>
  </si>
  <si>
    <t>Pricecatalogue</t>
  </si>
  <si>
    <t>IS-R-BD-PCT-IN</t>
  </si>
  <si>
    <t>Pricecatalogue Inbou</t>
  </si>
  <si>
    <t>PRICAT VEP Rules engine copy failure</t>
  </si>
  <si>
    <t>IS-R-BD-PR</t>
  </si>
  <si>
    <t>Seasonal / Promotion</t>
  </si>
  <si>
    <t>Theme field not ready for input</t>
  </si>
  <si>
    <t>WAK15 error message: Enter promotion number</t>
  </si>
  <si>
    <t>Parameter ID for purchasing organization is not used</t>
  </si>
  <si>
    <t>Subsequent processing: Price activation: "Back" pushbutton</t>
  </si>
  <si>
    <t>IS-R-BD-SIT</t>
  </si>
  <si>
    <t>Sites</t>
  </si>
  <si>
    <t>WRS1 and WRSZ entries during site import WBTI</t>
  </si>
  <si>
    <t>MVKE segments not created after you implement Note 1518800</t>
  </si>
  <si>
    <t>MERCHANDISE_GROUP_USE termination for large number</t>
  </si>
  <si>
    <t>WBTI selection texts wrong language or no parameters</t>
  </si>
  <si>
    <t>WR22 dynpro 1400: Modification not possible</t>
  </si>
  <si>
    <t>Site archiving WS_ACSITE_DELETE is incorrect</t>
  </si>
  <si>
    <t>IS-R-IFC</t>
  </si>
  <si>
    <t>Communications and Interfaces</t>
  </si>
  <si>
    <t>IS-R-IFC-IN</t>
  </si>
  <si>
    <t>POS Interface, Inb.</t>
  </si>
  <si>
    <t>RIS: Wrong posting to statistics from WPUBON IDOC</t>
  </si>
  <si>
    <t>Wrong interface parameter when calling FM "TH_WPINFO"</t>
  </si>
  <si>
    <t>IS-R-LG</t>
  </si>
  <si>
    <t>Merchandise Logistics</t>
  </si>
  <si>
    <t>IS-R-LG-IM</t>
  </si>
  <si>
    <t>Inventory Management</t>
  </si>
  <si>
    <t>GR Cancellation - Incorrect Account Assignment for Emptyline</t>
  </si>
  <si>
    <t>IS-R-PUR</t>
  </si>
  <si>
    <t>Purchasing</t>
  </si>
  <si>
    <t>IS-R-PUR-AHD</t>
  </si>
  <si>
    <t>Alt. Hist. Dat. For.</t>
  </si>
  <si>
    <t>MD04: "Period" not filled for AHD data in daily period</t>
  </si>
  <si>
    <t>IS-R-PUR-AL</t>
  </si>
  <si>
    <t>Allocation</t>
  </si>
  <si>
    <t>WA11: Idoc WALNOT01 getting stuck in status 30</t>
  </si>
  <si>
    <t>IS-R-PUR-FC</t>
  </si>
  <si>
    <t>Forecasting proc.</t>
  </si>
  <si>
    <t>Promotion smoothening not working properly in forecasting</t>
  </si>
  <si>
    <t>IS-R-PUR-LB</t>
  </si>
  <si>
    <t>Load Building</t>
  </si>
  <si>
    <t>WWP1:Incorrect Selection of Article using EXIT_SAPLWPOPO_001</t>
  </si>
  <si>
    <t>IS-R-PUR-PLW</t>
  </si>
  <si>
    <t>Planning Workbench</t>
  </si>
  <si>
    <t>WWP1: Vendor subrange not correctly selected</t>
  </si>
  <si>
    <t>IS-R-PUR-PO</t>
  </si>
  <si>
    <t>Purchase Order</t>
  </si>
  <si>
    <t>ME21n : ATP check for tied empties</t>
  </si>
  <si>
    <t>IS-R-PUR-RP</t>
  </si>
  <si>
    <t>Replenishment</t>
  </si>
  <si>
    <t>Check for reorder point greater than target stock in MM41/42</t>
  </si>
  <si>
    <t>LE</t>
  </si>
  <si>
    <t>LE-IDW</t>
  </si>
  <si>
    <t>Decentralized WMS Integration</t>
  </si>
  <si>
    <t>LE-IDW-CEN</t>
  </si>
  <si>
    <t>Central Processing</t>
  </si>
  <si>
    <t>VL06D: distribution failure returns improper error message</t>
  </si>
  <si>
    <t>LE-IEW</t>
  </si>
  <si>
    <t>Extended Warehouse Management Integration</t>
  </si>
  <si>
    <t>LE-IEW-INB</t>
  </si>
  <si>
    <t>Inbound Process</t>
  </si>
  <si>
    <t>Performance problems for expected goods receipt (EGR)</t>
  </si>
  <si>
    <t>EGR: Batch split confirmation from EWM not possible</t>
  </si>
  <si>
    <t>LE-IEW-OUT</t>
  </si>
  <si>
    <t>Outbound Process</t>
  </si>
  <si>
    <t>/SPE/DIRDLV 014 issued when adding packaging item in EWM</t>
  </si>
  <si>
    <t>Batch selection criteria replicated to EWM unnecessarily</t>
  </si>
  <si>
    <t>LE-IEW-RET</t>
  </si>
  <si>
    <t>Returns Process</t>
  </si>
  <si>
    <t>M7 021 issued during goods receipt correction</t>
  </si>
  <si>
    <t>LE-IEW-X</t>
  </si>
  <si>
    <t>Cross-Application</t>
  </si>
  <si>
    <t>Wrong Delivery Quantities for Material Staging in SAP EWM</t>
  </si>
  <si>
    <t>LE-MOB</t>
  </si>
  <si>
    <t>Mobile Devices</t>
  </si>
  <si>
    <t>LM02 : Wrong cursor position when entering verification</t>
  </si>
  <si>
    <t>LM50 : unwanted error message displayed during counting</t>
  </si>
  <si>
    <t>LM02 : Transfer Order confirmation with over quantity fails</t>
  </si>
  <si>
    <t>Bulk pick - Verification of destination bin is incorrect</t>
  </si>
  <si>
    <t>Transfer Order confirmation with over quantity fails</t>
  </si>
  <si>
    <t>LM61/LM71 : Material description missing</t>
  </si>
  <si>
    <t>LM12 wrong message when pressing F9 SLED if stock not exist</t>
  </si>
  <si>
    <t>LM19: quantity not fully displayed</t>
  </si>
  <si>
    <t>F5 Details in LM31 shows LM36, F3 Back returns to main menu</t>
  </si>
  <si>
    <t>LM61/LM71 - Deadlock during HU packing save</t>
  </si>
  <si>
    <t>LE-SHP</t>
  </si>
  <si>
    <t>LE-SHP-DL</t>
  </si>
  <si>
    <t>Delivery Processing</t>
  </si>
  <si>
    <t>Texts for time segments do not exist</t>
  </si>
  <si>
    <t>Creation of a delivery with incorrect HU goods mvt control</t>
  </si>
  <si>
    <t>No rounding differences for pricing in delivery</t>
  </si>
  <si>
    <t>Unwanted change of route dur. TO confirmation + batch split</t>
  </si>
  <si>
    <t>Warehouse Number on delivery header not filled II</t>
  </si>
  <si>
    <t>Incorrect outb.delivery reference in MBRL f.GR material doc.</t>
  </si>
  <si>
    <t>Order data not required during buffered reading</t>
  </si>
  <si>
    <t>Menu opt. for extended doc. flow is missing (FCODE EDOC_T)</t>
  </si>
  <si>
    <t>Error VL019 raised during creation or update delivery</t>
  </si>
  <si>
    <t>VL02N: Runtime error when you enter batch for batch split</t>
  </si>
  <si>
    <t>Error message VL 338 with termination in delivery of order</t>
  </si>
  <si>
    <t>MB1C: Inbound delivery created without batch</t>
  </si>
  <si>
    <t>Message VL331 for delivery items that were not generated</t>
  </si>
  <si>
    <t>ESOA_OPS01: Error message VL744 raised incorrectly</t>
  </si>
  <si>
    <t>LE-SHP-DL-BD</t>
  </si>
  <si>
    <t>Batch Determination</t>
  </si>
  <si>
    <t>Negative cumulated batch qty. after deleting delivery qty.</t>
  </si>
  <si>
    <t>LE-SHP-DL-CP</t>
  </si>
  <si>
    <t>CollectiveProcessing</t>
  </si>
  <si>
    <t>Translation missing in transaction VL10X</t>
  </si>
  <si>
    <t>VL10: Sold-to and Currency wrong in Replenishment Delivery</t>
  </si>
  <si>
    <t>BAPI_DELIVERYPROCESSING_EXEC: issuing storage location</t>
  </si>
  <si>
    <t>BAPI_DELIVERYPROCESSING_EXEC: Valuation of Special Stock</t>
  </si>
  <si>
    <t>LE-SHP-DL-LA</t>
  </si>
  <si>
    <t>Inbound Delivery</t>
  </si>
  <si>
    <t>VL148 during Inbound Delivery creation with MIGO (HUM)</t>
  </si>
  <si>
    <t>Inbound delivery via IDoc: SC components for batch split</t>
  </si>
  <si>
    <t>VL31N/VL32N: No check on MPN material number</t>
  </si>
  <si>
    <t>Qty reversal from EWM does not post subcontracting comp.</t>
  </si>
  <si>
    <t>VL158 during GR with batch split and automatic batch</t>
  </si>
  <si>
    <t>No subcontracting comp. posting for new batch split items</t>
  </si>
  <si>
    <t>LE-SHP-DL-SIT</t>
  </si>
  <si>
    <t>Stock-In-Transit</t>
  </si>
  <si>
    <t>SIT indicator is not set in delivery</t>
  </si>
  <si>
    <t>Requirements update using SiT goods movement with IDoc</t>
  </si>
  <si>
    <t>Incorrect posting date for SiT cancellation using VLPOD</t>
  </si>
  <si>
    <t>SIT: VLPOD posts with incorrect movement type (687/601)</t>
  </si>
  <si>
    <t>LE-SHP-GF</t>
  </si>
  <si>
    <t>Price recalculation in delivery after billing doc. creation</t>
  </si>
  <si>
    <t>LE-SHP-GF-AC</t>
  </si>
  <si>
    <t>Availability control</t>
  </si>
  <si>
    <t>Delivery requirement remains in SCM / APO after PGI</t>
  </si>
  <si>
    <t>LE-SHP-GF-EDI</t>
  </si>
  <si>
    <t>EDI/ALE Delivery</t>
  </si>
  <si>
    <t>DELVRY: Serial Numbers without leading Zeros lead to Error</t>
  </si>
  <si>
    <t>LE-SHP-GF-ES</t>
  </si>
  <si>
    <t>Enterprise Services</t>
  </si>
  <si>
    <t>BAdI SHP_APPL_SE_OUTBDELIVUPDTRQ: Incorrect typing</t>
  </si>
  <si>
    <t>IF_SHP_APPL_SE_OBDLVRYCONFCRTR:Incorrect Parameter Type Def.</t>
  </si>
  <si>
    <t>SOA2Idoc/Idoc2SOA integration</t>
  </si>
  <si>
    <t>SOA2IDoc: No application-related error handling</t>
  </si>
  <si>
    <t>LE-SHP-GF-SUB</t>
  </si>
  <si>
    <t>Article Substitution</t>
  </si>
  <si>
    <t>Database access to order history not optimal (EKBE)</t>
  </si>
  <si>
    <t>LE-SHP-GF-WOM</t>
  </si>
  <si>
    <t>Warehouse Operation</t>
  </si>
  <si>
    <t>Runtime TSV_TNEW_PAGE_ALLOC_FAILED on Deliveries Tabstrip</t>
  </si>
  <si>
    <t>LE-SHP-GI</t>
  </si>
  <si>
    <t>Goods Issue</t>
  </si>
  <si>
    <t>No SiT goods movement in IS-A systems with Idoc, VLPODL/Q</t>
  </si>
  <si>
    <t>Subcontract order w/ acct. assignment for non-valuated mat.</t>
  </si>
  <si>
    <t>LE-SHP-PW</t>
  </si>
  <si>
    <t>Picking Waves</t>
  </si>
  <si>
    <t>VL35_S: message type 'X' - Entry missing in internal table</t>
  </si>
  <si>
    <t>LE-TRA</t>
  </si>
  <si>
    <t>Transportation</t>
  </si>
  <si>
    <t>LE-TRA-FC</t>
  </si>
  <si>
    <t>Transport Freight Processing</t>
  </si>
  <si>
    <t>LE-TRA-FC-AR</t>
  </si>
  <si>
    <t>Shipment cost document selection by entry date</t>
  </si>
  <si>
    <t>LE-TRA-FC-BW</t>
  </si>
  <si>
    <t>Business Information</t>
  </si>
  <si>
    <t>LBWE: Error message D0 322 for extract structure MC08TR0FKZ</t>
  </si>
  <si>
    <t>LE-TRA-XSI</t>
  </si>
  <si>
    <t>Express ship carrier</t>
  </si>
  <si>
    <t>XSI data deleted during PGI</t>
  </si>
  <si>
    <t>Endless loop and Short Dump when viewing Document Flow</t>
  </si>
  <si>
    <t>LE-WM</t>
  </si>
  <si>
    <t>Warehouse Management</t>
  </si>
  <si>
    <t>Material document number not filled in LX12 list</t>
  </si>
  <si>
    <t>Technical correction in Function Group LCAT</t>
  </si>
  <si>
    <t>LE-WM-BIN</t>
  </si>
  <si>
    <t>SBL inventory</t>
  </si>
  <si>
    <t>Count date and counter not updated when bin counted empty</t>
  </si>
  <si>
    <t>LE-WM-GF</t>
  </si>
  <si>
    <t>Dynamic selection with storage unit leads to error</t>
  </si>
  <si>
    <t>LE-WM-IFC</t>
  </si>
  <si>
    <t>Interfaces</t>
  </si>
  <si>
    <t>LQ01: Hotspot navigation does not work</t>
  </si>
  <si>
    <t>LE-WM-MD</t>
  </si>
  <si>
    <t>LS07: Selection by special stock number in internal format</t>
  </si>
  <si>
    <t>No data transfer possible for storage bin verification field</t>
  </si>
  <si>
    <t>LE-WM-TFM</t>
  </si>
  <si>
    <t>Warehouse Movements</t>
  </si>
  <si>
    <t>LT13- Not possible to confirm transfer order with difference</t>
  </si>
  <si>
    <t>Automatic Transfer order creation from Inbound deliveries</t>
  </si>
  <si>
    <t>Transfer order creation fails</t>
  </si>
  <si>
    <t>Issue with the TO items sequence</t>
  </si>
  <si>
    <t>L3 035 for putaway of HU with same material item (2)</t>
  </si>
  <si>
    <t>WM batch determination display shows no results</t>
  </si>
  <si>
    <t>Identical and unnecessary selects on LQUA table</t>
  </si>
  <si>
    <t>LE-WM-TFM-PP</t>
  </si>
  <si>
    <t>WM-PP-Interface</t>
  </si>
  <si>
    <t>TOs for material staging partially created</t>
  </si>
  <si>
    <t>LE-WM-TFM-TR</t>
  </si>
  <si>
    <t>Transfer Requirement</t>
  </si>
  <si>
    <t>M3 752 is issued for inconsistent tranfer requirement</t>
  </si>
  <si>
    <t>LE-WM-VAS</t>
  </si>
  <si>
    <t>Value-Added Services</t>
  </si>
  <si>
    <t>Destination storage bin cannot be changed for VAS TO</t>
  </si>
  <si>
    <t>LO-AB</t>
  </si>
  <si>
    <t>Agency Business</t>
  </si>
  <si>
    <t>AB: Customer Line does not contain tax code</t>
  </si>
  <si>
    <t>AB: Item number assignment after deleting items</t>
  </si>
  <si>
    <t>AB: Dump in settlement document display(WLF3K) transaction</t>
  </si>
  <si>
    <t>AB: WZRK-Activity Reason not copied to the line level</t>
  </si>
  <si>
    <t>AB: Additional data, item, payment documents</t>
  </si>
  <si>
    <t>AB: Error when determining the NAV tax</t>
  </si>
  <si>
    <t>AB: Tax calc. error on trigger condition formula 252/253</t>
  </si>
  <si>
    <t>AB: WZRK-Errors on new doc. thru "Create with Reference"</t>
  </si>
  <si>
    <t>AB: VBD, error F5702 raises when doing a return</t>
  </si>
  <si>
    <t>AB: Profit center is not passed to VBD accounting document</t>
  </si>
  <si>
    <t>Report RWLF2063</t>
  </si>
  <si>
    <t>Vendor billing document: Tax is not redetermined</t>
  </si>
  <si>
    <t>TM integration: Other distribution algorithm</t>
  </si>
  <si>
    <t>AB: Unit of Measure not proposed from material</t>
  </si>
  <si>
    <t>AB: Missing reaction for Switch assignment in list report</t>
  </si>
  <si>
    <t>AB: WLR3 - Incorrect field alignment from EHP5</t>
  </si>
  <si>
    <t>AB: Tax Jurisdiction code error after "Copy with Reference"</t>
  </si>
  <si>
    <t>AB: External reference documents not saved</t>
  </si>
  <si>
    <t>AB: Multiple msgs after partial cancellation of payment list</t>
  </si>
  <si>
    <t>AB: Error WS833 in net value determination on price det.</t>
  </si>
  <si>
    <t>Vendor rebate arrangement leads to incorrect COPA values</t>
  </si>
  <si>
    <t>AB: Setting the update indicator for agency documents</t>
  </si>
  <si>
    <t>AB: Errors in change-BAPIs</t>
  </si>
  <si>
    <t>AB: Tax transfer when changes are made</t>
  </si>
  <si>
    <t>AB: Missing Plant ID (WERKS) on the new FI Document</t>
  </si>
  <si>
    <t>AB: BAdI at process type level</t>
  </si>
  <si>
    <t>AB: WRL1-wrong screen being opened after org. data input</t>
  </si>
  <si>
    <t>AB: External number range does not work correctly</t>
  </si>
  <si>
    <t>AB: Evaluation for shipment cost documents</t>
  </si>
  <si>
    <t>AB: Setting the update indicator for FI releases</t>
  </si>
  <si>
    <t>AB: Posting status for pro forma documents</t>
  </si>
  <si>
    <t>AB: Collective processing from hierarchy lists</t>
  </si>
  <si>
    <t>AB: Payment Method not included in customer header check</t>
  </si>
  <si>
    <t>AB: External number range does not work correctly (II)</t>
  </si>
  <si>
    <t>AB: Error in constructor CX_WZRE_ABORT_FATAL_ERROR</t>
  </si>
  <si>
    <t>LO-AB-II</t>
  </si>
  <si>
    <t>Incoming Invoices</t>
  </si>
  <si>
    <t>AB: Tax code check</t>
  </si>
  <si>
    <t>AB: Agency docs with one-time vendors and one-time customers</t>
  </si>
  <si>
    <t>AB: Errors in next screen control</t>
  </si>
  <si>
    <t>AB: Determining the dynamic data from list items</t>
  </si>
  <si>
    <t>LO-AB-RS</t>
  </si>
  <si>
    <t>Remuneration Settl.</t>
  </si>
  <si>
    <t>AB: BAPI_SINGLEREMUREQS_CREATEMULT - Short text not taken</t>
  </si>
  <si>
    <t>AB: Unnecessary splitting for vendor settlement</t>
  </si>
  <si>
    <t>AB: Transferring qual. for cash discount from info record</t>
  </si>
  <si>
    <t>AB: Company code validation at plant level</t>
  </si>
  <si>
    <t>LO-ADM</t>
  </si>
  <si>
    <t>Additionals Mgmt.</t>
  </si>
  <si>
    <t>SLS using CPO does not access reference EKORG</t>
  </si>
  <si>
    <t>Runtime problems when copying; VA01 for additionals</t>
  </si>
  <si>
    <t>LO-ARM</t>
  </si>
  <si>
    <t>Advanced Returns</t>
  </si>
  <si>
    <t>Replacement material text in wrong language</t>
  </si>
  <si>
    <t>Replacement Materials from Vendor process remains open</t>
  </si>
  <si>
    <t>Problems for customer returns with several items</t>
  </si>
  <si>
    <t>Multiple credit memo requests created with status 'Rejected'</t>
  </si>
  <si>
    <t>MESSAGE_TYPE_X runtime error after Credit Memo creation</t>
  </si>
  <si>
    <t>Several issues with valuation posting</t>
  </si>
  <si>
    <t>Inspection locking issues</t>
  </si>
  <si>
    <t>Next logical step missing after goods movement cancellation</t>
  </si>
  <si>
    <t>LO-ARM-INS</t>
  </si>
  <si>
    <t>Inspection</t>
  </si>
  <si>
    <t>MSR_INSPWH: replacement material number not found</t>
  </si>
  <si>
    <t>Incorrect selection using MSR_INSPWH with batch splits</t>
  </si>
  <si>
    <t>Multiple follow up documents created for inspection items</t>
  </si>
  <si>
    <t>LO-ARM-MM</t>
  </si>
  <si>
    <t>Quantity check for returns to vendor with reference</t>
  </si>
  <si>
    <t>LO-ARM-SD</t>
  </si>
  <si>
    <t>Sales</t>
  </si>
  <si>
    <t>MSR_CRD: Termination message V1854 copy config. material</t>
  </si>
  <si>
    <t>LO-ARM-WM</t>
  </si>
  <si>
    <t>Transfer Order creation issues</t>
  </si>
  <si>
    <t>LO-BM</t>
  </si>
  <si>
    <t>Batch Management</t>
  </si>
  <si>
    <t>LO-BM-AI</t>
  </si>
  <si>
    <t>Active Ingredients</t>
  </si>
  <si>
    <t>MWB1/MWB2: Message M3 132 is always issued as error message</t>
  </si>
  <si>
    <t>LO-BM-BC</t>
  </si>
  <si>
    <t>Batch Specification</t>
  </si>
  <si>
    <t>Batch is classified even though T156-KZCLA = space</t>
  </si>
  <si>
    <t>LO-BM-BD</t>
  </si>
  <si>
    <t>Batch check: LB051/VL215/40086 for suitable batch also</t>
  </si>
  <si>
    <t>VL01N: LB059 during batch determination</t>
  </si>
  <si>
    <t>Batch determ. w/out availability check(ATP):Runtime consumpt</t>
  </si>
  <si>
    <t>LO-BM-BF</t>
  </si>
  <si>
    <t>Missing batch characteristics in print job after batch det.</t>
  </si>
  <si>
    <t>BAPI_BATCH_CHANGE: Valuation type cannot be changed</t>
  </si>
  <si>
    <t>LO-BM-BH</t>
  </si>
  <si>
    <t>Batch History</t>
  </si>
  <si>
    <t>Missing standard entries for batch-related object types</t>
  </si>
  <si>
    <t>LO-BM-DOB</t>
  </si>
  <si>
    <t>Documentary Batches</t>
  </si>
  <si>
    <t>Documentary batches: Batch master for inbound delivery</t>
  </si>
  <si>
    <t>Technical note for new FM vbdbdm_docubatch_relevance</t>
  </si>
  <si>
    <t>Technical note for new FM vbdbdm_docubatch_relevance II</t>
  </si>
  <si>
    <t>Attachment for documentary batch X_BNCOM not filled</t>
  </si>
  <si>
    <t>BAdI method DOCUBATCHES_PRELOAD is not called for CO15</t>
  </si>
  <si>
    <t>Documentary batches LT11</t>
  </si>
  <si>
    <t>COGI: Already maintained documentary batches are missing</t>
  </si>
  <si>
    <t>Documentary batch: Batch does not exist M7042</t>
  </si>
  <si>
    <t>Lock problems for documentary batches</t>
  </si>
  <si>
    <t>LO-BM-DX</t>
  </si>
  <si>
    <t>VA01/VA02: Characteristic-based ATP cannot be changed</t>
  </si>
  <si>
    <t>LO-EWB</t>
  </si>
  <si>
    <t>Engineering Workbenc</t>
  </si>
  <si>
    <t>CPCC_S_TASK_LIST_MAINTAIN: Operation is not unique</t>
  </si>
  <si>
    <t>CEWB: Change documents for STUE_V missing (ALE)</t>
  </si>
  <si>
    <t>CPCC_S_TASK_LIST_MAINTAIN: Error for sequences</t>
  </si>
  <si>
    <t>BAPI_ROUTING_CREATE: Error in AEOI</t>
  </si>
  <si>
    <t>EWB: Error during component assignment (change states)</t>
  </si>
  <si>
    <t>CWBQM: Mass change: F4 sampling procedure</t>
  </si>
  <si>
    <t>BAPI_ROUTING_CREATE: Multiple seq and routing alternatives</t>
  </si>
  <si>
    <t>LO-GEN</t>
  </si>
  <si>
    <t>Generic Cross Application Components</t>
  </si>
  <si>
    <t>LO-GEN-EMF</t>
  </si>
  <si>
    <t>Enhanced Material</t>
  </si>
  <si>
    <t>Navigation to incorrect Sales order from Material View</t>
  </si>
  <si>
    <t>Incorrect sales org related data shown in results</t>
  </si>
  <si>
    <t>LO-GT</t>
  </si>
  <si>
    <t>Global Trade</t>
  </si>
  <si>
    <t>LO-GT-TEW</t>
  </si>
  <si>
    <t>Trading Execution WB</t>
  </si>
  <si>
    <t>TEW: Inbound delivery creation with ref. to multiple POs</t>
  </si>
  <si>
    <t>LO-HU</t>
  </si>
  <si>
    <t>Handling Unit Management</t>
  </si>
  <si>
    <t>LO-HU-IEW</t>
  </si>
  <si>
    <t>EWM HU Integration</t>
  </si>
  <si>
    <t>Issue with delivery item for auxiliary packaging material</t>
  </si>
  <si>
    <t>EWM integration message fails with error hugeneral062</t>
  </si>
  <si>
    <t>LO-HU-MD</t>
  </si>
  <si>
    <t>LO-HU-MD-PI</t>
  </si>
  <si>
    <t>HU Master Data Packi</t>
  </si>
  <si>
    <t>BAPI_HU_PI_CHANGE short texts deleted from packing instr.</t>
  </si>
  <si>
    <t>Matl/packing matl missing in pack. instructions search help</t>
  </si>
  <si>
    <t>POP2 the packing instruction will not be saved</t>
  </si>
  <si>
    <t>LO-HU-PR</t>
  </si>
  <si>
    <t>Processing</t>
  </si>
  <si>
    <t>Transfer order cannot be confirmed</t>
  </si>
  <si>
    <t>LO-INT</t>
  </si>
  <si>
    <t>ERP Logistic Integration</t>
  </si>
  <si>
    <t>LO-INT-ESO</t>
  </si>
  <si>
    <t>SAP Sourcing Integr.</t>
  </si>
  <si>
    <t>PO generation from SAP Sourcing fails as of 2nd item</t>
  </si>
  <si>
    <t>Currency conv. ratio ignored when extracting exchange rates</t>
  </si>
  <si>
    <t>Indirect currency conv ignored when extracting exchange rate</t>
  </si>
  <si>
    <t>LO-INT-TM</t>
  </si>
  <si>
    <t>Please use sub-components</t>
  </si>
  <si>
    <t>LO-INT-TM-DL</t>
  </si>
  <si>
    <t>Delivery w/o ref. - Incorrect TM control key</t>
  </si>
  <si>
    <t>Missing information in TRD0 message</t>
  </si>
  <si>
    <t>TM-Integration: Only batch split items can be packed</t>
  </si>
  <si>
    <t>VL10X: Selection of TM-relevant orders</t>
  </si>
  <si>
    <t>TM-Integration: error message VL561 raised</t>
  </si>
  <si>
    <t>TM integration: Missing business function switches</t>
  </si>
  <si>
    <t>EWM interface enhancement for TM integration</t>
  </si>
  <si>
    <t>New business function LOG_TM_ORD_INT_I</t>
  </si>
  <si>
    <t>LO-INT-TM-PUR</t>
  </si>
  <si>
    <t>No conversion factors sent for PO item without material no.</t>
  </si>
  <si>
    <t>BusDocFlwTMInfobyBusObjRefQry generated without TM_CTRL_KEY</t>
  </si>
  <si>
    <t>LO-INT-TM-SLS</t>
  </si>
  <si>
    <t>Performance when saving an order relevant for TM</t>
  </si>
  <si>
    <t>DeliveryProcessingStatusCode not set in TRS0 message</t>
  </si>
  <si>
    <t>No order scheduling performend for BAPI_SALESORDER_CHANGE</t>
  </si>
  <si>
    <t>TMS connection of sync.document schedul.sorting/other plants</t>
  </si>
  <si>
    <t>Order scheduling in TM cannot be activated in customizing</t>
  </si>
  <si>
    <t>Scheduling in TM for direct procurement in sales orders</t>
  </si>
  <si>
    <t>TMTRQINITIALSENDING NAST entry with user name</t>
  </si>
  <si>
    <t>Changing items that are not goods movement-relevant f. SO/PO</t>
  </si>
  <si>
    <t>LO-INT-TRM</t>
  </si>
  <si>
    <t>Treasury &amp; Risk Mgmt</t>
  </si>
  <si>
    <t>Commodity Management: Info Popup for Buss.Funct. Activation</t>
  </si>
  <si>
    <t>Raw Exposure based on CPE quotation group not correct</t>
  </si>
  <si>
    <t>LO-INT-TRM-PUR</t>
  </si>
  <si>
    <t>Raw exposure w/ zero quantity; STO w/ incorrect raw exposure</t>
  </si>
  <si>
    <t>LO-INT-TRM-SD</t>
  </si>
  <si>
    <t>Sales &amp; Distribution</t>
  </si>
  <si>
    <t>Delivery ignores adjustement conditions in sales order</t>
  </si>
  <si>
    <t>Raw exposure not deleted with delivery</t>
  </si>
  <si>
    <t>LO-LIS</t>
  </si>
  <si>
    <t>Logistics Information System</t>
  </si>
  <si>
    <t>LO-LIS-PLN</t>
  </si>
  <si>
    <t>Error when generating periods</t>
  </si>
  <si>
    <t>Missing sorting of planning versions</t>
  </si>
  <si>
    <t>Termination when calling flexible planning</t>
  </si>
  <si>
    <t>LO-MD</t>
  </si>
  <si>
    <t>Logistics Basic Data</t>
  </si>
  <si>
    <t>LO-MD-BOM</t>
  </si>
  <si>
    <t>Bills of Material</t>
  </si>
  <si>
    <t>ALE: Distribution of plant assignments locks lot of data</t>
  </si>
  <si>
    <t>IDOC : CONVT_NO_NUMBER when lot of sub items are processed</t>
  </si>
  <si>
    <t>IDOC_INPUT_BOMMAT log is not created during protected period</t>
  </si>
  <si>
    <t>DUMP: unable to interpret *000 as a number</t>
  </si>
  <si>
    <t>LO-MD-BP</t>
  </si>
  <si>
    <t>LO-MD-BP-CM</t>
  </si>
  <si>
    <t>Customer Master</t>
  </si>
  <si>
    <t>IDOC inbound: deletion of bank account without number</t>
  </si>
  <si>
    <t>Formatted sapscript text leads to user confusion</t>
  </si>
  <si>
    <t>ALE: Outbound deletion of dunning data does not replicate</t>
  </si>
  <si>
    <t>Formatted sapscript text leads to user confusion - 2</t>
  </si>
  <si>
    <t>BTE 1321 does not receive correct sapscript text update</t>
  </si>
  <si>
    <t>Error F2 154 not raised from external program</t>
  </si>
  <si>
    <t>LO-MD-BP-SYN</t>
  </si>
  <si>
    <t>Synchronization Busi</t>
  </si>
  <si>
    <t>Business Partner not saved when Customer Integration fails</t>
  </si>
  <si>
    <t>GET_DATA method does not return correct current state data</t>
  </si>
  <si>
    <t>Error VMD_API020 raised for vendor data in current state</t>
  </si>
  <si>
    <t>CVI: 'NOT ALL ADDRESS NUMBERS HAVE YET BEEN ISSUED' (AM 830)</t>
  </si>
  <si>
    <t>Contact person created with PARNR 0000000000</t>
  </si>
  <si>
    <t>Syntax error in VMD_EI_API_MEMORY in GET_GLOBAL_WYT1_LIST</t>
  </si>
  <si>
    <t>Business Transaction Event 00001320 is not triggered</t>
  </si>
  <si>
    <t>VMD_API: check for unicity of partner function</t>
  </si>
  <si>
    <t>SAPScript text sent in current state mode are not updated</t>
  </si>
  <si>
    <t>LO-MD-BP-VM</t>
  </si>
  <si>
    <t>Vendor Master</t>
  </si>
  <si>
    <t>Vendor Contact Person required can be avoided</t>
  </si>
  <si>
    <t>Data element LIFN2 has no Heading text</t>
  </si>
  <si>
    <t>CL_ERP_VENDOR_API change of Purchasing-Data not possible</t>
  </si>
  <si>
    <t>Contact person saved without relation to vendor</t>
  </si>
  <si>
    <t>VAT registration numbers not refreshed for update posting</t>
  </si>
  <si>
    <t>No change document for LFAS data created via ALE</t>
  </si>
  <si>
    <t>VAT registration numbers not refreshed for update - 2</t>
  </si>
  <si>
    <t>LO-MD-MG</t>
  </si>
  <si>
    <t>Material Groups</t>
  </si>
  <si>
    <t>Access to material groups in various languages</t>
  </si>
  <si>
    <t>LO-MD-MM</t>
  </si>
  <si>
    <t>Material Master</t>
  </si>
  <si>
    <t>Multiple info records exist for the same time frame</t>
  </si>
  <si>
    <t>MATMAS: EOIO support for IDoc-SOAP communication</t>
  </si>
  <si>
    <t>Changing field reference in material type with error</t>
  </si>
  <si>
    <t>Incorrect call of FB MLGT_ARRAY_READ_MATNR_ALL</t>
  </si>
  <si>
    <t>MMAM: Error MLCCS 099 if material ledger is active</t>
  </si>
  <si>
    <t>ALE/BAPI: Error M3 333 when changing units of measure</t>
  </si>
  <si>
    <t>Buffer still filled after recall</t>
  </si>
  <si>
    <t>Message M3132 is missing if valuation class is not specified</t>
  </si>
  <si>
    <t>Program termination with GETWA_NOT_ASSIGNED_RANGE</t>
  </si>
  <si>
    <t>Changes to tax data are not recognized</t>
  </si>
  <si>
    <t>Program termination with ASSIGN_LENGTH_0</t>
  </si>
  <si>
    <t>Change document of delivery unit contains BUoM</t>
  </si>
  <si>
    <t>Administrative data not subsequently built</t>
  </si>
  <si>
    <t>LO-MD-PPW</t>
  </si>
  <si>
    <t>Price Planning Workb</t>
  </si>
  <si>
    <t>Update Termination in transaction WRF_PPW03 (Dupl. Rec.)</t>
  </si>
  <si>
    <t>LO-MD-PR</t>
  </si>
  <si>
    <t>Promotion</t>
  </si>
  <si>
    <t>WAK10: Incorrect display for NVKP (standard sales price)</t>
  </si>
  <si>
    <t>Program termination WAK2: Detail view for material</t>
  </si>
  <si>
    <t>Markdown plan: No status change for mass maintenance</t>
  </si>
  <si>
    <t>Vendor Fund: Transfer to ERP from SAP PMR</t>
  </si>
  <si>
    <t>SAP_APPL: Add VF BO domains for ACTION_CODE and VDR_DL_TCD</t>
  </si>
  <si>
    <t>Price dependent article remains in ERP promo discount tab</t>
  </si>
  <si>
    <t>Promotion price changes are not handled after start date</t>
  </si>
  <si>
    <t>Promotional Price of a Generic Article is not set</t>
  </si>
  <si>
    <t>LO-MD-RA</t>
  </si>
  <si>
    <t>Assortment / Listing</t>
  </si>
  <si>
    <t>MM46: MALG data maintenance contains errors</t>
  </si>
  <si>
    <t>ARTE: Program termination with error message WRF_WLAY 038</t>
  </si>
  <si>
    <t>WS12/RWSIDOCLIKOND: No LIKOND IDoc is created (BD10)</t>
  </si>
  <si>
    <t>LO-MD-RPC</t>
  </si>
  <si>
    <t>Retail Pricing</t>
  </si>
  <si>
    <t>Sales price calculation: ALV list for list group C and D</t>
  </si>
  <si>
    <t>Error WV458 when changing the Valid From Data at item level</t>
  </si>
  <si>
    <t>BAPI_RPC_CALCULATE_PRICES does not save conditions</t>
  </si>
  <si>
    <t>VKP2: Incorrect additional prices for a sales price</t>
  </si>
  <si>
    <t>Sales price calculation: Runtime error BCD_ZERODIVIDE</t>
  </si>
  <si>
    <t>LO-MD-SN</t>
  </si>
  <si>
    <t>Serial Numbers</t>
  </si>
  <si>
    <t>RIMMSF00 - Valuation type stock without serial numbers</t>
  </si>
  <si>
    <t>Returns to vendor for vendor consignment BWA 161</t>
  </si>
  <si>
    <t>RIMMSF00 Improvement of performance for batch selection</t>
  </si>
  <si>
    <t>LO-MD-UID</t>
  </si>
  <si>
    <t>Unique Identificatio</t>
  </si>
  <si>
    <t>IE02: No message if UII is change to existing value</t>
  </si>
  <si>
    <t>LO-MDS</t>
  </si>
  <si>
    <t>Merchandise Distribution</t>
  </si>
  <si>
    <t>LO-MDS-AL</t>
  </si>
  <si>
    <t>Standardizing the Short Text form for a Yes Button in WA09</t>
  </si>
  <si>
    <t>LO-MDS-CPO</t>
  </si>
  <si>
    <t>Coll. Purchase Order</t>
  </si>
  <si>
    <t>WF10: Log appropriate error message for no vendor, werks etc</t>
  </si>
  <si>
    <t>WF10 : Short Dump MESSAGE_TYPE_X on START_TASK_CPO</t>
  </si>
  <si>
    <t>LO-MDS-DPR</t>
  </si>
  <si>
    <t>Distribution Procg</t>
  </si>
  <si>
    <t>Error in determining warehouse process method</t>
  </si>
  <si>
    <t>Non MD relevant OBD items replicated to EWM</t>
  </si>
  <si>
    <t>LO-PDM</t>
  </si>
  <si>
    <t>Product Data Mgmt.</t>
  </si>
  <si>
    <t>Metadata enhancement within CDMU package</t>
  </si>
  <si>
    <t>LO-PDM-GF</t>
  </si>
  <si>
    <t>General Functions</t>
  </si>
  <si>
    <t>LO-PDM-GF-OBR</t>
  </si>
  <si>
    <t>Repository Browser</t>
  </si>
  <si>
    <t>CC04: Display of deletion indicator for manufacturer parts</t>
  </si>
  <si>
    <t>LO-SCI</t>
  </si>
  <si>
    <t>Supply Chain Planning Interface (SCPI)</t>
  </si>
  <si>
    <t>LO-SCI-POI</t>
  </si>
  <si>
    <t>POI</t>
  </si>
  <si>
    <t>No update of sales order item for assembly</t>
  </si>
  <si>
    <t>Parallel POI transfer: dump DBIF_RSQL_SQL_ERROR</t>
  </si>
  <si>
    <t>LO-SPM</t>
  </si>
  <si>
    <t>Service Parts Management</t>
  </si>
  <si>
    <t>LO-SPM-INB</t>
  </si>
  <si>
    <t>BORGR/VL60: Sequence no. of transport obj. cannot be changed</t>
  </si>
  <si>
    <t>Handling units not created for partial goods receipt</t>
  </si>
  <si>
    <t>TPOP: Error message during delivery creation with IDoc</t>
  </si>
  <si>
    <t>Error message VL732 when change from EWM after partial GR</t>
  </si>
  <si>
    <t>Weights and volumes not transferred using SPED/VL60</t>
  </si>
  <si>
    <t>SPED: IBD creation fails with SAPSQL_ARRAY_INSERT_DUPREC</t>
  </si>
  <si>
    <t>VL60/BORGR: Lock remains after GR posting from display mode</t>
  </si>
  <si>
    <t>Error BORGR509 while creating inbound delivery out of EWM</t>
  </si>
  <si>
    <t>Partial cancelation of inbound delivery</t>
  </si>
  <si>
    <t>VLBAPI002 for SPED with valuation type split</t>
  </si>
  <si>
    <t>Function "Copy selected rows" in Vl60: LIPS-KZBEW not copied</t>
  </si>
  <si>
    <t>BORGR574 for partial goods receipt from EWM</t>
  </si>
  <si>
    <t>Delete inbound delivery via IDOC: EKES not updated</t>
  </si>
  <si>
    <t>Error message EI 596 when changing or deleting in VL60</t>
  </si>
  <si>
    <t>Error msg. ME 776 for inbound delivery confirmation from EWM</t>
  </si>
  <si>
    <t>EWM: Goods movement status for packaging item remains open</t>
  </si>
  <si>
    <t>EGRs can be created for POs that have not been released</t>
  </si>
  <si>
    <t>Error during IDoc processing for several inbound deliveries</t>
  </si>
  <si>
    <t>SPER or delete ID in VL60: error VL361 occurs</t>
  </si>
  <si>
    <t>BORGR574 when you change inbound delivery item in VL60/BORGR</t>
  </si>
  <si>
    <t>Inbound delivery is created despite plant inequality</t>
  </si>
  <si>
    <t>Distributing inbound deliv. items w/ AA but w/out material</t>
  </si>
  <si>
    <t>Runtime error OBJECTS_OBJREF_NOT_ASSIGNED when deleting EGR</t>
  </si>
  <si>
    <t>GR confirmation contains incorrect Base Unit of Measure</t>
  </si>
  <si>
    <t>Inbound delivery remains open after GR in overall status</t>
  </si>
  <si>
    <t>Creation date and time displayed incorrectly in VL60/BORGR</t>
  </si>
  <si>
    <t>2-step GR: Incorrect document flow update from MIGO</t>
  </si>
  <si>
    <t>VL66 does not remove temporary inbound deliveries completely</t>
  </si>
  <si>
    <t>VL282 when confirming delivery completed indicator from EWM</t>
  </si>
  <si>
    <t>LO-SPM-INB-VAL</t>
  </si>
  <si>
    <t>Validation Framework</t>
  </si>
  <si>
    <t>No check for incorrect means-of-transport type in VL60</t>
  </si>
  <si>
    <t>LO-SPM-OUT</t>
  </si>
  <si>
    <t>Outbound deliveries can no longer be distributed to EWM</t>
  </si>
  <si>
    <t>Delivery creation from CRM order fails in ERP</t>
  </si>
  <si>
    <t>06 070 'Enter a quantity' is issued during STO update</t>
  </si>
  <si>
    <t>LO-SPM-RET</t>
  </si>
  <si>
    <t>Complaints and Retur</t>
  </si>
  <si>
    <t>Returns delivery goods movement status reset</t>
  </si>
  <si>
    <t>Error VL402 for EWM partner confirmation to returns delivery</t>
  </si>
  <si>
    <t>VL 186 prevents delivery item completion (2)</t>
  </si>
  <si>
    <t>LO-SPM-STO</t>
  </si>
  <si>
    <t>Stock Transfers</t>
  </si>
  <si>
    <t>Competing RPOD outputs and missing purchasing block</t>
  </si>
  <si>
    <t>SPED failure: error message VL200 raised</t>
  </si>
  <si>
    <t>Issues with inbound delivery documents created via SPED</t>
  </si>
  <si>
    <t>SPED: Wrong Stock Type in Inbound Delivery</t>
  </si>
  <si>
    <t>Delivery type determination during SPED processing with SIT</t>
  </si>
  <si>
    <t>Missing output of error messages in SPED</t>
  </si>
  <si>
    <t>LO-SPM-X</t>
  </si>
  <si>
    <t>Cross-Application To</t>
  </si>
  <si>
    <t>Date change in production order leads to "Overstaging"</t>
  </si>
  <si>
    <t>Shortage requests from customer: Proof of delivery rejected</t>
  </si>
  <si>
    <t>Cross-docking: Wrong partner address copy</t>
  </si>
  <si>
    <t>Failure of delivery split in ERP - no automatic restart (2)</t>
  </si>
  <si>
    <t>No error message for delivery block for CRM POD confirmation</t>
  </si>
  <si>
    <t>Failure of delivery split in ERP - no automatic restart (3)</t>
  </si>
  <si>
    <t>Customer requests lead to incorrect POD quantities in ERP</t>
  </si>
  <si>
    <t>Split delivery is saved despite shipment locking error</t>
  </si>
  <si>
    <t>Wrong sort order of Partner Table in Delivery Split</t>
  </si>
  <si>
    <t>Variant config.</t>
  </si>
  <si>
    <t>Revision of user exit EXIT_SAPLCUKO_001</t>
  </si>
  <si>
    <t>EXIT_SAPLCUCQ_001: IV_OWNER_ID is not filled</t>
  </si>
  <si>
    <t>Missing status for the configuration in the sales order</t>
  </si>
  <si>
    <t>Assigned value using BAPI_CFGINST_CHARCS_VALS_SET</t>
  </si>
  <si>
    <t>SET processing after deleting BOMs</t>
  </si>
  <si>
    <t>CLD2: Performance prob.when object dependencies distributed</t>
  </si>
  <si>
    <t>CU50: Error for setting "No BOM explosion"</t>
  </si>
  <si>
    <t>Sequence of characteristic value assignment using API</t>
  </si>
  <si>
    <t>Interface design and class assignment</t>
  </si>
  <si>
    <t>Endless loop due to recursive class item II</t>
  </si>
  <si>
    <t>Observers generated unnecessarily</t>
  </si>
  <si>
    <t>Incorrect values in VCSD_UPDATE</t>
  </si>
  <si>
    <t>LO-VC-CHR</t>
  </si>
  <si>
    <t>Value Assignment</t>
  </si>
  <si>
    <t>Entry of lowercase letters not possible</t>
  </si>
  <si>
    <t>Field help for a restrictable characteristic -&gt; Display doc</t>
  </si>
  <si>
    <t>Input help: C1 841</t>
  </si>
  <si>
    <t>BAPI or IDoc: CU 111 DDB_REJECTS_CHANGE</t>
  </si>
  <si>
    <t>LO-VC-PME</t>
  </si>
  <si>
    <t>Product Mod. Engine</t>
  </si>
  <si>
    <t>PMEVC: Error when saving knowledge base object</t>
  </si>
  <si>
    <t>LO-VC-WUI</t>
  </si>
  <si>
    <t>Variant Config.</t>
  </si>
  <si>
    <t>Input help: Restrictable numeric values are missing</t>
  </si>
  <si>
    <t>Multiple DMT call</t>
  </si>
  <si>
    <t>LOD</t>
  </si>
  <si>
    <t>OnDemand</t>
  </si>
  <si>
    <t>LOD-ESO</t>
  </si>
  <si>
    <t>Sourcing OnDemand</t>
  </si>
  <si>
    <t>LOD-ESO-ERP</t>
  </si>
  <si>
    <t>Enable Master Data for multi-backend</t>
  </si>
  <si>
    <t>MM</t>
  </si>
  <si>
    <t>MM-FT</t>
  </si>
  <si>
    <t>Foreign Trade</t>
  </si>
  <si>
    <t>MM-FT-GOV</t>
  </si>
  <si>
    <t>Declarations to Auth</t>
  </si>
  <si>
    <t>MEIS: Incorrect assignment for the goods receipt cancelation</t>
  </si>
  <si>
    <t>MM-IM</t>
  </si>
  <si>
    <t>MM-IM-GF</t>
  </si>
  <si>
    <t>MM-IM-GF-ACT</t>
  </si>
  <si>
    <t>Account Determinatio</t>
  </si>
  <si>
    <t>MBST,MIGO,cancel,M8147,Entry:Acct determination not possible</t>
  </si>
  <si>
    <t>MM-IM-GF-BAPI</t>
  </si>
  <si>
    <t>BAPIs for Goods Move</t>
  </si>
  <si>
    <t>Incorrect conversion factor for batches with product units</t>
  </si>
  <si>
    <t>MM-IM-GF-BM</t>
  </si>
  <si>
    <t>Goods Movmts. w. Bat</t>
  </si>
  <si>
    <t>MAA: No batch classification in MIGO and BAPI</t>
  </si>
  <si>
    <t>Enhancement spot batch number assignment</t>
  </si>
  <si>
    <t>MSC2N: Error message M7 014 when changing status</t>
  </si>
  <si>
    <t>MM-IM-GF-COBL</t>
  </si>
  <si>
    <t>CO Account Assignmen</t>
  </si>
  <si>
    <t>MB21/MIGO: Profitability segment: Profit center not derived</t>
  </si>
  <si>
    <t>MAA2: MIGO/MB01: Error for account assignment to sales order</t>
  </si>
  <si>
    <t>MM-IM-GF-INC</t>
  </si>
  <si>
    <t>Stock Inconsistencie</t>
  </si>
  <si>
    <t>Preprocessor removed frm database consistency tools in MM-IM</t>
  </si>
  <si>
    <t>MM-IM-GF-LOCK</t>
  </si>
  <si>
    <t>Material Block</t>
  </si>
  <si>
    <t>Optimization of the lock logic for special stocks E and Q</t>
  </si>
  <si>
    <t>MM-IM-GF-PERF</t>
  </si>
  <si>
    <t>Performance</t>
  </si>
  <si>
    <t>MBGR: Redesign of selection for performance optimization</t>
  </si>
  <si>
    <t>MM-IM-GF-POVL</t>
  </si>
  <si>
    <t>Purchase Order Valua</t>
  </si>
  <si>
    <t>MAA2: Error M7 437 when reversing MM document item</t>
  </si>
  <si>
    <t>MAA2: Error M7 175 for goods receipt with serial numbers</t>
  </si>
  <si>
    <t>MAA2: Error AAPO 181 when posting with BAPI_GOODSMVT_CREATE</t>
  </si>
  <si>
    <t>MAA2: Error "Check table ESKN" for MB03 and MIGO</t>
  </si>
  <si>
    <t>MAA2: Error M7 437 for return delivery using MIGO</t>
  </si>
  <si>
    <t>MAA2: Rounding differences prevent GR reversal</t>
  </si>
  <si>
    <t>MM-IM-GF-REP</t>
  </si>
  <si>
    <t>IM Reporting, no LIS</t>
  </si>
  <si>
    <t>SiT: MB5T displays stock in transit after 411T</t>
  </si>
  <si>
    <t>MBLB: Multiple output of identical rows in output list</t>
  </si>
  <si>
    <t>MB5SIT: Runtime error TSV_TNEW_BLOCKS_NO_ROLL_MEMORY</t>
  </si>
  <si>
    <t>MM-IM-GF-SER</t>
  </si>
  <si>
    <t>Goods Movmts. w. Ser</t>
  </si>
  <si>
    <t>MIGO does not display serial numbers of an MM document item</t>
  </si>
  <si>
    <t>MM-IM-GF-TABL</t>
  </si>
  <si>
    <t>Cntrl. Tab. w/o Cust</t>
  </si>
  <si>
    <t>M7022 with MSSA-SABWE for goods receipt of special stock E/Q</t>
  </si>
  <si>
    <t>MM-IM-GF-VAL</t>
  </si>
  <si>
    <t>Goods Movement Valua</t>
  </si>
  <si>
    <t>Valuation class for issuing stock in transit using BAdI</t>
  </si>
  <si>
    <t>Return dely for materical doc BWA 101 value incorr crtpy10</t>
  </si>
  <si>
    <t>MM-IM-GI</t>
  </si>
  <si>
    <t>Goods Issue and Return Delivery</t>
  </si>
  <si>
    <t>MM-IM-GI-DET</t>
  </si>
  <si>
    <t>Stock Determination</t>
  </si>
  <si>
    <t>MIGO: Stock determination for split-valuated material</t>
  </si>
  <si>
    <t>MM-IM-GR</t>
  </si>
  <si>
    <t>MM-IM-GR-MIGO</t>
  </si>
  <si>
    <t>Goods Receipt from E</t>
  </si>
  <si>
    <t>MIGO: Vendor batch is initialized during transfer posting</t>
  </si>
  <si>
    <t>MIGO: Incorrect batch determination for subcontractor comp.</t>
  </si>
  <si>
    <t>MIGO: System proposes item from discount in kind twice</t>
  </si>
  <si>
    <t>Message M7838 when displaying/canceling material document</t>
  </si>
  <si>
    <t>MM-IM-GR-PO</t>
  </si>
  <si>
    <t>MB0A w/ "Via Handling Units" indicator leads to lock on LIKP</t>
  </si>
  <si>
    <t>Long runtime for goods receipt for purchase order</t>
  </si>
  <si>
    <t>MAA2: MB03 displays incorrect line number</t>
  </si>
  <si>
    <t>MB01: "Display Account Assignment" button is missing</t>
  </si>
  <si>
    <t>MB01: Pushbutton for displaying assignment missing (2)</t>
  </si>
  <si>
    <t>MM-IM-GR-SC</t>
  </si>
  <si>
    <t>Subcontracting</t>
  </si>
  <si>
    <t>MIGO/MB04: Error MIGO072 when SC subsequently adjusted</t>
  </si>
  <si>
    <t>MM-IM-PI</t>
  </si>
  <si>
    <t>Physical Inventory</t>
  </si>
  <si>
    <t>MM-IM-PI-BTC</t>
  </si>
  <si>
    <t>Batch Input PI</t>
  </si>
  <si>
    <t>MI34: Generated test file contains reason for diff. '0000'</t>
  </si>
  <si>
    <t>MI37: Runtime error 'DATA_LENGTH_0' when posting differences</t>
  </si>
  <si>
    <t>MM-IM-PI-CC</t>
  </si>
  <si>
    <t>Cycle Counting</t>
  </si>
  <si>
    <t>MICN: Materials incorrectly excluded as marked for deletion</t>
  </si>
  <si>
    <t>MM-IM-PI-REP</t>
  </si>
  <si>
    <t>Reporting PI</t>
  </si>
  <si>
    <t>MI20/MI24: Incorrect differences for auto. created documents</t>
  </si>
  <si>
    <t>MI22 - Flat list and information about inventory status</t>
  </si>
  <si>
    <t>MM-IM-RS</t>
  </si>
  <si>
    <t>Reservations</t>
  </si>
  <si>
    <t>MM-IM-RS-BAPI</t>
  </si>
  <si>
    <t>BAPIs for Reservatio</t>
  </si>
  <si>
    <t>BAPI_RESERVATION_CHANGE does not make changes</t>
  </si>
  <si>
    <t>MM-IM-ST</t>
  </si>
  <si>
    <t>Stock Transfer / Transfer Posting</t>
  </si>
  <si>
    <t>MM-IM-ST-PO</t>
  </si>
  <si>
    <t>Stock Transfer for S</t>
  </si>
  <si>
    <t>SiT: Error IO231 for GR with VLPOD and MvT 685 + 101</t>
  </si>
  <si>
    <t>VLPOD: M7347 or M7051 with material and split valuation</t>
  </si>
  <si>
    <t>SiT: M7064 during GR for OD w/o order acknowledgment reqmt</t>
  </si>
  <si>
    <t>LOG_MM_OM_1: Problems for one-step stock transfer</t>
  </si>
  <si>
    <t>MM-IM-VP</t>
  </si>
  <si>
    <t>Balance Sheet Val.</t>
  </si>
  <si>
    <t>Inflation accounting</t>
  </si>
  <si>
    <t>MRN9: Poor performance</t>
  </si>
  <si>
    <t>MRL3: Poor performance</t>
  </si>
  <si>
    <t>Balance sheet valuation: Poor performance due to MBEW access</t>
  </si>
  <si>
    <t>MRL4: Long runtime for valuation level - company code</t>
  </si>
  <si>
    <t>MRF1: Termination with exception TABLE_INVALID_INDEX</t>
  </si>
  <si>
    <t>Balance sheet valuation: Long runtime after SAP Note 1646791</t>
  </si>
  <si>
    <t>MRF3 MRL9: Variable package size for processing</t>
  </si>
  <si>
    <t>Bal. sheet valuation: Better performance when accessing MBEW</t>
  </si>
  <si>
    <t>Balance sheet valuation: Stk from year before last incorrect</t>
  </si>
  <si>
    <t>MRN1/MRN2: Too many plants are processed</t>
  </si>
  <si>
    <t>MRN1/MRN2: Termination due to memory overflow</t>
  </si>
  <si>
    <t>MRN9: Termination due to field overflow</t>
  </si>
  <si>
    <t>MM-IV</t>
  </si>
  <si>
    <t>Invoice Verification</t>
  </si>
  <si>
    <t>MM-IV-CA</t>
  </si>
  <si>
    <t>G/L Clearing Account</t>
  </si>
  <si>
    <t>MR11: Too many proposal lines for split valuation</t>
  </si>
  <si>
    <t>MR11 in the background selects incorrect TM documents</t>
  </si>
  <si>
    <t>MR11: Profit center does not display</t>
  </si>
  <si>
    <t>MM-IV-GF</t>
  </si>
  <si>
    <t>MM-IV-GF-CUST</t>
  </si>
  <si>
    <t>Customizing</t>
  </si>
  <si>
    <t>Customizing: Wrong text display for security retention</t>
  </si>
  <si>
    <t>MM-IV-INT</t>
  </si>
  <si>
    <t>MM-IV-INT-TAX</t>
  </si>
  <si>
    <t>Tax</t>
  </si>
  <si>
    <t>MIRO: Missing adjustment; tax rate to document exchange rate</t>
  </si>
  <si>
    <t>MRKO: Error message FF751</t>
  </si>
  <si>
    <t>MIRO: Incorrect tax base for unplanned delivery costs</t>
  </si>
  <si>
    <t>MM-IV-INT-WT</t>
  </si>
  <si>
    <t>Withholding Tax</t>
  </si>
  <si>
    <t>MIR7: ABAP runtime error for extended withholding tax</t>
  </si>
  <si>
    <t>MM-IV-LIV</t>
  </si>
  <si>
    <t>Logistics IV</t>
  </si>
  <si>
    <t>Wrong purchase order price unit with differential invocing</t>
  </si>
  <si>
    <t>MIRA: Scrolling multiple assignment (PO reference)</t>
  </si>
  <si>
    <t>MM-IV-LIV-BADI</t>
  </si>
  <si>
    <t>BADI</t>
  </si>
  <si>
    <t>MIRO: Performance issue with BAdI MRM_PARTNER_CHECK active</t>
  </si>
  <si>
    <t>MM-IV-LIV-BAPI</t>
  </si>
  <si>
    <t>BAPI</t>
  </si>
  <si>
    <t>BAPI: Error M8008 for BAPI_INCOMINGINVOICE_CREATE</t>
  </si>
  <si>
    <t>Error M8008 while trying to reverse invoice created via BAPI</t>
  </si>
  <si>
    <t>MM-IV-LIV-CAN</t>
  </si>
  <si>
    <t>Reversal</t>
  </si>
  <si>
    <t>MR8M: Error message ME708 for ME_READ_ITEM_INVOICE</t>
  </si>
  <si>
    <t>MR8M: Exchange rate differences for transfer prices</t>
  </si>
  <si>
    <t>MM-IV-LIV-CON</t>
  </si>
  <si>
    <t>Consignment Settlem</t>
  </si>
  <si>
    <t>MRKO: FI document split for consignment/pipeline settlement</t>
  </si>
  <si>
    <t>MM-IV-LIV-CRE</t>
  </si>
  <si>
    <t>Entry MIRO</t>
  </si>
  <si>
    <t>BAPI: Message M8_2 703</t>
  </si>
  <si>
    <t>MIRO: Input help for delivery notes not correct</t>
  </si>
  <si>
    <t>Transaction MIRO: Message log is not updated</t>
  </si>
  <si>
    <t>MIRO: Entered down payment clearing values are deleted</t>
  </si>
  <si>
    <t>MIRO: Missing EKBE for automatic down payment clearing</t>
  </si>
  <si>
    <t>MIR4/MIR6: Error M8880 with unplanned account assignment</t>
  </si>
  <si>
    <t>MIRO: Reference to delivery note is deleted</t>
  </si>
  <si>
    <t>BAdI: BAdI MRM_PARTNER_CHECK without message log parameter</t>
  </si>
  <si>
    <t>MIRO: Error message KI235</t>
  </si>
  <si>
    <t>MIRO: Invoice lines deleted during invoice reduction</t>
  </si>
  <si>
    <t>MIRO: Purchase order structure - Navigation to the documents</t>
  </si>
  <si>
    <t>MIRO: Error message M8079 for credit memo</t>
  </si>
  <si>
    <t>MIRO:Cancellation of enhancements for longer exchange rate</t>
  </si>
  <si>
    <t>Transfer of changed conditions in differential invoice</t>
  </si>
  <si>
    <t>Inkorrekt message M8108 when checking duplicate invoice</t>
  </si>
  <si>
    <t>MM-IV-LIV-PP</t>
  </si>
  <si>
    <t>Preliminary Posting</t>
  </si>
  <si>
    <t>MIR4: Balance error M8186 when posting invoice</t>
  </si>
  <si>
    <t>Park as complete: Error M8782</t>
  </si>
  <si>
    <t>MM-IV-LIV-REL</t>
  </si>
  <si>
    <t>Release</t>
  </si>
  <si>
    <t>MRBR: Incorrect difference values</t>
  </si>
  <si>
    <t>MRBR: Performance when releasing invoices</t>
  </si>
  <si>
    <t>MM-PUR</t>
  </si>
  <si>
    <t>MM-PUR-ADB</t>
  </si>
  <si>
    <t>Adobe document services in purchasing</t>
  </si>
  <si>
    <t>MM-PUR-ADB-PRN</t>
  </si>
  <si>
    <t>Document output</t>
  </si>
  <si>
    <t>Dump when printing purchase order with subitems</t>
  </si>
  <si>
    <t>MM-PUR-FIP</t>
  </si>
  <si>
    <t>Perishables Procure</t>
  </si>
  <si>
    <t>Dump DYNPRO_SEND_IN_BACKGROUND in Material Settings</t>
  </si>
  <si>
    <t>Monitor Goods Receipt: No vendor name available</t>
  </si>
  <si>
    <t>DL: error message no conversion factor for article an UoM</t>
  </si>
  <si>
    <t>DL: Open Order Qty not reduced by partial Goods receipt</t>
  </si>
  <si>
    <t>DL: On Stock Qty not getting refreshed</t>
  </si>
  <si>
    <t>User settings get lost for Quantity Assignment Details</t>
  </si>
  <si>
    <t>MM-PUR-GF</t>
  </si>
  <si>
    <t>ERP60EHP7: SAP_APPL 607: usage of generated line type</t>
  </si>
  <si>
    <t>MM-PUR-GF-ACC</t>
  </si>
  <si>
    <t>Account assignment</t>
  </si>
  <si>
    <t>MAA: Serial number management only allows whole numbers</t>
  </si>
  <si>
    <t>MAA: field status for new Ehp5 AA fields not always correct</t>
  </si>
  <si>
    <t>Field 'Budget Period' not transfer from MM to Accounting</t>
  </si>
  <si>
    <t>Functional area is initialized by system automatically</t>
  </si>
  <si>
    <t>MM-PUR-GF-ARC</t>
  </si>
  <si>
    <t>MM_EBAN: LOEKZ is not set for several PReqs</t>
  </si>
  <si>
    <t>RM06EW70: EKBE in archive file without currency</t>
  </si>
  <si>
    <t>ME23N: Display of archived purchasing document terminates</t>
  </si>
  <si>
    <t>MM-PUR-GF-ATP</t>
  </si>
  <si>
    <t>Availability check</t>
  </si>
  <si>
    <t>v_v2:planned delivery time is lost</t>
  </si>
  <si>
    <t>Preparation for SAP Note 1728630</t>
  </si>
  <si>
    <t>Field ATPCONFMRP not available at storage location level</t>
  </si>
  <si>
    <t>MM-PUR-GF-CAT</t>
  </si>
  <si>
    <t>Catalogues in Purcha</t>
  </si>
  <si>
    <t>Short dump in function module WSI_IMPORT_DATA</t>
  </si>
  <si>
    <t>Problem with uploading Sustainability record to catalog</t>
  </si>
  <si>
    <t>MM-PUR-GF-CO</t>
  </si>
  <si>
    <t>Commitment</t>
  </si>
  <si>
    <t>Wrong Funded Program used, Commitment updating: Requisition</t>
  </si>
  <si>
    <t>MM-PUR-GF-CON</t>
  </si>
  <si>
    <t>Confirmation Control</t>
  </si>
  <si>
    <t>long time for deletion of items in vl31n</t>
  </si>
  <si>
    <t>MM-PUR-GF-CPE</t>
  </si>
  <si>
    <t>CPE in MM</t>
  </si>
  <si>
    <t>Runtime error for quantity with 9 whole number places</t>
  </si>
  <si>
    <t>Incorrect raw exposure based on CPE condition</t>
  </si>
  <si>
    <t>MM-PUR-GF-DP</t>
  </si>
  <si>
    <t>Down Payment Process</t>
  </si>
  <si>
    <t>ME21N/ME22N: Advance payt not possible as % limited to 100</t>
  </si>
  <si>
    <t>Error message ME006 at Transaction FBRA</t>
  </si>
  <si>
    <t>down payment amount on header not calculated correctly</t>
  </si>
  <si>
    <t>F-54: Down payment clearing does not update FMIOI</t>
  </si>
  <si>
    <t>MM-PUR-GF-EDI</t>
  </si>
  <si>
    <t>Electronic Data</t>
  </si>
  <si>
    <t>E1EDP01-EMPST filled for KANBAN and non KANBAN rel. items</t>
  </si>
  <si>
    <t>ORDRSP not posted for PO with assigned release strategy</t>
  </si>
  <si>
    <t>Wrong netprice adopted when using currency without decimals</t>
  </si>
  <si>
    <t>MM-PUR-GF-ES</t>
  </si>
  <si>
    <t>Changed version of contract items not updated in ERP</t>
  </si>
  <si>
    <t>CCM: Net price defaulted to 1 for contract with future price</t>
  </si>
  <si>
    <t>VK024: Table 068 is not defined for use with condition type</t>
  </si>
  <si>
    <t>CCM: Master conditions incomplete or not created</t>
  </si>
  <si>
    <t>MEPO 303: PO is not getting created from the RFx response</t>
  </si>
  <si>
    <t>RABAX occurred on server side while testing SOA</t>
  </si>
  <si>
    <t>ME 083 'Enter xxx' for PurchaseOrderERPRequest_In_V1</t>
  </si>
  <si>
    <t>PurchaseOrderERPRequest_Out: Conf. control hardcoded</t>
  </si>
  <si>
    <t>CCM: Contract item with wrong target value (EKPO-ZWERT)</t>
  </si>
  <si>
    <t>Unknown account assignment category always set in CCM inb.</t>
  </si>
  <si>
    <t>Info Record conditions not updated by SRM Central Contract</t>
  </si>
  <si>
    <t>Update of Info Rec. cond. for multiple items not working</t>
  </si>
  <si>
    <t>MM-PUR-GF-F4</t>
  </si>
  <si>
    <t>Input Help</t>
  </si>
  <si>
    <t>Enterprise search: Activating data indexing</t>
  </si>
  <si>
    <t>Contract commitment: No F4 help for PSP element</t>
  </si>
  <si>
    <t>MM-PUR-GF-GR</t>
  </si>
  <si>
    <t>Interface-Gds receip</t>
  </si>
  <si>
    <t>EKBZ-SHKKO: GR value for subsequent settlement at GR cancel</t>
  </si>
  <si>
    <t>MRDC: No ERS settlement for delivery costs</t>
  </si>
  <si>
    <t>MM-PUR-GF-IR</t>
  </si>
  <si>
    <t>Interface - Invoice</t>
  </si>
  <si>
    <t>MIRO: Default value for freight costs is incorrect</t>
  </si>
  <si>
    <t>MIR7/MIRO: Incorrect retention amount for return items</t>
  </si>
  <si>
    <t>MIRO: Incorr. default val. for security retention for return</t>
  </si>
  <si>
    <t>MM-PUR-GF-MPN</t>
  </si>
  <si>
    <t>Manufacturer Part Nu</t>
  </si>
  <si>
    <t>MPN - MP01 allows overlapping validity periods</t>
  </si>
  <si>
    <t>MPN - MP02 'Deletion' box is open for update</t>
  </si>
  <si>
    <t>MM-PUR-GF-OC</t>
  </si>
  <si>
    <t>Message determinatio</t>
  </si>
  <si>
    <t>RM06ENMA: high memory usage</t>
  </si>
  <si>
    <t>MM-PUR-GF-PR</t>
  </si>
  <si>
    <t>Price Determination</t>
  </si>
  <si>
    <t>Price determin.determines precious metal conditn incorrctly</t>
  </si>
  <si>
    <t>MIRO: Currency conversion of freight costs</t>
  </si>
  <si>
    <t>MM-PUR-GF-RE</t>
  </si>
  <si>
    <t>Reporting</t>
  </si>
  <si>
    <t>ME3L: No total possible on result dialog box</t>
  </si>
  <si>
    <t>MEREP: filter on PO history not possible</t>
  </si>
  <si>
    <t>MM-PUR-GF-REL</t>
  </si>
  <si>
    <t>Release (Approval)</t>
  </si>
  <si>
    <t>ME_REL_INFO returns wrong data</t>
  </si>
  <si>
    <t>MM-PUR-GF-SC</t>
  </si>
  <si>
    <t>ME2ON: Delivery cannot be created for scheduling agreements</t>
  </si>
  <si>
    <t>HANA Performance issue when creating Goods Receipt</t>
  </si>
  <si>
    <t>MM-PUR-GF-STO</t>
  </si>
  <si>
    <t>Stock Transfer</t>
  </si>
  <si>
    <t>error consumption posting not allowed with SIT business func</t>
  </si>
  <si>
    <t>MM-PUR-GF-TP</t>
  </si>
  <si>
    <t>Third Party Order Pr</t>
  </si>
  <si>
    <t>Sales order document flow data not correctly updated</t>
  </si>
  <si>
    <t>VA02: Error message 06722 is too general</t>
  </si>
  <si>
    <t>MM-PUR-OA</t>
  </si>
  <si>
    <t>Outl. purch. agr.</t>
  </si>
  <si>
    <t>Release value calculated with wrong exchange rate</t>
  </si>
  <si>
    <t>Error MM_CCM 012 when displaying SRM contract no. in ERP</t>
  </si>
  <si>
    <t>Error 00 088 when a SRM Contract is displayed in ME33K</t>
  </si>
  <si>
    <t>Dump TABLE_INVALID_INDEX when leaving ME33K</t>
  </si>
  <si>
    <t>ME33K: Service item price is zero for SRM GOA</t>
  </si>
  <si>
    <t>MM-PUR-OA-BAPI</t>
  </si>
  <si>
    <t>BAPIs - Outline</t>
  </si>
  <si>
    <t>BAPI: CONVT_OVERFLOW in contract creation</t>
  </si>
  <si>
    <t>BAPI: KO_PRCTR not filled by BAPI_SAG_CREATE</t>
  </si>
  <si>
    <t>BAPI: MEPO 111 error in changing a schedule line</t>
  </si>
  <si>
    <t>Partner data adjustment with BAPI_SAG_CREATE ends in ME359</t>
  </si>
  <si>
    <t>BAPI_SCHEDULE_MAINTAIN: OBJECTS_OBJREF_NOT_ASSIGNED</t>
  </si>
  <si>
    <t>BAPI_SCHEDULE_MAINTAIN does not delete a schedule line</t>
  </si>
  <si>
    <t>BAPI_CONTRACT_GETDETAIL retrieves previous data</t>
  </si>
  <si>
    <t>Partner data adjustment with BAPI_SAG_CHANGE is inconsistent</t>
  </si>
  <si>
    <t>Messages from EXIT_SAPMM06E_012 abort BAPI process</t>
  </si>
  <si>
    <t>MM-PUR-OA-CON</t>
  </si>
  <si>
    <t>Contract</t>
  </si>
  <si>
    <t>Performance when Contract or SchedAgreement created/changed</t>
  </si>
  <si>
    <t>CCM: Master Cond. not created for non standard item cat.</t>
  </si>
  <si>
    <t>MM-PUR-OA-SCH</t>
  </si>
  <si>
    <t>Scheduling Agreement</t>
  </si>
  <si>
    <t>ME85/ME86 Performance (Kanban)</t>
  </si>
  <si>
    <t>MM-PUR-PO</t>
  </si>
  <si>
    <t>Purchase Orders</t>
  </si>
  <si>
    <t>ME22N: Copy Item - Stat. delivery date overwritten</t>
  </si>
  <si>
    <t>ME22N: Partner change might be ignored</t>
  </si>
  <si>
    <t>Creating info rec. for one-time vendor fails w/ error E:000</t>
  </si>
  <si>
    <t>Update Termination for POEXT when PO sent from SAP APO</t>
  </si>
  <si>
    <t>MM-PUR-PO-BAPI</t>
  </si>
  <si>
    <t>BAPIs - Purchase ord</t>
  </si>
  <si>
    <t>Tax code determination for BAPI_PO_CREATE1/BAPI_PO_CHANGE</t>
  </si>
  <si>
    <t>ME21N/BAPI_PO_CREATE - Shipping data is not filled</t>
  </si>
  <si>
    <t>BAPI: New BOM not generated with item category change</t>
  </si>
  <si>
    <t>BAPI: Blocked item creation doesn't fill Funds Management</t>
  </si>
  <si>
    <t>06022: lock entries gone when using BAPI_PO_CHANGE</t>
  </si>
  <si>
    <t>Components not updated by BAPI_PO_CHANGE</t>
  </si>
  <si>
    <t>BAPI: Invoice Value not populated for Payment Plan</t>
  </si>
  <si>
    <t>ME 083 'Enter Season' is raised for BAPI_PO_CHANGE</t>
  </si>
  <si>
    <t>Quantity conversion issue in Purchase Order APIs</t>
  </si>
  <si>
    <t>MESSAGE_TYPE_X when invoice plan should be created</t>
  </si>
  <si>
    <t>Messages from Funds Management validation without assignment</t>
  </si>
  <si>
    <t>BAPI: BAPI_PO_CHANGE changes accounting fields incorrectly</t>
  </si>
  <si>
    <t>06 413 when SRM PO with PReq ref. is created in backend</t>
  </si>
  <si>
    <t>CX_SY_REF_IS_INITIAL for BAPI_PO_GETDETAIL1 with SerialNumb.</t>
  </si>
  <si>
    <t>BAPI_PO_CHANGE resets deletion indicator</t>
  </si>
  <si>
    <t>Goods Supplier or Invoicing Partner not set via BAPI</t>
  </si>
  <si>
    <t>Reset of item deletion indicator not possible with PO BAPI</t>
  </si>
  <si>
    <t>BAPI: BAPI_PO_CHANGE does not allow changes after GR</t>
  </si>
  <si>
    <t>Partner on item level sent via SRM not created in ERP PO</t>
  </si>
  <si>
    <t>MM-PUR-PO-GUI</t>
  </si>
  <si>
    <t>Userinterface - Purc</t>
  </si>
  <si>
    <t>BBP_ES_ERP_INT 013: Saving of PO possible</t>
  </si>
  <si>
    <t>Message MEPO 601 with spaces in message description</t>
  </si>
  <si>
    <t>Dump CX_SY_CONVERSION_NO_NUMBER for held document</t>
  </si>
  <si>
    <t>ARM: Returns Item is open for changes</t>
  </si>
  <si>
    <t>ME21n: PR send to external sourcing can be converted to PO</t>
  </si>
  <si>
    <t>Schedule lines do not start with 1 when creating a PO</t>
  </si>
  <si>
    <t>MM-PUR-REQ</t>
  </si>
  <si>
    <t>Purchase Requisitions</t>
  </si>
  <si>
    <t>MM-PUR-REQ-BAPI</t>
  </si>
  <si>
    <t>BAPIs - Purchase req</t>
  </si>
  <si>
    <t>Document Change data not adopted from PRVERSION</t>
  </si>
  <si>
    <t>Industry fields initialized when BAPI_PR_CHANGE is called</t>
  </si>
  <si>
    <t>Goods and Invoice Receipt indicators not set via PReq BAPI</t>
  </si>
  <si>
    <t>BAPI_PR_CHANGE: No new version when you change item text</t>
  </si>
  <si>
    <t>PReq created by RFC user, when triggered by SAP CRM system</t>
  </si>
  <si>
    <t>MM-PUR-REQ-GUI</t>
  </si>
  <si>
    <t>Userinterface</t>
  </si>
  <si>
    <t>Accounting data change via ME_PROCESS_REQ_CUST not adopted</t>
  </si>
  <si>
    <t>MECCP: Extended document flow not via menu path available</t>
  </si>
  <si>
    <t>MM-PUR-RFQ</t>
  </si>
  <si>
    <t>RFQ/Quotation</t>
  </si>
  <si>
    <t>ME41: issues in RFQ creation</t>
  </si>
  <si>
    <t>ME49: Display with ALV returns incorrect NETPR</t>
  </si>
  <si>
    <t>MM-PUR-SOH</t>
  </si>
  <si>
    <t>HDB Opt. for Purch.</t>
  </si>
  <si>
    <t>ME58 creates wrong document overview in ME21N</t>
  </si>
  <si>
    <t>MM-PUR-SSP</t>
  </si>
  <si>
    <t>Self-Service Pro</t>
  </si>
  <si>
    <t>Corrections to Customizing in Business Process Workflow</t>
  </si>
  <si>
    <t>MM-PUR-VM</t>
  </si>
  <si>
    <t>Vendor-Material Relationships and Conditions</t>
  </si>
  <si>
    <t>MM-PUR-VM-REC</t>
  </si>
  <si>
    <t>Info Record</t>
  </si>
  <si>
    <t>Change document not created for text changes in ME12</t>
  </si>
  <si>
    <t>ME12: long text maintenance not possible</t>
  </si>
  <si>
    <t>ME12: Wrong conversion factor after order unit change</t>
  </si>
  <si>
    <t>MM-SRV</t>
  </si>
  <si>
    <t>Services Management</t>
  </si>
  <si>
    <t>Dump in BAPI_ENTRYSHEET_RELEASE</t>
  </si>
  <si>
    <t>ML84: Problems with display and price display authorizations</t>
  </si>
  <si>
    <t>MAA : Good Receipt is ZERO when posting Service Entry Sheet</t>
  </si>
  <si>
    <t>PR filled in wrong field during service selection</t>
  </si>
  <si>
    <t>Download from catalog in PM gives accounting erro</t>
  </si>
  <si>
    <t>MM-SRV: Var. condition schema for external services</t>
  </si>
  <si>
    <t>MM-SRV-BPI</t>
  </si>
  <si>
    <t>BAPIs</t>
  </si>
  <si>
    <t>ServiceAcknowledgementERPNotification_Out: Seller ID</t>
  </si>
  <si>
    <t>MM-SRV-ES</t>
  </si>
  <si>
    <t>PurchaseRequestERPSourcingRequest_Out:PR changes not updated</t>
  </si>
  <si>
    <t>CCM: Incorrect Net price and gross order value</t>
  </si>
  <si>
    <t>CCM: ESLL-INTROW duplicated per document item</t>
  </si>
  <si>
    <t>CCM: Condition date change not updated for service contracts</t>
  </si>
  <si>
    <t>Release documentation not update in SRM when posting Invoice</t>
  </si>
  <si>
    <t>Wrong net price calculated during Central contract change</t>
  </si>
  <si>
    <t>MM-SRV-GF</t>
  </si>
  <si>
    <t>MAA2: Incorrect GR/IR values for service in MIRO</t>
  </si>
  <si>
    <t>PM</t>
  </si>
  <si>
    <t>New switch concept for improvements in PM/EAM (Part 2)</t>
  </si>
  <si>
    <t>Interface note: Visual Enterpr. Integr. in EAM (SAP_APPL)</t>
  </si>
  <si>
    <t>Preparation for implementing SAP Notes 1751929 and 1757773</t>
  </si>
  <si>
    <t>PM-EQM</t>
  </si>
  <si>
    <t>Equi/techn. objects</t>
  </si>
  <si>
    <t>Error-texts deleted in ECC not deleted in CRM-ECC correction</t>
  </si>
  <si>
    <t>PM-EQM-EQ</t>
  </si>
  <si>
    <t>Equipment</t>
  </si>
  <si>
    <t>Dump MESSAGE_TYPE_X in IQ02</t>
  </si>
  <si>
    <t>IE05 : BAPI_EQUI_CHANGE failed due to locked objects</t>
  </si>
  <si>
    <t>SAPDBEQI: Performance improvement in form put_diequz</t>
  </si>
  <si>
    <t>IH08 : BAPI_EQUI_CHANGE failed due to locked objects</t>
  </si>
  <si>
    <t>PM-EQM-FL</t>
  </si>
  <si>
    <t>Functional Locations</t>
  </si>
  <si>
    <t>Construction month may contain invalid values</t>
  </si>
  <si>
    <t>PM-EQM-ON</t>
  </si>
  <si>
    <t>Object Networks</t>
  </si>
  <si>
    <t>Program termination in graphic for object networks (LAM)</t>
  </si>
  <si>
    <t>PM-EQM-SF</t>
  </si>
  <si>
    <t>Additional functions</t>
  </si>
  <si>
    <t>PM-EQM-SF-MPC</t>
  </si>
  <si>
    <t>Meas. points/countrs</t>
  </si>
  <si>
    <t>MP_RFC_SINGLE_CREATE ignores decimal places and exponent</t>
  </si>
  <si>
    <t>PM-ES</t>
  </si>
  <si>
    <t>ES Plant Maintenance</t>
  </si>
  <si>
    <t>ESOA: Incorrect start date/time in service ECC_SRVCREQIDQR1</t>
  </si>
  <si>
    <t>ECC_MAINTPLNUPDCHK Handling of non existend nodes in req.msg</t>
  </si>
  <si>
    <t>PM-IS</t>
  </si>
  <si>
    <t>PM-IS-REP</t>
  </si>
  <si>
    <t>'SAPSQL_ARRAY_INSERT_DUPREC' when updating table S070</t>
  </si>
  <si>
    <t>PM-PRM</t>
  </si>
  <si>
    <t>Preventive Maintenance</t>
  </si>
  <si>
    <t>PM-PRM-MP</t>
  </si>
  <si>
    <t>Maintenance Plans</t>
  </si>
  <si>
    <t>IP05: Same popup window is displayed twice</t>
  </si>
  <si>
    <t>Missing maint. packages in task plan operations possible</t>
  </si>
  <si>
    <t>Report: Missing maintenance packages in task list operations</t>
  </si>
  <si>
    <t>Waiting scheduling records (MHIS) for call</t>
  </si>
  <si>
    <t>Functional enhancement / revision of maintenance plan APIs</t>
  </si>
  <si>
    <t>PM-PRM-TL</t>
  </si>
  <si>
    <t>Task Lists</t>
  </si>
  <si>
    <t>IA24: Standard BOM is not archived when the TL is archived</t>
  </si>
  <si>
    <t>IA08: Incorrect changes to maintenance package of operation</t>
  </si>
  <si>
    <t>PM-WOC</t>
  </si>
  <si>
    <t>Maint. order mgt.</t>
  </si>
  <si>
    <t>Back pushbutton in the document flow of the delivery</t>
  </si>
  <si>
    <t>EAM CC 2: No enhanced document flow with user parameter</t>
  </si>
  <si>
    <t>Header long text line length - missing text IW3x</t>
  </si>
  <si>
    <t>Usability PDF forms in PM</t>
  </si>
  <si>
    <t>EAM CC 2: Removing CheckMan errors</t>
  </si>
  <si>
    <t>PM-WOC-JC</t>
  </si>
  <si>
    <t>Confirmations</t>
  </si>
  <si>
    <t>IW41: Dump 'RAISE_EXCEPTION', 'ORDER_NOT_FOUND'</t>
  </si>
  <si>
    <t>Jump to variant transaction not possible</t>
  </si>
  <si>
    <t>PM-WOC-LE</t>
  </si>
  <si>
    <t>List Editing</t>
  </si>
  <si>
    <t>IW38: Revision level not updated automatically in the list</t>
  </si>
  <si>
    <t>PM-WOC-MB</t>
  </si>
  <si>
    <t>Mobile Scenarios</t>
  </si>
  <si>
    <t>Problem with LOMRLIM_CHAR output inFM MAM30_ML_041_GETDETA</t>
  </si>
  <si>
    <t>Performance issue in report RALM_ME_MEASURMENT_POINT_LIST</t>
  </si>
  <si>
    <t>MAM 3.0: Extension to note 1684197</t>
  </si>
  <si>
    <t>PM-WOC-MH</t>
  </si>
  <si>
    <t>Maintenance History</t>
  </si>
  <si>
    <t>Improper sub-screen alignment for operations in an order</t>
  </si>
  <si>
    <t>PM-WOC-MN</t>
  </si>
  <si>
    <t>Maintenance Notifica</t>
  </si>
  <si>
    <t>BAdI for connection of ERP messages to MRS</t>
  </si>
  <si>
    <t>Maintenance Notification: Incorrect tasks displayed</t>
  </si>
  <si>
    <t>Enhancement category for BAPI2080_NOTTASK* is not set</t>
  </si>
  <si>
    <t>EAM order: No check for authorization object I_VORG_ORD</t>
  </si>
  <si>
    <t>IQS12:Error "Flow Control: All Windows are closed" is thrown</t>
  </si>
  <si>
    <t>IW22/IW23: Action log shows incorrect partner details</t>
  </si>
  <si>
    <t>Maintenance view T355E_W: Runtime error RAISE_EXCEPTION</t>
  </si>
  <si>
    <t>Determining catalog profile in message after message IW 477</t>
  </si>
  <si>
    <t>Linear info in notif. item on change of reference object</t>
  </si>
  <si>
    <t>PM-WOC-MN-PAM</t>
  </si>
  <si>
    <t>Pool Asset Managemen</t>
  </si>
  <si>
    <t>Technical prerequisites for SAP Note 1749721</t>
  </si>
  <si>
    <t>Technical prerequisites for SAP Note 1750184</t>
  </si>
  <si>
    <t>PM-WOC-MO</t>
  </si>
  <si>
    <t>Maintenance Orders</t>
  </si>
  <si>
    <t>IW31 : Order is copied with the tasklist with deletion ind</t>
  </si>
  <si>
    <t>IW32: Short-dump when toggle from normal to basic order view</t>
  </si>
  <si>
    <t>IW31: IW464 message long text is not clear.</t>
  </si>
  <si>
    <t>Vendor in basic order view</t>
  </si>
  <si>
    <t>BAPI_ALM_ORDER_MAINTAIN doesn't fill the workcenter / plant</t>
  </si>
  <si>
    <t>IW31: Wrong routing number of operation sent while saving</t>
  </si>
  <si>
    <t>Responsible cost center checks done too restrictively</t>
  </si>
  <si>
    <t>IW41:Authority check in BADI_EAM_AUTHORITY_CHECK_ORDER wrong</t>
  </si>
  <si>
    <t>IW21 :Order created from notification doesn't copy std. text</t>
  </si>
  <si>
    <t>IW38: Incorrect priority ICON is shown in the monitor</t>
  </si>
  <si>
    <t>Requirement date determination wrong for negative quantity</t>
  </si>
  <si>
    <t>BS013/BS014 when adding NLAG/non-stock matl comp. to order</t>
  </si>
  <si>
    <t>Documents in PM operation are not displayed in job card</t>
  </si>
  <si>
    <t>IW31:Sold-to party data not passed to customer exit IWO10005</t>
  </si>
  <si>
    <t>BAPI_ALM_ORDER_MAINTAIN: Error message KI 262</t>
  </si>
  <si>
    <t>IW31:'Create Notification' button not hidden when customized</t>
  </si>
  <si>
    <t>IW31: negative component quantity gives warning not error</t>
  </si>
  <si>
    <t>Assigning a task list with documents to a maint. order</t>
  </si>
  <si>
    <t>IW21: Special characters get garbled during order creation</t>
  </si>
  <si>
    <t>IW38 : Pie chart doesn't display more then 20 Bar Values</t>
  </si>
  <si>
    <t>BAPI_ALM_ORDER_MAINTAIN: Configuration dialog box triggered</t>
  </si>
  <si>
    <t>IW31: External operation Data filled for internal operations</t>
  </si>
  <si>
    <t>RIBELF20 - Document flow does not display existing document</t>
  </si>
  <si>
    <t>Operation overview: Length of actual labor field</t>
  </si>
  <si>
    <t>IW13 returns incorrect result II</t>
  </si>
  <si>
    <t>Actual labor field is not in the operation overview</t>
  </si>
  <si>
    <t>RAISE_EXCEPTION when displaying archived orders</t>
  </si>
  <si>
    <t>IW32: Unable to delete functional location/equipment</t>
  </si>
  <si>
    <t>EAM order: Error message BS 001 during generation</t>
  </si>
  <si>
    <t>BUS2038 code inspector error in SAPFIWK4</t>
  </si>
  <si>
    <t>PM-WOC-MO-ACC</t>
  </si>
  <si>
    <t>Copy plan costs to estimated costs button available in TECO</t>
  </si>
  <si>
    <t>Dump occurs when copying negative plan costs to estimate</t>
  </si>
  <si>
    <t>PM-WOC-MO-ARC</t>
  </si>
  <si>
    <t>Archiving PM_ORDER: AUFK records are not deleted</t>
  </si>
  <si>
    <t>EAM order - Status NTER is displayed even though inactive</t>
  </si>
  <si>
    <t>PM-WOC-MO-MAT</t>
  </si>
  <si>
    <t>Stock material, BOM</t>
  </si>
  <si>
    <t>System dumps during material availability check</t>
  </si>
  <si>
    <t>PM-WOC-MO-OCI</t>
  </si>
  <si>
    <t>Catalog Integration</t>
  </si>
  <si>
    <t>EAM order: Runtime error COMPUTE_FLOAT_ZERODIVIDE</t>
  </si>
  <si>
    <t>PM-WOC-MO-OLC</t>
  </si>
  <si>
    <t>Operation Level Cost</t>
  </si>
  <si>
    <t>BAdI BADI_OLC_SETTL_RULE_DET_OPR not processed</t>
  </si>
  <si>
    <t>Incorr. data declaration: lt_afvgd -&gt; lt_afvgdget, IMP_AFVGD</t>
  </si>
  <si>
    <t>Performance when creating maintenance order or service order</t>
  </si>
  <si>
    <t>IW31: 'MESSAGE_TYPE_X' after task list transfer</t>
  </si>
  <si>
    <t>ERP_CO_OLC_E 084 for default settlement rule for operation</t>
  </si>
  <si>
    <t>Transferring task list from service product: MESSAGE_TYPE_X</t>
  </si>
  <si>
    <t>Settlement to COPA: Settlement rule not updated</t>
  </si>
  <si>
    <t>PM-WOC-MO-PRI</t>
  </si>
  <si>
    <t>Print, fax, paging</t>
  </si>
  <si>
    <t>IW51: Unable to print jobcard Print PM order</t>
  </si>
  <si>
    <t>PM-WOC-MO-TSK</t>
  </si>
  <si>
    <t>Task lists</t>
  </si>
  <si>
    <t>BAPI: Unable to add the same task list twice</t>
  </si>
  <si>
    <t>PM-WOC-RO</t>
  </si>
  <si>
    <t>Refurbishment Order</t>
  </si>
  <si>
    <t>Technical prerequisite for SAP Note 1739194</t>
  </si>
  <si>
    <t>BAPI_ALM_ORDER_MAINTAIN: Refurbishment order</t>
  </si>
  <si>
    <t>Refurbishment order: Error message for the release</t>
  </si>
  <si>
    <t>PP</t>
  </si>
  <si>
    <t>PP-BD</t>
  </si>
  <si>
    <t>PP-BD-RTG</t>
  </si>
  <si>
    <t>Routing</t>
  </si>
  <si>
    <t>CC02: dump when assigning alternate date to routing</t>
  </si>
  <si>
    <t>CA99: Incorrect log message for the Routing archiving</t>
  </si>
  <si>
    <t>CA96: DUMP TABLE_INVALID_INDEX when you enter setup time</t>
  </si>
  <si>
    <t>PP-BD-WKC</t>
  </si>
  <si>
    <t>Work Center</t>
  </si>
  <si>
    <t>Follow-up note for note 1450585.</t>
  </si>
  <si>
    <t>PP-CRP</t>
  </si>
  <si>
    <t>Capacity Planning</t>
  </si>
  <si>
    <t>PP-CRP-LVL</t>
  </si>
  <si>
    <t>Capacity Leveling</t>
  </si>
  <si>
    <t>CM25 : Endless loop when dispatching suboperations.</t>
  </si>
  <si>
    <t>PP-CRP-SCH</t>
  </si>
  <si>
    <t>Scheduling</t>
  </si>
  <si>
    <t>MF50:Dump when work center in routing and Prod.vers differs</t>
  </si>
  <si>
    <t>CO01 : Incorrect scheduling of unassigned splits.</t>
  </si>
  <si>
    <t>PP-KAB</t>
  </si>
  <si>
    <t>KANBAN</t>
  </si>
  <si>
    <t>PK13N shows locks for un-blocked KANBAN's in tabular view</t>
  </si>
  <si>
    <t>PP-KAB-CC</t>
  </si>
  <si>
    <t>KANBAN control cycle</t>
  </si>
  <si>
    <t>PKMC: Error PK375 is raised incorrectly</t>
  </si>
  <si>
    <t>PP-KAB-CRL</t>
  </si>
  <si>
    <t>KANBAN Control</t>
  </si>
  <si>
    <t>Kanban info not updated in case of two-step stock transfer</t>
  </si>
  <si>
    <t>PP-KAB-KPB</t>
  </si>
  <si>
    <t>KANBAN Board</t>
  </si>
  <si>
    <t>MBST Kanban status not reset after cancellation</t>
  </si>
  <si>
    <t>PP-MES</t>
  </si>
  <si>
    <t>Integration with Man</t>
  </si>
  <si>
    <t>Creating ERP routings from SAP Manufacturing Execution</t>
  </si>
  <si>
    <t>Planned order distribution: Operation data &amp;component assgmt</t>
  </si>
  <si>
    <t>Distributing production orders that contain SAP ME routings</t>
  </si>
  <si>
    <t>CN71: Runtime error SAPSQL_INVALID_FIELDNAME</t>
  </si>
  <si>
    <t>Error when uploading new routing versions to ERP</t>
  </si>
  <si>
    <t>Fields VORNR1 and VORNR2 are not filled in IDoc LOIPRO02</t>
  </si>
  <si>
    <t>Enabling creation of change master records from SAP ME</t>
  </si>
  <si>
    <t>Incorrect URL for originals in file systems</t>
  </si>
  <si>
    <t>PP-MP</t>
  </si>
  <si>
    <t>Master Planning</t>
  </si>
  <si>
    <t>PP-MP-DEM</t>
  </si>
  <si>
    <t>Demand Management</t>
  </si>
  <si>
    <t>MD61:Planning calendar from reference plant is not allowed</t>
  </si>
  <si>
    <t>PP-MP-LTP</t>
  </si>
  <si>
    <t>Long-term plan. sim.</t>
  </si>
  <si>
    <t>MS04: Incorrect pegged requirements with safety stock</t>
  </si>
  <si>
    <t>PP-MP-MFC</t>
  </si>
  <si>
    <t>Material Forecast</t>
  </si>
  <si>
    <t>Material forecast: Reorder point via maximum stock level</t>
  </si>
  <si>
    <t>PP-MRP</t>
  </si>
  <si>
    <t>Mat. req. planning</t>
  </si>
  <si>
    <t>Profit center not in Purchase Requisition</t>
  </si>
  <si>
    <t>MD06/MD07: Incorrect list with selection at mrp-area level</t>
  </si>
  <si>
    <t>MD_MODIFY_PRODVERS: Wrong BOM explosion for phantom item</t>
  </si>
  <si>
    <t>MRP/MD04 incorrect for stock transport orders with ATP/FIXMG</t>
  </si>
  <si>
    <t>PP-MRP-BD</t>
  </si>
  <si>
    <t>MD26: Change of start date calculation not saved</t>
  </si>
  <si>
    <t>Planning calendar: Search help displays duplicate entries</t>
  </si>
  <si>
    <t>MRP profile w/o field "Consider Planned Delivery Time"</t>
  </si>
  <si>
    <t>PP-MRP-PE</t>
  </si>
  <si>
    <t>Planning Evaluation</t>
  </si>
  <si>
    <t>MD4C: Incorrect display for bulk material in order report</t>
  </si>
  <si>
    <t>MD04/MD05: Parameter filled incorrectly for material number</t>
  </si>
  <si>
    <t>MD04/MD05: Incorrect display of material type</t>
  </si>
  <si>
    <t>Total stock for stock transfer between storage locations</t>
  </si>
  <si>
    <t>Wrong default value for object S_TCODE in SU24</t>
  </si>
  <si>
    <t>RMMD07NEW: No MRP lists displayed due to authorization check</t>
  </si>
  <si>
    <t>PP-MRP-PP</t>
  </si>
  <si>
    <t>Procurement Proposal</t>
  </si>
  <si>
    <t>SC component for A&amp;D process not in storage loc. not for MRP</t>
  </si>
  <si>
    <t>PP-MRP-PR</t>
  </si>
  <si>
    <t>Planning Execution</t>
  </si>
  <si>
    <t>MD02: Direct procurement setting ignored in simulation mode</t>
  </si>
  <si>
    <t>PP-PI</t>
  </si>
  <si>
    <t>Production Planning for Process Industries</t>
  </si>
  <si>
    <t>PP-PI-CFB</t>
  </si>
  <si>
    <t>Consumer Products</t>
  </si>
  <si>
    <t>Authority error in CheckMan system</t>
  </si>
  <si>
    <t>Order status changes to CNF instead of PCNF</t>
  </si>
  <si>
    <t>CN47N: Runtime error SAPSQL_INVALID_FIELDNAME</t>
  </si>
  <si>
    <t>Authority check in CheckMan system for CFB</t>
  </si>
  <si>
    <t>PP-PI-MD</t>
  </si>
  <si>
    <t>PP-PI-MD-MRC</t>
  </si>
  <si>
    <t>Master Recipe</t>
  </si>
  <si>
    <t>C261: Runtime Error CONVT_NO_NUMBER</t>
  </si>
  <si>
    <t>C201 : Operation number/description does not get copied</t>
  </si>
  <si>
    <t>C260 : USR06 and USR07 display with decimal places shifted</t>
  </si>
  <si>
    <t>PP-PI-PMA</t>
  </si>
  <si>
    <t>Process Management</t>
  </si>
  <si>
    <t>PP-PI-PMA-PMC</t>
  </si>
  <si>
    <t>Browser PI Sheet</t>
  </si>
  <si>
    <t>Automatic value assignment for leading order</t>
  </si>
  <si>
    <t>PP-PI-POR</t>
  </si>
  <si>
    <t>Process Order</t>
  </si>
  <si>
    <t>Planned order collective conversion: Message management</t>
  </si>
  <si>
    <t>MRP relevancy when creating with reference</t>
  </si>
  <si>
    <t>PP-PN</t>
  </si>
  <si>
    <t>Production Network</t>
  </si>
  <si>
    <t>Quantity type in Network object shown in multiple languages</t>
  </si>
  <si>
    <t>PP-PN-ALN</t>
  </si>
  <si>
    <t>Production Allocatio</t>
  </si>
  <si>
    <t>Dump with zero quantity division in Water Injection scenario</t>
  </si>
  <si>
    <t>Node volume calculation correction in preprocessing</t>
  </si>
  <si>
    <t>Duplicate measurements when creating measurement point</t>
  </si>
  <si>
    <t>F4 help for Measurement point category is not working</t>
  </si>
  <si>
    <t>Production allocation result is incorrect</t>
  </si>
  <si>
    <t>Error in Retreival of well test standardized item header</t>
  </si>
  <si>
    <t>Frequency cusotmizing allows non-existing unit of measures</t>
  </si>
  <si>
    <t>Allocation results are incorrect with Non adjustable flag</t>
  </si>
  <si>
    <t>Allocation results incorrect for non production category</t>
  </si>
  <si>
    <t>Clearing filter in process allocation rules is not working</t>
  </si>
  <si>
    <t>PP-PN-NM</t>
  </si>
  <si>
    <t>Network Modeler</t>
  </si>
  <si>
    <t>IMG node for GHO_VAR_ID</t>
  </si>
  <si>
    <t>PP-REM</t>
  </si>
  <si>
    <t>Repetitive Manufac.</t>
  </si>
  <si>
    <t>MF50:Error 61006 on Forward Scheduling with production dates</t>
  </si>
  <si>
    <t>MFBF/EWM: No activity cancellation by doc.-neutral reversal</t>
  </si>
  <si>
    <t>PP-REM-ADE</t>
  </si>
  <si>
    <t>Backflushing</t>
  </si>
  <si>
    <t>MF42N: Confirmation quantity can not be entered</t>
  </si>
  <si>
    <t>PP-SFC</t>
  </si>
  <si>
    <t>Production Orders</t>
  </si>
  <si>
    <t>PP-SFC-CPL</t>
  </si>
  <si>
    <t>Order Close</t>
  </si>
  <si>
    <t>Dynamic assembly: You cannot set deletion flag</t>
  </si>
  <si>
    <t>PP-SFC-EXE</t>
  </si>
  <si>
    <t>Order Execution</t>
  </si>
  <si>
    <t>COHV: X_BNCOM is not filled correctly during batch creation</t>
  </si>
  <si>
    <t>PP order: Possible to delete components with delivery</t>
  </si>
  <si>
    <t>Order inconsistent in APO after collective avail. ck in ERP</t>
  </si>
  <si>
    <t>Subobjects of function requests are not deleted</t>
  </si>
  <si>
    <t>PP-SFC-EXE-CON</t>
  </si>
  <si>
    <t>Confirmation</t>
  </si>
  <si>
    <t>EWM: Movement type when you cancel confirmation</t>
  </si>
  <si>
    <t>PP-SFC-EXE-GM</t>
  </si>
  <si>
    <t>Goods Movements</t>
  </si>
  <si>
    <t>No documentary batches for postprocessing</t>
  </si>
  <si>
    <t>Final issue indicator after batch determination</t>
  </si>
  <si>
    <t>Batch determination executed incorrectly or not at all</t>
  </si>
  <si>
    <t>EWM integration: Deliveries are not created</t>
  </si>
  <si>
    <t>COGI: Items cannot be processed</t>
  </si>
  <si>
    <t>CO11N: Simultaneous goods issue &amp; goods receipt not allowed</t>
  </si>
  <si>
    <t>Incorrect documentary batch for postprocessing</t>
  </si>
  <si>
    <t>CO13/CORS: No pushbutton for goods movements for EWM mat.</t>
  </si>
  <si>
    <t>Documentary batches active; WM batch determination incorrect</t>
  </si>
  <si>
    <t>COGI: Runtime error SAPSQL_STMNT_TOO_LARGE</t>
  </si>
  <si>
    <t>PP-SFC-EXE-HUM</t>
  </si>
  <si>
    <t>Handling Unit Manage</t>
  </si>
  <si>
    <t>COPAWA: Same HU can be assigned to multiple orders</t>
  </si>
  <si>
    <t>COPAWA: Message HUDIALOG147 while de-assigning a HU</t>
  </si>
  <si>
    <t>COWBPACK storage loc./plant for load carrier are editable</t>
  </si>
  <si>
    <t>PP-SFC-EXE-OCM</t>
  </si>
  <si>
    <t>Order Change Mgmnt</t>
  </si>
  <si>
    <t>COCM1: Long runtime when searching procurement elements</t>
  </si>
  <si>
    <t>Rounding problems in OCM for component scrap</t>
  </si>
  <si>
    <t>PP-SFC-IS</t>
  </si>
  <si>
    <t>Default selection list for variant is always Header list.</t>
  </si>
  <si>
    <t>PP-SFC-PLN</t>
  </si>
  <si>
    <t>Order Planning</t>
  </si>
  <si>
    <t>Create order: Dump RAISE_EXCEPTION NOT_FOUND</t>
  </si>
  <si>
    <t>PP-SFC-PLN-CPT</t>
  </si>
  <si>
    <t>Components</t>
  </si>
  <si>
    <t>Unnecessary system message CN 752</t>
  </si>
  <si>
    <t>Sign changed for component - no longer relevant for WM</t>
  </si>
  <si>
    <t>WM data is not deleted from the reservation</t>
  </si>
  <si>
    <t>Double transfer requirements with WM staging</t>
  </si>
  <si>
    <t>PP-SFC-PLN-HEA</t>
  </si>
  <si>
    <t>Header / Operation</t>
  </si>
  <si>
    <t>Additional task list application is ignored</t>
  </si>
  <si>
    <t>Sending an object with a note: Change order</t>
  </si>
  <si>
    <t>Partial conversion for planned order: Planned scrap</t>
  </si>
  <si>
    <t>F4: Personal value lists influence each other</t>
  </si>
  <si>
    <t>CO02: Error CO323 when deleting WBS assignment</t>
  </si>
  <si>
    <t>PP-SOP</t>
  </si>
  <si>
    <t>Sales &amp; Operations Planning</t>
  </si>
  <si>
    <t>PP-SOP-DRP</t>
  </si>
  <si>
    <t>Distribution Req.</t>
  </si>
  <si>
    <t>View H_DC1RULES is incorrect</t>
  </si>
  <si>
    <t>PPM</t>
  </si>
  <si>
    <t>Portfolio and Project Management</t>
  </si>
  <si>
    <t>PPM-PFM</t>
  </si>
  <si>
    <t>Portfolio Management</t>
  </si>
  <si>
    <t>PPM-PFM-INT</t>
  </si>
  <si>
    <t>Integration with External Applications</t>
  </si>
  <si>
    <t>PPM-PFM-INT-FI</t>
  </si>
  <si>
    <t>Integ./ Interf FI/CO</t>
  </si>
  <si>
    <t>RPM_FIN02:Cost from Network Activity is not transferred</t>
  </si>
  <si>
    <t>PPM-PFM-INT-PS</t>
  </si>
  <si>
    <t>Integr/ Interf to PS</t>
  </si>
  <si>
    <t>Network Type value lost in project creation</t>
  </si>
  <si>
    <t>PPM-PRO</t>
  </si>
  <si>
    <t>Project Management</t>
  </si>
  <si>
    <t>PPM-PRO-DOC</t>
  </si>
  <si>
    <t>Documents</t>
  </si>
  <si>
    <t>DMS object links do not display</t>
  </si>
  <si>
    <t>PS</t>
  </si>
  <si>
    <t>Project System</t>
  </si>
  <si>
    <t>PS-CAF</t>
  </si>
  <si>
    <t>Payments</t>
  </si>
  <si>
    <t>PS-CAF-ACT</t>
  </si>
  <si>
    <t>Act.Pmnts + Forecast</t>
  </si>
  <si>
    <t>Cross-company code activities: Error message FI 011</t>
  </si>
  <si>
    <t>Poor performance in FM FM_CO_DOCUMENT_REVERSE</t>
  </si>
  <si>
    <t>(MM) No update of purchase requisitions</t>
  </si>
  <si>
    <t>PS-CON</t>
  </si>
  <si>
    <t>Actual Dates for activity removed during cancel confirm</t>
  </si>
  <si>
    <t>PS-COS</t>
  </si>
  <si>
    <t>Costs</t>
  </si>
  <si>
    <t>PS-COS-BUD</t>
  </si>
  <si>
    <t>Budget</t>
  </si>
  <si>
    <t>No budget carried forward by KOCO / CJCO</t>
  </si>
  <si>
    <t>CJ30/CJ40/IM32/IM35: Not possible to revaluate with amount</t>
  </si>
  <si>
    <t>PS-COS-PLN</t>
  </si>
  <si>
    <t>PS-COS-PLN-PLN</t>
  </si>
  <si>
    <t>Planned Costs</t>
  </si>
  <si>
    <t>CJ40/CJ42/KO12: Initial screen when branching to detail plan</t>
  </si>
  <si>
    <t>New planning applications in CO: Parameter transfer via URL</t>
  </si>
  <si>
    <t>New project cost planning: Locks are incorrect</t>
  </si>
  <si>
    <t>PS-CRP</t>
  </si>
  <si>
    <t>Resources</t>
  </si>
  <si>
    <t>PS-CRP-WFP</t>
  </si>
  <si>
    <t>Workforce Planning</t>
  </si>
  <si>
    <t>Sales order &amp; item number not displayed in cmp2/cmp3</t>
  </si>
  <si>
    <t>PS-IS</t>
  </si>
  <si>
    <t>Long runtime in RM06BKPS</t>
  </si>
  <si>
    <t>CNS41: Program terminates while sending a report</t>
  </si>
  <si>
    <t>PS-IS-ACC</t>
  </si>
  <si>
    <t>Accounting</t>
  </si>
  <si>
    <t>Costs of activities in object currency not updated to RPSCO</t>
  </si>
  <si>
    <t>PS-IS-ACC-ITE</t>
  </si>
  <si>
    <t>Line-item reports</t>
  </si>
  <si>
    <t>CJI4N: Program terminates if period restriction is missing</t>
  </si>
  <si>
    <t>PS-IS-GRF</t>
  </si>
  <si>
    <t>Graphics</t>
  </si>
  <si>
    <t>CN41: histogram - conversion error with currencies</t>
  </si>
  <si>
    <t>CN41: Navigation to Gantt chart can display only 10 fields</t>
  </si>
  <si>
    <t>CN41: histogram - conversion error with currencies(2)</t>
  </si>
  <si>
    <t>PS-IS-LDB</t>
  </si>
  <si>
    <t>Logical database</t>
  </si>
  <si>
    <t>Performance problem in report SAPKKA00BG</t>
  </si>
  <si>
    <t>Performance issues with large projects if OAA activated</t>
  </si>
  <si>
    <t>LDB PSJ: Long runtimes; a lot of SD-orders have been read(2)</t>
  </si>
  <si>
    <t>OAA activities in subnetwork not displayed for comm.eval.</t>
  </si>
  <si>
    <t>OAA activated: Dump w/ MESSAGE_TYPE_X and OK 036 in LDB PSJ</t>
  </si>
  <si>
    <t>CN41: Dump with ITAB_ILLEGAL_SORT_ORDER</t>
  </si>
  <si>
    <t>LDB PSJ: Dump ITAB_DUPLICATE_KEY in program GDBPS000</t>
  </si>
  <si>
    <t>PS-IS-LOG</t>
  </si>
  <si>
    <t>Logistics</t>
  </si>
  <si>
    <t>CN49: Incorrect relationship for standard structures</t>
  </si>
  <si>
    <t>PS-IS-LOG-IND</t>
  </si>
  <si>
    <t>Indiv. Overview</t>
  </si>
  <si>
    <t>CN49N: Dump GETWA_NOT_ASSIGNED for certain relationships</t>
  </si>
  <si>
    <t>PSIS: Jump to details of process orders</t>
  </si>
  <si>
    <t>CN45N: Jump to details of process orders</t>
  </si>
  <si>
    <t>PSIS: VORBEI/Duration after latest scheduled start</t>
  </si>
  <si>
    <t>CN52N doesn't show the WBS as given in the reservation</t>
  </si>
  <si>
    <t>PS-IS-LOG-STR</t>
  </si>
  <si>
    <t>Structure overview</t>
  </si>
  <si>
    <t>CN41: wrong aggregation of costs if ObjCurr reporting active</t>
  </si>
  <si>
    <t>CN41N: flags disappear from the DB profile on deselection</t>
  </si>
  <si>
    <t>CN41: Fields USR06/USR07 displayed incorrectly in Gantt</t>
  </si>
  <si>
    <t>CN41: wrong aggregation if ObjCurr reporting active (II)</t>
  </si>
  <si>
    <t>Incorrect early forecast dates in CN41/CN41N</t>
  </si>
  <si>
    <t>Costs of activties in object currency not updated to RPSCO</t>
  </si>
  <si>
    <t>PS-MAT</t>
  </si>
  <si>
    <t>Material</t>
  </si>
  <si>
    <t>Configuration is copied to Non configurable material</t>
  </si>
  <si>
    <t>PS-PRG</t>
  </si>
  <si>
    <t>Progress</t>
  </si>
  <si>
    <t>PS-PRG-EVA</t>
  </si>
  <si>
    <t>Progress Analysis</t>
  </si>
  <si>
    <t>Wrong calculations of PoC for Multiple Milestones</t>
  </si>
  <si>
    <t>Process multiple progress versions together in CNE1/CNE2</t>
  </si>
  <si>
    <t>PS-REV</t>
  </si>
  <si>
    <t>Revenues and Eamings</t>
  </si>
  <si>
    <t>PS-REV-ACT</t>
  </si>
  <si>
    <t>Act. Rev. + Forecast</t>
  </si>
  <si>
    <t>DP91: long runtime in 'PRS_CHECK_AD17_FLOW_DLIS_SAVE'</t>
  </si>
  <si>
    <t>DP91 doesn't select activities to PM orders</t>
  </si>
  <si>
    <t>DP99A: Document flow is not always displayed</t>
  </si>
  <si>
    <t>DP91: Number of WBS element is truncated in dialog box</t>
  </si>
  <si>
    <t>PS-REV-PLN</t>
  </si>
  <si>
    <t>Planned Revenues</t>
  </si>
  <si>
    <t>VA32:Incorr.planned revenues f.items with reason f.rejection</t>
  </si>
  <si>
    <t>IW33: Rep. Plan/Act. displays planned revenues for OAA order</t>
  </si>
  <si>
    <t>PS-SIM</t>
  </si>
  <si>
    <t>Simulation</t>
  </si>
  <si>
    <t>PR created when simulation with deleted material transferred</t>
  </si>
  <si>
    <t>PS-ST</t>
  </si>
  <si>
    <t>Structures</t>
  </si>
  <si>
    <t>PS : Transactions not showing up ACL tab</t>
  </si>
  <si>
    <t>Short dump after enhancement of number range in archive runs</t>
  </si>
  <si>
    <t>PS: Note to improve the quality of Access Control List (ACL)</t>
  </si>
  <si>
    <t>Error for extended syntax check in XCN1</t>
  </si>
  <si>
    <t>Performance problem while accessing projects</t>
  </si>
  <si>
    <t>Removal of extra authorization checks in display mode</t>
  </si>
  <si>
    <t>PS-ST-INT</t>
  </si>
  <si>
    <t>Interface to External Project Software</t>
  </si>
  <si>
    <t>PS-ST-INT-BAPI</t>
  </si>
  <si>
    <t>BAPI-interface to PS</t>
  </si>
  <si>
    <t>BAPI_NETWORK_MAINTAIN does not check status TECO,DLFL,LCK</t>
  </si>
  <si>
    <t>DSEX status on activity allows date changes via gantt chart</t>
  </si>
  <si>
    <t>In BAPI_PROJECT_MAINTAIN, network profile is not cleared</t>
  </si>
  <si>
    <t>PS-ST-NET</t>
  </si>
  <si>
    <t>Network and activiti</t>
  </si>
  <si>
    <t>PS: Exception from badi CNIF_MAT_UPDATE not handled</t>
  </si>
  <si>
    <t>SKF functionality is not working correctly in CJ20N</t>
  </si>
  <si>
    <t>CJ2D - network description wrong on copy from std. project</t>
  </si>
  <si>
    <t>External network relationship causes error in CN22</t>
  </si>
  <si>
    <t>PS-ST-NET-TMP</t>
  </si>
  <si>
    <t>Standard Network</t>
  </si>
  <si>
    <t>Milestone long text missing when creating in stnd network.</t>
  </si>
  <si>
    <t>PS-ST-PB</t>
  </si>
  <si>
    <t>Project Builder</t>
  </si>
  <si>
    <t>Activity not added to network template marked for deletion</t>
  </si>
  <si>
    <t>CJ20N : Drag and Drop raises exception 'NOT_FOUND'</t>
  </si>
  <si>
    <t>Planning Board: Performance issue during transfer of dates</t>
  </si>
  <si>
    <t>Archiving:Unable to expand wbs if hierarchy level is 1 or 2</t>
  </si>
  <si>
    <t>Project mass change not working for Object Class at NWA</t>
  </si>
  <si>
    <t>Exception NOT_FOUND on assigning Sales Document to network</t>
  </si>
  <si>
    <t>CJV4-Error message:The transfered hierarchy is inconsistent</t>
  </si>
  <si>
    <t>BAPI_NETWORK_COMP_CHANGE is updating PBED-PLNMG incorrectly</t>
  </si>
  <si>
    <t>BAPI_NETWORK_COMP_CHANGE is not updating PBED-PLNMG II</t>
  </si>
  <si>
    <t>PS-ST-PPB</t>
  </si>
  <si>
    <t>Project Planning B.</t>
  </si>
  <si>
    <t>CJ2B : Incorrect actual cost displayed at lower WBS level.</t>
  </si>
  <si>
    <t>PS-ST-WBS</t>
  </si>
  <si>
    <t>Work Breakdown Str.</t>
  </si>
  <si>
    <t>WBS teco status date not updated.</t>
  </si>
  <si>
    <t>Error message CO436 on copying WBS elements</t>
  </si>
  <si>
    <t>Multilingual short texts are not filled</t>
  </si>
  <si>
    <t>Wrong value can be set for grouping WBS element indicator</t>
  </si>
  <si>
    <t>PSM</t>
  </si>
  <si>
    <t>Public Sector Management</t>
  </si>
  <si>
    <t>PSM-FA</t>
  </si>
  <si>
    <t>Fund Accounting</t>
  </si>
  <si>
    <t>PSM-FA-CL</t>
  </si>
  <si>
    <t>Cash Ledger</t>
  </si>
  <si>
    <t>Update RE_ACCOUNT for adv. return for tax on sales/purchases</t>
  </si>
  <si>
    <t>PSM-FG</t>
  </si>
  <si>
    <t>Federal Government</t>
  </si>
  <si>
    <t>GTAS changes - Year-end closing program</t>
  </si>
  <si>
    <t>PSM-FG-PP</t>
  </si>
  <si>
    <t>Prompt Payment Act</t>
  </si>
  <si>
    <t>One-time vendor address not transferring from LIV to FI</t>
  </si>
  <si>
    <t>PSM-FM</t>
  </si>
  <si>
    <t>Business Transaction Event 00001130 does not run</t>
  </si>
  <si>
    <t>HDBS/HDBC: Adding reassignment</t>
  </si>
  <si>
    <t>PSM-FM-F15</t>
  </si>
  <si>
    <t>German Federal Cash</t>
  </si>
  <si>
    <t>SAP F15 interface as business function in standard system</t>
  </si>
  <si>
    <t>PSM-FM-IS</t>
  </si>
  <si>
    <t>FMF: Field RCOND is missing in reporting</t>
  </si>
  <si>
    <t>FM reporting: Business Area not taken into account</t>
  </si>
  <si>
    <t>PSM-FM-MD</t>
  </si>
  <si>
    <t>FMCIA: Incorrect control field</t>
  </si>
  <si>
    <t>PSM-FM-PO</t>
  </si>
  <si>
    <t>Funds Management-Specific Postings</t>
  </si>
  <si>
    <t>PSM-FM-PO-DPC</t>
  </si>
  <si>
    <t>Automatic Down Payment Clearing</t>
  </si>
  <si>
    <t>PSM-FM-PO-DPC-PO</t>
  </si>
  <si>
    <t>Down Payment Clear</t>
  </si>
  <si>
    <t>Automatic down payment request: Security retention</t>
  </si>
  <si>
    <t>Automatic down payment clearing: Error F5833 in MIGO</t>
  </si>
  <si>
    <t>PSM-FM-PO-EF</t>
  </si>
  <si>
    <t>Earmarked Funds</t>
  </si>
  <si>
    <t>FMRE: Error RE 041 when releasing or posting documents</t>
  </si>
  <si>
    <t>FMRE: Change documents with change indicator 'D'</t>
  </si>
  <si>
    <t>FMRE: F4 search help for alternative payee</t>
  </si>
  <si>
    <t>FMZZ: Incomplete revaluation of open amounts</t>
  </si>
  <si>
    <t>Error RE133 during reversal material reservation creation</t>
  </si>
  <si>
    <t>FMRE: Document status in EXIT_SAPLFMFR_010 is not current</t>
  </si>
  <si>
    <t>PSM-FM-UP</t>
  </si>
  <si>
    <t>Actual Update and Commitment Update</t>
  </si>
  <si>
    <t>PSM-FM-UP-AD</t>
  </si>
  <si>
    <t>RBAA: RBAA fields not filled when using BAPIs</t>
  </si>
  <si>
    <t>Funded Program incorrect for SES and IR with MAA</t>
  </si>
  <si>
    <t>Funded Program displayed incorrectly for SES with MAA</t>
  </si>
  <si>
    <t>PSM-FM-UP-FI</t>
  </si>
  <si>
    <t>FI Integration</t>
  </si>
  <si>
    <t>Hinweis für Transporte ohne Korrekturanleitung</t>
  </si>
  <si>
    <t>Preparing the F15 interface</t>
  </si>
  <si>
    <t>PSM-GPR</t>
  </si>
  <si>
    <t>Procurement for Public Sector</t>
  </si>
  <si>
    <t>PSM-GPR-POR</t>
  </si>
  <si>
    <t>PPS Functions in Pur</t>
  </si>
  <si>
    <t>Retention header values not synchronized</t>
  </si>
  <si>
    <t>PSM-GPR-SN</t>
  </si>
  <si>
    <t>Smart Numbering</t>
  </si>
  <si>
    <t>Smart Number shown in MIRO simulation screen when inactive</t>
  </si>
  <si>
    <t>QM</t>
  </si>
  <si>
    <t>Quality Management</t>
  </si>
  <si>
    <t>QM-CA</t>
  </si>
  <si>
    <t>Quality Certificates</t>
  </si>
  <si>
    <t>QM-CA-MD</t>
  </si>
  <si>
    <t>Certif. basic data</t>
  </si>
  <si>
    <t>QC32: Not all of the documents are displayed</t>
  </si>
  <si>
    <t>QC21 : EXIT_SAPMQCPA_003 - Incorrect decimal places</t>
  </si>
  <si>
    <t>QM-IM</t>
  </si>
  <si>
    <t>Quality Inspection</t>
  </si>
  <si>
    <t>QA32: DUMP for dynam.selection crit.for inspection operation</t>
  </si>
  <si>
    <t>QM-IM-IL</t>
  </si>
  <si>
    <t>Inspection Lot Creat</t>
  </si>
  <si>
    <t>MB01: Error message QA309 even though no source inspection</t>
  </si>
  <si>
    <t>QM-IM-RR</t>
  </si>
  <si>
    <t>Results Recording</t>
  </si>
  <si>
    <t>QIRF_GET_ORIGINAL_VALUES2: Error message QI 111</t>
  </si>
  <si>
    <t>BAPI_INSPOPER_RECORDRESULTS : Characteristic not in process</t>
  </si>
  <si>
    <t>QM-IM-RR-CHR</t>
  </si>
  <si>
    <t>Characteris. results</t>
  </si>
  <si>
    <t>Performance problem in results recording</t>
  </si>
  <si>
    <t>QM-IM-UD</t>
  </si>
  <si>
    <t>Inspection Lot Comp.</t>
  </si>
  <si>
    <t>Inspection description is not displayed at the first attempt</t>
  </si>
  <si>
    <t>QA11: Enhancement QEVA0001 -&gt; incorrect batch classified</t>
  </si>
  <si>
    <t>QA11: You can post locked HUs</t>
  </si>
  <si>
    <t>QIRF_GET_USAGE_DECISION2 : Error message 00344</t>
  </si>
  <si>
    <t>QA11: Navigating to the results for inspection point</t>
  </si>
  <si>
    <t>Usage decision for HUs managed in decentralized WMS</t>
  </si>
  <si>
    <t>QM-PT</t>
  </si>
  <si>
    <t>Quality Planning</t>
  </si>
  <si>
    <t>QP03: Pushbuttons are missing</t>
  </si>
  <si>
    <t>QM-PT-BD</t>
  </si>
  <si>
    <t>QM-PT-BD-IMT</t>
  </si>
  <si>
    <t>Inspection Method</t>
  </si>
  <si>
    <t>LQSMTF03: EXCEPTIONS FOREIGN_LOCK, SYSTEM_FAILURE</t>
  </si>
  <si>
    <t>QM-PT-IP</t>
  </si>
  <si>
    <t>Inspection Planning</t>
  </si>
  <si>
    <t>QP01: Field modification does not work</t>
  </si>
  <si>
    <t>Date shift PLMW</t>
  </si>
  <si>
    <t>QP02: Long text of characteristic removes blank characters</t>
  </si>
  <si>
    <t>QP01, QP02, QP03: Transaction text is incomplete</t>
  </si>
  <si>
    <t>QP02, QP03: Pushbutton does not work correctly</t>
  </si>
  <si>
    <t>QM-QN</t>
  </si>
  <si>
    <t>Quality Notification</t>
  </si>
  <si>
    <t>QM01: Unit of entry is not filled</t>
  </si>
  <si>
    <t>Reference docs in quality notifications w/ production order</t>
  </si>
  <si>
    <t>PDF print documents are not optically archived</t>
  </si>
  <si>
    <t>Error message QM 027 for notification creation w/ template</t>
  </si>
  <si>
    <t>Icon for the address selection is reset after selection</t>
  </si>
  <si>
    <t>Performance problems during indexing of BUS2078</t>
  </si>
  <si>
    <t>IQS12: Error message Q0 329</t>
  </si>
  <si>
    <t>Long text icon missing on screen SAPLIQS0 1070</t>
  </si>
  <si>
    <t>RE</t>
  </si>
  <si>
    <t>Real Estate Management</t>
  </si>
  <si>
    <t>RE-BD</t>
  </si>
  <si>
    <t>Business entity - displaying orders: Status object missing</t>
  </si>
  <si>
    <t>Archiving: Overflow of lock entries</t>
  </si>
  <si>
    <t>Archiving: Incorrect meter in write program</t>
  </si>
  <si>
    <t>RE-IT</t>
  </si>
  <si>
    <t>Input Tax Treatment</t>
  </si>
  <si>
    <t>Negative Steuerbeträge in VITAXD</t>
  </si>
  <si>
    <t>RE-RT</t>
  </si>
  <si>
    <t>Rental</t>
  </si>
  <si>
    <t>RE-RT-RA</t>
  </si>
  <si>
    <t>Rental Accounting</t>
  </si>
  <si>
    <t>FO8K: Incorrect customer number after customer change</t>
  </si>
  <si>
    <t>RE-RT-RC</t>
  </si>
  <si>
    <t>Rental Agreement Mgt</t>
  </si>
  <si>
    <t>Lease-out: Bank details when changing collective lease-out</t>
  </si>
  <si>
    <t>RE-RT-SC</t>
  </si>
  <si>
    <t>Service Charge Settl</t>
  </si>
  <si>
    <t>SCS update run: User exit for background processing</t>
  </si>
  <si>
    <t>SCM</t>
  </si>
  <si>
    <t>Supply Chain Management</t>
  </si>
  <si>
    <t>SCM-APO</t>
  </si>
  <si>
    <t>Advanced Planning and Optimization</t>
  </si>
  <si>
    <t>SCM-APO-ATP</t>
  </si>
  <si>
    <t>Global Available-to-Promise</t>
  </si>
  <si>
    <t>SCM-APO-ATP-BF</t>
  </si>
  <si>
    <t>SCM-APO-ATP-BF-PAC</t>
  </si>
  <si>
    <t>Product Availability</t>
  </si>
  <si>
    <t>Underconfirmation when creating delivery</t>
  </si>
  <si>
    <t>SCM-APO-ATP-BOP</t>
  </si>
  <si>
    <t>Backorder Processing</t>
  </si>
  <si>
    <t>Duplicate RBA subitems after BOP for CRM orders</t>
  </si>
  <si>
    <t>SCM-APO-ATP-SCH</t>
  </si>
  <si>
    <t>Time and Scheduling</t>
  </si>
  <si>
    <t>Wrong dates in sales order with individual purchase order</t>
  </si>
  <si>
    <t>SCM-APO-INT</t>
  </si>
  <si>
    <t>RCIFVARIANTCHANGE: Job terminates - GUI cannot be reached</t>
  </si>
  <si>
    <t>SCM-APO-INT-CCR</t>
  </si>
  <si>
    <t>CIF Compare and Refresh</t>
  </si>
  <si>
    <t>SCM-APO-INT-CCR-SLS</t>
  </si>
  <si>
    <t>Sales and Distributi</t>
  </si>
  <si>
    <t>Deltareport: inconsistent iteration for sales documents</t>
  </si>
  <si>
    <t>SCM-APO-INT-CDS</t>
  </si>
  <si>
    <t>Sales Scheduling</t>
  </si>
  <si>
    <t>Performance, confirmation receipt, sales sched. agreement</t>
  </si>
  <si>
    <t>SCM-APO-INT-CON</t>
  </si>
  <si>
    <t>Configuration</t>
  </si>
  <si>
    <t>Error in CIF when generating subcontract order</t>
  </si>
  <si>
    <t>Deadlock: configuration sent along with orders</t>
  </si>
  <si>
    <t>Changes in configuration for material variants not CIFed</t>
  </si>
  <si>
    <t>SCM-APO-INT-DP</t>
  </si>
  <si>
    <t>Demand Planning</t>
  </si>
  <si>
    <t>SCM-APO-INT-DP-PIR</t>
  </si>
  <si>
    <t>Planned Independent</t>
  </si>
  <si>
    <t>Long processing time during PIR transfer to APO</t>
  </si>
  <si>
    <t>SCM-APO-INT-MD</t>
  </si>
  <si>
    <t>SCM-APO-INT-MD-PDS</t>
  </si>
  <si>
    <t>Production Data</t>
  </si>
  <si>
    <t>CURTO_CREATE: Runtime error ITAB_ILLEGAL_SORT_ORDER II</t>
  </si>
  <si>
    <t>INT-PDS: Unreleased change number can delete BOM item</t>
  </si>
  <si>
    <t>INT-PDS: Referenced operations get lost</t>
  </si>
  <si>
    <t>INT-PDS: Changes in PDS_MAINT not considered</t>
  </si>
  <si>
    <t>INT-PDS: No suboperations when cumulated without omission</t>
  </si>
  <si>
    <t>PDS-EXP: arbitrary sequence of BOM items</t>
  </si>
  <si>
    <t>PDS-INT: Operations and activities missing in subcontracting</t>
  </si>
  <si>
    <t>PDS-EXP: Gaps between activities</t>
  </si>
  <si>
    <t>INT-PDS: Activity without mode created</t>
  </si>
  <si>
    <t>PDS_MAINT: Enabling automatic change transfer</t>
  </si>
  <si>
    <t>INT-PDS: Work center classification leads to incorrect modes</t>
  </si>
  <si>
    <t>INT-PDS: Interoperation times mapped incorrectly (PP)</t>
  </si>
  <si>
    <t>Dump ITAB_DUPLICATE_KEY when changing change number validity</t>
  </si>
  <si>
    <t>SCM-APO-INT-MP</t>
  </si>
  <si>
    <t>Interfaces Mill</t>
  </si>
  <si>
    <t>IS-MP: Own config. in production order w/ identical config.</t>
  </si>
  <si>
    <t>SCM-APO-INT-PPS</t>
  </si>
  <si>
    <t>PP-DS / Production a</t>
  </si>
  <si>
    <t>Wrong requirement quantities for variable size items.</t>
  </si>
  <si>
    <t>SCM-APO-INT-PUR</t>
  </si>
  <si>
    <t>Purchasing / Purchas</t>
  </si>
  <si>
    <t>BOP integration: error XC260 - Different number of lines</t>
  </si>
  <si>
    <t>Allow retransfer of STO to APO for orders created in APO</t>
  </si>
  <si>
    <t>Customer/vendor information for sales / procurement document</t>
  </si>
  <si>
    <t>Quantity of PORet not reduced in APO after outbound delivery</t>
  </si>
  <si>
    <t>Blocked stock STO requirements is pegging relevant</t>
  </si>
  <si>
    <t>Using new me21n enjoy functionality for PO from APO</t>
  </si>
  <si>
    <t>MPN from source list is ignored by R/3 inbound process(4)</t>
  </si>
  <si>
    <t>Purchasing document category ignored by note 1475765</t>
  </si>
  <si>
    <t>Order transfer to R3 fails with error Function /SAPAPO/FIXMG</t>
  </si>
  <si>
    <t>Uncorrect PR is deleted in R/3 by integration from APO</t>
  </si>
  <si>
    <t>SCM-APO-INT-PUR-SQ</t>
  </si>
  <si>
    <t>Sources of Supply</t>
  </si>
  <si>
    <t>Error XC014 during activation of integration model for PIR</t>
  </si>
  <si>
    <t>Purchase info record: Deletion flag ignored in APO</t>
  </si>
  <si>
    <t>SCM-APO-INT-SLS</t>
  </si>
  <si>
    <t>VMI order: in transit nodes not created for batch items</t>
  </si>
  <si>
    <t>Queue SYSFAIL: "Error during update in table /SAPAPO/OBREF"</t>
  </si>
  <si>
    <t>/sapapo/sdrqcr21: cannot fix multiple missing schedule lines</t>
  </si>
  <si>
    <t>Report rimodini: performance problem with sales orders</t>
  </si>
  <si>
    <t>/sapapo/sdrqcr21: timeout when reconciling errors</t>
  </si>
  <si>
    <t>SCM-APO-INT-SLS-OBOP</t>
  </si>
  <si>
    <t>Outbound APO Backord</t>
  </si>
  <si>
    <t>The result of backorder processing not transferred to R/3</t>
  </si>
  <si>
    <t>SCM-APO-MD</t>
  </si>
  <si>
    <t>SCM-APO-MD-PDS</t>
  </si>
  <si>
    <t>CALL_FUNCTION_REMOTE_ERROR for /SAPAPO/CURTO_ORDER_EXPLODE</t>
  </si>
  <si>
    <t>SCM-FRE</t>
  </si>
  <si>
    <t>Forecasting and Replenishment</t>
  </si>
  <si>
    <t>SCM-FRE-ERP</t>
  </si>
  <si>
    <t>SAP F&amp;R - Interfaces</t>
  </si>
  <si>
    <t>Combination of DIFIDs does not work when confirm. required</t>
  </si>
  <si>
    <t>Transfer of TSD objects: Change of MARD access</t>
  </si>
  <si>
    <t>Empty merchandise category for variants of generic articles</t>
  </si>
  <si>
    <t>FRE04: Runtime error COMPUTE_INT_PLUS_OVERFLOW</t>
  </si>
  <si>
    <t>FRE03: Transfer data general does not work for consumption</t>
  </si>
  <si>
    <t>Delta: wrong purchasing organization for internal lanes</t>
  </si>
  <si>
    <t>Contract item remains in PO though header is deleted</t>
  </si>
  <si>
    <t>Deletion of PO via MEMASSPO- wrong change pointer created</t>
  </si>
  <si>
    <t>FRE_REORG_ART_SITE empty article field does not select all</t>
  </si>
  <si>
    <t>FRE_REORG_ART_SITE validity date cannot include max date</t>
  </si>
  <si>
    <t>FRE06: error in contract determination for F&amp;R</t>
  </si>
  <si>
    <t>Contract deletion pointers are not transferred to F&amp;R</t>
  </si>
  <si>
    <t>FRE_REORG_ART_SITE empty article field note 1755194 part 2</t>
  </si>
  <si>
    <t>FRE02 - Time selection in wrong time zone</t>
  </si>
  <si>
    <t>SCM-FRE-IF</t>
  </si>
  <si>
    <t>FRE02 stock/cons data sent despite checkboxes not flagged</t>
  </si>
  <si>
    <t>Historical listing information not updated correctly</t>
  </si>
  <si>
    <t>SCM-ICH</t>
  </si>
  <si>
    <t>Supply Network Collaboration</t>
  </si>
  <si>
    <t>SCM-ICH-ERP</t>
  </si>
  <si>
    <t>ERP-ICH Integration</t>
  </si>
  <si>
    <t>RSMIPROACT, ROEMPROACT2: Error message for invalid MRP area</t>
  </si>
  <si>
    <t>RSMIPROACT2: Poor performance during IDoc creation</t>
  </si>
  <si>
    <t>RSMIPROACT: GRs for return POs are incorrectly selected</t>
  </si>
  <si>
    <t>RSMIPROACT: Material document references are not unique</t>
  </si>
  <si>
    <t>ROEMPROACT2: Unselected key figures sent out</t>
  </si>
  <si>
    <t>RSMIPROACT2, ROEMPROACT2: Dump when BAdI is inactive</t>
  </si>
  <si>
    <t>RSMIPROACT2: GR references are not selected</t>
  </si>
  <si>
    <t>CC: QM-Lot: XML interface changes on SNC and ERP</t>
  </si>
  <si>
    <t>SCM-TM</t>
  </si>
  <si>
    <t>Transportation Management (only for releases 6.0 &amp; 7.0)</t>
  </si>
  <si>
    <t>SCM-TM-TCM</t>
  </si>
  <si>
    <t>Transportation Charge Management</t>
  </si>
  <si>
    <t>SCM-TM-TCM-SFI</t>
  </si>
  <si>
    <t>Supplier Freight Inv</t>
  </si>
  <si>
    <t>Inv. Ver. fails for TM7.0 in dual TM 7 &amp; 8 environment</t>
  </si>
  <si>
    <t>SD</t>
  </si>
  <si>
    <t>Sales and Distribution</t>
  </si>
  <si>
    <t>SD-BF</t>
  </si>
  <si>
    <t>SD-BF-AC</t>
  </si>
  <si>
    <t>Connection of ICON in the availability area</t>
  </si>
  <si>
    <t>sales order: IDOC processing fails with error 00 344</t>
  </si>
  <si>
    <t>Static assembly: wrong confirmation in sales order</t>
  </si>
  <si>
    <t>Exception TABLE_INVALID_INDEX when working on Sales Order</t>
  </si>
  <si>
    <t>Stock transfer delivery with blocked stock is MRP relevant</t>
  </si>
  <si>
    <t>Error LIST_TO_MANY_TABLE_ENTRIES when running SDRQCR21</t>
  </si>
  <si>
    <t>SD-BF-AC-APO</t>
  </si>
  <si>
    <t>ATP Interface Sales</t>
  </si>
  <si>
    <t>No date correlation for sales BOM headers after BOP run</t>
  </si>
  <si>
    <t>SD-BF-AC-BOP</t>
  </si>
  <si>
    <t>Back Order Processing: optimization of error management</t>
  </si>
  <si>
    <t>Route Schedule missing after rescheduling</t>
  </si>
  <si>
    <t>SD-BF-AC-PAL</t>
  </si>
  <si>
    <t>Check against Produc</t>
  </si>
  <si>
    <t>VA02 : Quantity is not reconfirmed after new PAL check</t>
  </si>
  <si>
    <t>SD-BF-CD</t>
  </si>
  <si>
    <t>Campaign Determinati</t>
  </si>
  <si>
    <t>SD_COND_GET_MULTIVAL_ATTR:Termination due to memory overflow</t>
  </si>
  <si>
    <t>No campaign determination when requested delivery date chgd</t>
  </si>
  <si>
    <t>No multiple campaigns for batch split</t>
  </si>
  <si>
    <t>SD-BF-CM</t>
  </si>
  <si>
    <t>Next date (VBAK-CMNGV) not determined correctly</t>
  </si>
  <si>
    <t>Runtime error TABLE_INVALID_INDEX during credit check</t>
  </si>
  <si>
    <t>Documented credit decision: IDoc processing</t>
  </si>
  <si>
    <t>SD-BF-MD</t>
  </si>
  <si>
    <t>Material Determin.</t>
  </si>
  <si>
    <t>Incorrect sales unit after material determination terminates</t>
  </si>
  <si>
    <t>SD-BF-PD</t>
  </si>
  <si>
    <t>Partner Determ.</t>
  </si>
  <si>
    <t>Incorrect/no change docs when changing authorized partner</t>
  </si>
  <si>
    <t>Dump when creating order item with reference</t>
  </si>
  <si>
    <t>Create with reference: Incorrect addresses</t>
  </si>
  <si>
    <t>Term of Payment determined again when changing TAXJURCODE</t>
  </si>
  <si>
    <t>SD-BF-PR</t>
  </si>
  <si>
    <t>Adding comment:"Reserved for OGSD" for pricing routine 450</t>
  </si>
  <si>
    <t>SD-BF-TP</t>
  </si>
  <si>
    <t>Word Processing</t>
  </si>
  <si>
    <t>Text is not displayed correctly V</t>
  </si>
  <si>
    <t>SD-BF-TX</t>
  </si>
  <si>
    <t>Taxes</t>
  </si>
  <si>
    <t>SD billing document transfer: Determining tax rate from FI</t>
  </si>
  <si>
    <t>Export with invalid tax jurisdiction (1)</t>
  </si>
  <si>
    <t>SD-BIL</t>
  </si>
  <si>
    <t>SD-BIL-CA</t>
  </si>
  <si>
    <t>Account Assignment</t>
  </si>
  <si>
    <t>Cash desk clearing of billing document leads to F5 742</t>
  </si>
  <si>
    <t>SD-BIL-GF</t>
  </si>
  <si>
    <t>SDMFSTRP: Different list format</t>
  </si>
  <si>
    <t>Creating billing type: Error message for list of invoices</t>
  </si>
  <si>
    <t>SD-BIL-GF-AR</t>
  </si>
  <si>
    <t>Archiving Billing</t>
  </si>
  <si>
    <t>No export data in 'Display from archive' (2)</t>
  </si>
  <si>
    <t>SD-BIL-GF-OC</t>
  </si>
  <si>
    <t>Output Control Bill.</t>
  </si>
  <si>
    <t>SAPscript: EU - Note for tax exemption (STCEG_H)</t>
  </si>
  <si>
    <t>SmartForms: Original and copy in several languages</t>
  </si>
  <si>
    <t>SD-BIL-IV</t>
  </si>
  <si>
    <t>Proc. billing doc.</t>
  </si>
  <si>
    <t>CSFG: Incorrect texts in the billing document</t>
  </si>
  <si>
    <t>Billing date in item selection</t>
  </si>
  <si>
    <t>CSFG: Orders without charge not in billing due list</t>
  </si>
  <si>
    <t>Billing doc.:No function when double-clicking partner no.</t>
  </si>
  <si>
    <t>RV60SBAT: Parameter "No docs with billing block"</t>
  </si>
  <si>
    <t>Incorrect billing status VBUP-FKSAA for down payments</t>
  </si>
  <si>
    <t>CSFG: Performance when selecting texts</t>
  </si>
  <si>
    <t>SD-BIL-IV-DP</t>
  </si>
  <si>
    <t>Down Payments</t>
  </si>
  <si>
    <t>Condition-based down payment: VF 533 for cancellation</t>
  </si>
  <si>
    <t>SD-BIL-IV-SM</t>
  </si>
  <si>
    <t>Res.-Related Billing</t>
  </si>
  <si>
    <t>Purchase order data check for consolidation in DP90</t>
  </si>
  <si>
    <t>CBAD: Item level can be deleted despite existing budget</t>
  </si>
  <si>
    <t>DP90: Quantity conversion missing in sales unit</t>
  </si>
  <si>
    <t>SD-BIL-RB</t>
  </si>
  <si>
    <t>Rebate Processing</t>
  </si>
  <si>
    <t>SD-BIL-RB-ENH</t>
  </si>
  <si>
    <t>Enhanced Rebates</t>
  </si>
  <si>
    <t>Accrual reversal for unlimited claim settlement</t>
  </si>
  <si>
    <t>SD-BIL-RR</t>
  </si>
  <si>
    <t>Revenue Recognition</t>
  </si>
  <si>
    <t>Revenue Recognition: Follow-up to SAP note 1557062</t>
  </si>
  <si>
    <t>VF44 processes only the last line for a sales order period</t>
  </si>
  <si>
    <t>VF47:Incorrect E11 error in SD check after VF46 cancellation</t>
  </si>
  <si>
    <t>Framework report SDRR_CORR_FRAMEWORK cannot be used in bkgd</t>
  </si>
  <si>
    <t>VF47: Incorrect E10 error for contracts type B</t>
  </si>
  <si>
    <t>VF47 deletes control lines with balance for accrual accounts</t>
  </si>
  <si>
    <t>Activated Customizing for SAP SD revenue recognition</t>
  </si>
  <si>
    <t>Revenue recognition: Superfluous control lines (VBREVK)</t>
  </si>
  <si>
    <t>VF47:Incorrect E10 error for delivery-relevant orders type B</t>
  </si>
  <si>
    <t>SD-CAS</t>
  </si>
  <si>
    <t>Sales Support</t>
  </si>
  <si>
    <t>SD-CAS-SA</t>
  </si>
  <si>
    <t>Sales Activities</t>
  </si>
  <si>
    <t>Transaction VC01N or VC01N_M: Large memory requirement</t>
  </si>
  <si>
    <t>SD-EDI</t>
  </si>
  <si>
    <t>Electronic Data Interchange</t>
  </si>
  <si>
    <t>SD-EDI-OM</t>
  </si>
  <si>
    <t>Outbound Messages</t>
  </si>
  <si>
    <t>SD-EDI-OM-IV</t>
  </si>
  <si>
    <t>OM Invoices</t>
  </si>
  <si>
    <t>IDOC - INVOIC: TXJCD for RRICB and intercompany billing</t>
  </si>
  <si>
    <t>INVOIC: Short dump BCD_ZERODIVIDE during IDoc processing</t>
  </si>
  <si>
    <t>SD-FT</t>
  </si>
  <si>
    <t>SD-FT-CON</t>
  </si>
  <si>
    <t>Legal Control</t>
  </si>
  <si>
    <t>Disp. business transaction type desc. in legal control data</t>
  </si>
  <si>
    <t>License: Selection using an external number</t>
  </si>
  <si>
    <t>VE29 - Performance problem</t>
  </si>
  <si>
    <t>License - Country displays in incorrect language</t>
  </si>
  <si>
    <t>Export control log shows a wrong result</t>
  </si>
  <si>
    <t>SD-FT-GOV</t>
  </si>
  <si>
    <t>Intrastat France: SIRET number at item level</t>
  </si>
  <si>
    <t>Transaction VEB1 causes a short dump</t>
  </si>
  <si>
    <t>Intrastat Portugal - 9-digit commodity codes</t>
  </si>
  <si>
    <t>INTRASTAT: RVEXDAII: Displaying cover sheet Sezione 3 and 4</t>
  </si>
  <si>
    <t>INTRASTAT customizing for Poland: cursor is set wrongly</t>
  </si>
  <si>
    <t>SD-FT-LOC</t>
  </si>
  <si>
    <t>Doc. Pymt. Guarantee</t>
  </si>
  <si>
    <t>Entering the payment guarantee procedure in delivery note</t>
  </si>
  <si>
    <t>SD-FT-PRE</t>
  </si>
  <si>
    <t>Preference Handling</t>
  </si>
  <si>
    <t>Incorr. form for vendor declaration for customers' purposes</t>
  </si>
  <si>
    <t>SD-FT-PRO</t>
  </si>
  <si>
    <t>Protected fields for EXIT_SAPLV50E_004</t>
  </si>
  <si>
    <t>SD-IS</t>
  </si>
  <si>
    <t>Error M2 205 for setting up statistical data</t>
  </si>
  <si>
    <t>SD-MD</t>
  </si>
  <si>
    <t>SD-MD-AM</t>
  </si>
  <si>
    <t>Agreements</t>
  </si>
  <si>
    <t>SD-MD-AM-PRO</t>
  </si>
  <si>
    <t>Promotions / Deals</t>
  </si>
  <si>
    <t>Sales deal with reference to a sales deal can be created</t>
  </si>
  <si>
    <t>Errors occur when you sort agreement conditions</t>
  </si>
  <si>
    <t>SD-MD-AM-RAG</t>
  </si>
  <si>
    <t>Rebate Agreements</t>
  </si>
  <si>
    <t>Deleting bonus agreements possible despite used condition</t>
  </si>
  <si>
    <t>SD-MD-CM</t>
  </si>
  <si>
    <t>Conditions/CondMaint</t>
  </si>
  <si>
    <t>Creating condition records: Rate not transferred</t>
  </si>
  <si>
    <t>SOA: Termination ASSERTION_FAILED for condition changes</t>
  </si>
  <si>
    <t>Batch determination - Incorrect screen after "Save" &amp; "Back"</t>
  </si>
  <si>
    <t>SOA: Termination GETWA_NOT_ASSIGNED for condition changes</t>
  </si>
  <si>
    <t>Condition IDocs: Currency is initial in the variable key</t>
  </si>
  <si>
    <t>IDoc/BAPI: Incorrect creation of scales II</t>
  </si>
  <si>
    <t>Condition upload: DATA_OFFSET_TOO_LARGE</t>
  </si>
  <si>
    <t>Incorrect title when displaying rebate condition record</t>
  </si>
  <si>
    <t>VK11: Dialog box about losing data though no change is made</t>
  </si>
  <si>
    <t>Condition list: Error message for incompatible paramter</t>
  </si>
  <si>
    <t>Output determination corr. report deletes pricing records</t>
  </si>
  <si>
    <t>Condition upload: VADAT is not transferred correctly</t>
  </si>
  <si>
    <t>SD-MD-MM</t>
  </si>
  <si>
    <t>Material Maintenance</t>
  </si>
  <si>
    <t>SD-MD-MM-CS</t>
  </si>
  <si>
    <t>cross selling popup not triggered</t>
  </si>
  <si>
    <t>SD-SLS</t>
  </si>
  <si>
    <t>Details missing for POWL Sales Orders with indiv. purchasing</t>
  </si>
  <si>
    <t>Serial numbers are not copied to production order</t>
  </si>
  <si>
    <t>Search criterion "Creation Date" available</t>
  </si>
  <si>
    <t>SD-SLS-API</t>
  </si>
  <si>
    <t>SD API Interface</t>
  </si>
  <si>
    <t>Customer master contact partner is not returned to CRM UI</t>
  </si>
  <si>
    <t>Material number is displayed incorrectly</t>
  </si>
  <si>
    <t>LORD document flow: Quantity and unit of measure are missing</t>
  </si>
  <si>
    <t>SD-SLS-GF</t>
  </si>
  <si>
    <t>SD-SLS-GF-IF</t>
  </si>
  <si>
    <t>Sales Documents BAPI</t>
  </si>
  <si>
    <t>Period of performance cannot be changed</t>
  </si>
  <si>
    <t>Internal partner table (XVBPA) is initialized</t>
  </si>
  <si>
    <t>The change of a header condition is not saved</t>
  </si>
  <si>
    <t>New condition line WK00 when changing document</t>
  </si>
  <si>
    <t>Error V2138 issued for CHANGE BAPI</t>
  </si>
  <si>
    <t>SD-SLS-GF-RE</t>
  </si>
  <si>
    <t>SD Reporting</t>
  </si>
  <si>
    <t>Sales documents list: Dump TABLE_INVALID_INDEX</t>
  </si>
  <si>
    <t>Document flow: Reference value is not displayed correctly</t>
  </si>
  <si>
    <t>V.25: Advance authorization check w/incorrect order type</t>
  </si>
  <si>
    <t>Syntax error in the program SAPLMCS1</t>
  </si>
  <si>
    <t>Status overview: Dump displaying material document for GR</t>
  </si>
  <si>
    <t>SD-SLS-GF-VA</t>
  </si>
  <si>
    <t>SD BOM, Variant proc</t>
  </si>
  <si>
    <t>Empties: Incorrect quantities in subitems when create w/ref.</t>
  </si>
  <si>
    <t>SD-SLS-OA</t>
  </si>
  <si>
    <t>Outline Agreements (Customer)</t>
  </si>
  <si>
    <t>SD-SLS-OA-SCH</t>
  </si>
  <si>
    <t>Customer Scheduling</t>
  </si>
  <si>
    <t>Performance of CMDS scheduling agreements</t>
  </si>
  <si>
    <t>SD-SLS-SO</t>
  </si>
  <si>
    <t>Sales Orders</t>
  </si>
  <si>
    <t>Taxes determined incorr. when creating SO with reference II</t>
  </si>
  <si>
    <t>CSFG: No document flow when creating the delivery (2)</t>
  </si>
  <si>
    <t>Message 00 030: SET SCREEN is not allowed in subscreens</t>
  </si>
  <si>
    <t>Material field on item detail screen not ready for input</t>
  </si>
  <si>
    <t>Resource-related billing: Account assignment is lost</t>
  </si>
  <si>
    <t>SD-SLS-SO-RBA</t>
  </si>
  <si>
    <t>SD rules-based ATP</t>
  </si>
  <si>
    <t>RBA and product selection: You can change scheduling screen</t>
  </si>
  <si>
    <t>RBA: Subitem deleted if WBS element exists</t>
  </si>
  <si>
    <t>SD-SLS-SO-TP</t>
  </si>
  <si>
    <t>SD Third-party order</t>
  </si>
  <si>
    <t>V1331 when entering quantity 0 +rejection reason;third-party</t>
  </si>
  <si>
    <t>SD-SLS-UI</t>
  </si>
  <si>
    <t>Configurable Sales</t>
  </si>
  <si>
    <t>Missing authorisation proposals for Sales Doc Processing</t>
  </si>
  <si>
    <t>Sales UI: Default language for item texts not set</t>
  </si>
  <si>
    <t>SRM</t>
  </si>
  <si>
    <t>Supplier Relationship Management</t>
  </si>
  <si>
    <t>SRM-EBP</t>
  </si>
  <si>
    <t>SRM-EBP-ADM</t>
  </si>
  <si>
    <t>Organization/Business Partner Administration</t>
  </si>
  <si>
    <t>SRM-EBP-ADM-XBP</t>
  </si>
  <si>
    <t>Ext.Business Partner</t>
  </si>
  <si>
    <t>BBP_VENDOR_SYNC: Mis-match of creditors and vendors</t>
  </si>
  <si>
    <t>Preparation to connect SAP SRM to SAP ERP 2005 EhPs</t>
  </si>
  <si>
    <t>SRM-EBP-CA</t>
  </si>
  <si>
    <t>Cross-Application Functions</t>
  </si>
  <si>
    <t>SRM-EBP-CA-BUD</t>
  </si>
  <si>
    <t>Plant is not being used for budget determination</t>
  </si>
  <si>
    <t>Budget Check error BP(629) in case of local scenario</t>
  </si>
  <si>
    <t>SRM-EBP-CON</t>
  </si>
  <si>
    <t>Contract Management</t>
  </si>
  <si>
    <t>GOA: Backend Company Code not mapped to the IDOC segement</t>
  </si>
  <si>
    <t>Incorrect item number during initial upload of contract</t>
  </si>
  <si>
    <t>SRM-EBP-ESA</t>
  </si>
  <si>
    <t>SRM Enterpr. Service</t>
  </si>
  <si>
    <t>Missing Account Assignment block</t>
  </si>
  <si>
    <t>PurchaseRequestERPSourcingRequest: Serialization issue</t>
  </si>
  <si>
    <t>SRM-EBP-EXR</t>
  </si>
  <si>
    <t>External Requirement</t>
  </si>
  <si>
    <t>External requirements: Contract number not transferred</t>
  </si>
  <si>
    <t>SRM-EBP-INT</t>
  </si>
  <si>
    <t>Plug-In Interfaces</t>
  </si>
  <si>
    <t>Line number not displayed in backend error</t>
  </si>
  <si>
    <t>SRM-EBP-INV</t>
  </si>
  <si>
    <t>Invoicing</t>
  </si>
  <si>
    <t>Withholding tax is missing in accounting documents</t>
  </si>
  <si>
    <t>Invoice: earmarked funds data is not filled</t>
  </si>
  <si>
    <t>SRM-EBP-PD</t>
  </si>
  <si>
    <t>Proc. Doc. Methods</t>
  </si>
  <si>
    <t>BBP_GET_STATUS_2: Incorrect ordered qty in case of services</t>
  </si>
  <si>
    <t>SRM-EBP-RMS</t>
  </si>
  <si>
    <t>Integration with SAP</t>
  </si>
  <si>
    <t>Connection to SRM system does not work</t>
  </si>
  <si>
    <t>SRM-EBP-SHP</t>
  </si>
  <si>
    <t>Shopping Cart</t>
  </si>
  <si>
    <t>Price for service contract in SC SOS is incorrect</t>
  </si>
  <si>
    <t>SRM-EBP-STA</t>
  </si>
  <si>
    <t>Status</t>
  </si>
  <si>
    <t>Shopping cart item linked to many PO items - never completed</t>
  </si>
  <si>
    <t>SRM-ESO</t>
  </si>
  <si>
    <t>SRM eSourcing (Frictionless -Please use subcomponents)</t>
  </si>
  <si>
    <t>SRM-ESO-ERP</t>
  </si>
  <si>
    <t>ERP Integration</t>
  </si>
  <si>
    <t>Quality Info Record required for SAP Sourcing vendor</t>
  </si>
  <si>
    <t>SRM-KM</t>
  </si>
  <si>
    <t>SRM Knowledge Management</t>
  </si>
  <si>
    <t>SRM-KM-DOC</t>
  </si>
  <si>
    <t>SRM Documentation</t>
  </si>
  <si>
    <t>Technical Information Missing from Business Process workflow</t>
  </si>
  <si>
    <t>SV</t>
  </si>
  <si>
    <t>Service</t>
  </si>
  <si>
    <t>SV-SMB</t>
  </si>
  <si>
    <t>SAP for small and midsize businesses</t>
  </si>
  <si>
    <t>SV-SMB-AIO</t>
  </si>
  <si>
    <t>SAP Business All-in-One Development</t>
  </si>
  <si>
    <t>SV-SMB-AIO-AET</t>
  </si>
  <si>
    <t>SAP All-in-One Enabling Technologies</t>
  </si>
  <si>
    <t>SV-SMB-AIO-AET-CO</t>
  </si>
  <si>
    <t>POWL /KYK/ISQ_KOB1: Technical error occurs by mistake</t>
  </si>
  <si>
    <t>Grayed out CO POWLs</t>
  </si>
  <si>
    <t>SV-SMB-AIO-AET-MM</t>
  </si>
  <si>
    <t>POWL-Query /KYK/OP_OPS_MM_POREL returns duplicate results</t>
  </si>
  <si>
    <t>TM</t>
  </si>
  <si>
    <t>Transportation Management (no software transports)</t>
  </si>
  <si>
    <t>TM-ERP</t>
  </si>
  <si>
    <t>ERP Logistics Int.</t>
  </si>
  <si>
    <t>Invoice service Groups</t>
  </si>
  <si>
    <t>KM Changes to Activation of Correction Postings Impl.</t>
  </si>
  <si>
    <t>ERP-TM: Adding business partner type codes</t>
  </si>
  <si>
    <t>TM-ERP-SHP</t>
  </si>
  <si>
    <t>Shipment</t>
  </si>
  <si>
    <t>Service Groups for Shipment</t>
  </si>
  <si>
    <t>TM-ERP-TR</t>
  </si>
  <si>
    <t>Transportation Requirement</t>
  </si>
  <si>
    <t>TM-ERP-TR-OTR</t>
  </si>
  <si>
    <t>Order-Based Transp.</t>
  </si>
  <si>
    <t>Transfer of Transportation Service Level per Item</t>
  </si>
  <si>
    <t>TM-FRS</t>
  </si>
  <si>
    <t>Freight Settlement</t>
  </si>
  <si>
    <t>Issue in aggregation of services for service based IV.</t>
  </si>
  <si>
    <t>Credit Memo Functionality on Freight Side</t>
  </si>
  <si>
    <t>Posting Date of SES should be mapped with Invoice date</t>
  </si>
  <si>
    <t>Deleted Service Entry Sheet not displayed correctly</t>
  </si>
  <si>
    <t>ATC errors</t>
  </si>
  <si>
    <t>TM-FWS</t>
  </si>
  <si>
    <t>Forwarding Settlemen</t>
  </si>
  <si>
    <t>Sales Group Adjustment for TM Settlement process</t>
  </si>
  <si>
    <t>Cancellation of resource based Internal Settlement</t>
  </si>
  <si>
    <t>Invoice printing</t>
  </si>
  <si>
    <t>Amounts multiplied by 100 while creating Billing Document</t>
  </si>
  <si>
    <t>Exception Handling: Settlement related proxies</t>
  </si>
  <si>
    <t>TM-FWS-BIL</t>
  </si>
  <si>
    <t>ERP Billing</t>
  </si>
  <si>
    <t>Credit Memo Transfer from SAP TM Rejected in SAP ERP.</t>
  </si>
  <si>
    <t>Deviating address to be captured in the SD Billing Document</t>
  </si>
  <si>
    <t>TR</t>
  </si>
  <si>
    <t>Treasury</t>
  </si>
  <si>
    <t>TR-TM</t>
  </si>
  <si>
    <t>Treasury Management</t>
  </si>
  <si>
    <t>TR-TM-TM</t>
  </si>
  <si>
    <t>Enhancements of Market Data Upload - use note: 1704773</t>
  </si>
  <si>
    <t>WEC</t>
  </si>
  <si>
    <t>Web Channel Exp. Mgt</t>
  </si>
  <si>
    <t>WCEM 3.0: Authorization Data (Auth. Proposals, Roles)</t>
  </si>
  <si>
    <t>WEC-APP</t>
  </si>
  <si>
    <t>Web Channel Applications</t>
  </si>
  <si>
    <t>WEC-APP-BF</t>
  </si>
  <si>
    <t>Web Channel: Cross-application functions</t>
  </si>
  <si>
    <t>WEC-APP-BF-CRS</t>
  </si>
  <si>
    <t>General&amp; reuse funct</t>
  </si>
  <si>
    <t>WCEM 3.0 Business Function for SAP ERP</t>
  </si>
  <si>
    <t>WEC-APP-ISP</t>
  </si>
  <si>
    <t>WEC In-Store Pickup</t>
  </si>
  <si>
    <t>Corrections of function module for instore delivery (ERP)</t>
  </si>
  <si>
    <t>subsequent listing for instore delivery products</t>
  </si>
  <si>
    <t>WEC-APP-SLS</t>
  </si>
  <si>
    <t>Web Channel Sales Application</t>
  </si>
  <si>
    <t>WEC-APP-SLS-ERP</t>
  </si>
  <si>
    <t>WEC Sales w. ERP-SD</t>
  </si>
  <si>
    <t>Collective Note for SAP Web Channel Exp. Mgmt Documentation</t>
  </si>
  <si>
    <t>WEC-APP-UM</t>
  </si>
  <si>
    <t>WEC User Management</t>
  </si>
  <si>
    <t>Development B2B Self-Registration and Del. User Admin.</t>
  </si>
  <si>
    <t>Additional object type for WEC object authorizations</t>
  </si>
  <si>
    <t>Errorhandling forgot user scenario multi soldto assignement</t>
  </si>
  <si>
    <t>Missing mobile number in communication data of contact</t>
  </si>
  <si>
    <t>Registration for US addresses doesn't work</t>
  </si>
  <si>
    <t>Authorization check not handled for WEC B2B User creation</t>
  </si>
  <si>
    <t>Registration user with existing customer and contact</t>
  </si>
  <si>
    <t>Second attempt for B2C self-registration fails</t>
  </si>
  <si>
    <t>XAP</t>
  </si>
  <si>
    <t>Collaborative Cross Applications</t>
  </si>
  <si>
    <t>XAP-MBA</t>
  </si>
  <si>
    <t>Mobile Business Applications</t>
  </si>
  <si>
    <t>XAP-MBA-DSD</t>
  </si>
  <si>
    <t>Direct Store Deliver</t>
  </si>
  <si>
    <t>/DSD/PE_EXTPHYSI does not have all UoM utilized in pricing</t>
  </si>
  <si>
    <t>XAP-MBA-DSD-PRC</t>
  </si>
  <si>
    <t>Scale pricing records not updated correctly</t>
  </si>
  <si>
    <t>XX-CSC</t>
  </si>
  <si>
    <t>Country-Specific Developments</t>
  </si>
  <si>
    <t>XX-CSC-AE</t>
  </si>
  <si>
    <t>United Arabic Emirates</t>
  </si>
  <si>
    <t>XX-CSC-AE-FI</t>
  </si>
  <si>
    <t>Financial Acct.</t>
  </si>
  <si>
    <t>UAE Fund Transfer Systems</t>
  </si>
  <si>
    <t>XX-CSC-AR</t>
  </si>
  <si>
    <t>Argentina</t>
  </si>
  <si>
    <t>Dummy:checkman</t>
  </si>
  <si>
    <t>General Resolution 3164/2011 for Argentina</t>
  </si>
  <si>
    <t>J_1AF205: Issue with amount fields in Detail file</t>
  </si>
  <si>
    <t>RFIDARR615: Open items update</t>
  </si>
  <si>
    <t>J_1AF016: Base amount is reported wrongly</t>
  </si>
  <si>
    <t>RFIDARR615: AR Vendor update RG3164</t>
  </si>
  <si>
    <t>RG2682: tax calculation error</t>
  </si>
  <si>
    <t>RG 3164: Error in calculation of accumulation amount</t>
  </si>
  <si>
    <t>RG2682: tax code error while posting the document</t>
  </si>
  <si>
    <t>RG 3164: Reversal in different fiscal year</t>
  </si>
  <si>
    <t>Legal change: To include contingency branches in J_1AFONR</t>
  </si>
  <si>
    <t>J_1AF205: Issues with 'Document Type' and 'ODN'.</t>
  </si>
  <si>
    <t>RG3164: Invoice reversals with multiple vendor lines</t>
  </si>
  <si>
    <t>XX-CSC-AR-IS</t>
  </si>
  <si>
    <t>XX-CSC-AR-IS-OIL</t>
  </si>
  <si>
    <t>IS-Oil</t>
  </si>
  <si>
    <t>New enhancement needed by note 1758874</t>
  </si>
  <si>
    <t>XX-CSC-AR-LO</t>
  </si>
  <si>
    <t>AR WS RG2485: Incorrect VAT amounts in request XML file.</t>
  </si>
  <si>
    <t>AR WS RG2485: Incorrect amounts in request XML file</t>
  </si>
  <si>
    <t>AR WS RG2904: Issue with unit of measure(UoM) validation</t>
  </si>
  <si>
    <t>AR WS RG2485: Validation error for Taxnumber(STCD1)</t>
  </si>
  <si>
    <t>AR WS RG2485: Issues with request XML amounts</t>
  </si>
  <si>
    <t>AR:Duplicated Legal Numbers in Delivery Split</t>
  </si>
  <si>
    <t>RG2485: Tax number is filled from KNA1 for one-time customer</t>
  </si>
  <si>
    <t>XX-CSC-BR</t>
  </si>
  <si>
    <t>Brazil</t>
  </si>
  <si>
    <t>CI BR: CBT - Condition-Based Tax Calculation Brazil(updated)</t>
  </si>
  <si>
    <t>System is saving partner id of NF without leading zeros</t>
  </si>
  <si>
    <t>CFOP field is disabled for NF model 7</t>
  </si>
  <si>
    <t>Brazil: Isento Duplicity Check (Inscrição Estadual)</t>
  </si>
  <si>
    <t>NF Upload from MS Excel: Multiple Tax Types per Tax Group</t>
  </si>
  <si>
    <t>Alternative tax calculation procedure is not applied</t>
  </si>
  <si>
    <t>Error message 8B187 in J1B1N when payment terms is blank.</t>
  </si>
  <si>
    <t>BR: Batch input for tab page 'Import Documents'</t>
  </si>
  <si>
    <t>Skipping tax recalc. for Utilities in Brazil and Argentina</t>
  </si>
  <si>
    <t>XX-CSC-BR-FI</t>
  </si>
  <si>
    <t>Payment Files</t>
  </si>
  <si>
    <t>RFFOBR_A wrong State in flds 350-351 when using altern.pay</t>
  </si>
  <si>
    <t>DDA: Enhancement point in program J_1BBR20 and RFFOBR_DDA</t>
  </si>
  <si>
    <t>RFFOBR_A-j_1bdmexh3-h306 should be blank in FEBRABAN format</t>
  </si>
  <si>
    <t>J_1BBR30: Error FB759-Bank details &amp; &amp; not in table T028B</t>
  </si>
  <si>
    <t>XX-CSC-BR-FICA</t>
  </si>
  <si>
    <t>Contract Accounting</t>
  </si>
  <si>
    <t>Brazil: Missing Domain Value for DDIC domain BSTM_FORM_NAME</t>
  </si>
  <si>
    <t>XX-CSC-BR-IS</t>
  </si>
  <si>
    <t>XX-CSC-BR-IS-OIL</t>
  </si>
  <si>
    <t>New enhancements are needed by Note 1724269</t>
  </si>
  <si>
    <t>New enhancements are needed by Note 1731015</t>
  </si>
  <si>
    <t>XX-CSC-BR-MM</t>
  </si>
  <si>
    <t>Flexible PIS and COFINS Base for FI/MM Tax Codes</t>
  </si>
  <si>
    <t>Wrong tax calculation with PIS and COFINS pauta</t>
  </si>
  <si>
    <t>MIGO: comparison of delivery notes is lead. zeros dependent</t>
  </si>
  <si>
    <t>NF-e Simulation with XML Data with flexible PIS/COF base</t>
  </si>
  <si>
    <t>CFOP and Tax Law Determination for Subcontracting</t>
  </si>
  <si>
    <t>NF-e incoming: Balance error for Nota Fiscal with freight</t>
  </si>
  <si>
    <t>Correction flexible PIS/COFINS base for classical tax calc.</t>
  </si>
  <si>
    <t>Flexible PIS/COFINS base - Code Adjustment</t>
  </si>
  <si>
    <t>Short dump since Function is missing after SAP Note 1737087</t>
  </si>
  <si>
    <t>Short Dump since Function is missing after SAP Note 1738149</t>
  </si>
  <si>
    <t>PIS/COFINS for Assets</t>
  </si>
  <si>
    <t>MIRO is calculating the wrong Tax Amount for Scheduling Agr.</t>
  </si>
  <si>
    <t>XX-CSC-BR-NFE</t>
  </si>
  <si>
    <t>NF-e</t>
  </si>
  <si>
    <t>NF-e: Request cancellation/skipping automatically</t>
  </si>
  <si>
    <t>Documento Auxiliar do Conhecimento de Transporte Eletrônico</t>
  </si>
  <si>
    <t>Enhancements on CT-e documentation</t>
  </si>
  <si>
    <t>CT-e: Outbound Interface for non GRC systems</t>
  </si>
  <si>
    <t>No status update in NF-e/CT-e Monitor on RFC error with GRC</t>
  </si>
  <si>
    <t>Enhance NF-e Monitor with print functionality</t>
  </si>
  <si>
    <t>Minimum of 15 characters for cancel. and conting. reasons</t>
  </si>
  <si>
    <t>CT-e: Enhancements for airway, waterway, and railway</t>
  </si>
  <si>
    <t>Field &lt;iest&gt; for ICMS SubTrib is not filled correctly</t>
  </si>
  <si>
    <t>CT-e: Timestamp, Street &amp; House.No. missing when RFC space</t>
  </si>
  <si>
    <t>Sub.Trib. surcharge rate not filled in outgoing XML</t>
  </si>
  <si>
    <t>NF: Workflow is triggered before Nota Fiscal is stored</t>
  </si>
  <si>
    <t>NF-e: Take over price elements from incoming XML</t>
  </si>
  <si>
    <t>Prevent duplicate inbound updates from messaging system</t>
  </si>
  <si>
    <t>Creation date in result of report "Check Number Range Gaps"</t>
  </si>
  <si>
    <t>NF-e: Number Skip Report doesn't update last checked number</t>
  </si>
  <si>
    <t>Set Payment flag &lt;ForPag&gt; in XML for CT-E to 'To be Paid'</t>
  </si>
  <si>
    <t>NF-e: Wrong NF Reference in XML for Return to vendor</t>
  </si>
  <si>
    <t>NF-e correction letter - update error ignored</t>
  </si>
  <si>
    <t>NF-e: Obsolete Includes in function group J_1BNFE_CUST02</t>
  </si>
  <si>
    <t>Optimize Event selection in NFE Monitor</t>
  </si>
  <si>
    <t>NF field 'Original document number' empty for Entrada Compl.</t>
  </si>
  <si>
    <t>CT-e: interface to external systems - additional fields</t>
  </si>
  <si>
    <t>CT-e: interface to external systems - authorization code</t>
  </si>
  <si>
    <t>Brazil:Note 1723841 causes run time error in J_1BNFE_MONITOR</t>
  </si>
  <si>
    <t>NFe: Complement NFe for import processes rejected from SEFAZ</t>
  </si>
  <si>
    <t>NF-e/CT-e: Contingency Reason, Date, and Time not filled</t>
  </si>
  <si>
    <t>CT-e: Issuing City Name, City Code, and Region empty</t>
  </si>
  <si>
    <t>NF-e: Duplicate items in MB0A Stock Transfer</t>
  </si>
  <si>
    <t>NF-e/CT-e: Error on resending of cancellation request</t>
  </si>
  <si>
    <t>NF-e: Code adjustment</t>
  </si>
  <si>
    <t>XX-CSC-BR-NFEIN</t>
  </si>
  <si>
    <t>Inc. Aut.  GRC NFe</t>
  </si>
  <si>
    <t>Purchase order assignment cannot be saved</t>
  </si>
  <si>
    <t>Validation for NF-e incoming automation</t>
  </si>
  <si>
    <t>ICMS base amount for consumption / asset</t>
  </si>
  <si>
    <t>NF-e incoming: Calculation of Withholding Taxes</t>
  </si>
  <si>
    <t>NF-e incoming: ICOR condition balance error</t>
  </si>
  <si>
    <t>NF-e incoming: PIS&amp;Cofins Pauta</t>
  </si>
  <si>
    <t>NF-e: Check Recipient's CNPJ against CNPJ of Business Place</t>
  </si>
  <si>
    <t>NF-e incoming: Inbound delivery split is not supported</t>
  </si>
  <si>
    <t>Balance error with multi accounting purchase order</t>
  </si>
  <si>
    <t>NF-e incoming prerequisites (Multi accounting)</t>
  </si>
  <si>
    <t>PIS/COFINS tax rates with 4 decimal places in NF-e Incoming</t>
  </si>
  <si>
    <t>NF-e in: partner for invoice different from vendor</t>
  </si>
  <si>
    <t>Internal correction of function module design</t>
  </si>
  <si>
    <t>NF-e incoming: Subcontracting Components are condensed</t>
  </si>
  <si>
    <t>NF-e: Invoice simulation with Sub. Trib. for consumption</t>
  </si>
  <si>
    <t>NF-e IN: Inbound Delivery items do not match NF-e items</t>
  </si>
  <si>
    <t>Subsequent Adjustment for Subcontracting is not working</t>
  </si>
  <si>
    <t>NF-e incoming: Posting date for goods movement not correct</t>
  </si>
  <si>
    <t>XX-CSC-BR-REP</t>
  </si>
  <si>
    <t>IN86: provide BAdI for files 4.4.1/4.4.2</t>
  </si>
  <si>
    <t>EFD-Contributions: Presumed Profit - Block F</t>
  </si>
  <si>
    <t>EFD-Contributions: Register D100 - CHV_CTE not filled</t>
  </si>
  <si>
    <t>EFD-Contributions: Block P reporting</t>
  </si>
  <si>
    <t>SPED-EFD: Reversed documents wrongly reported</t>
  </si>
  <si>
    <t>Modelo 2: Skipped NF-e without rejection are not reported</t>
  </si>
  <si>
    <t>DIRF: Reversed documents are wrongly reported</t>
  </si>
  <si>
    <t>SPED-EFD: Guia Prático 2.0.8 - Changes valid as of July/2012</t>
  </si>
  <si>
    <t>Modelo 8: Reversed documents wrongly reported</t>
  </si>
  <si>
    <t>SPED-EFD: H005 - Field MOT_INV filled with wrong value</t>
  </si>
  <si>
    <t>EFD-Contributions: J_1BPIS_MAIN_TOP_001 missing reg. F210</t>
  </si>
  <si>
    <t>Modelo 9: Skipped NF-e without rejection are not reported</t>
  </si>
  <si>
    <t>SPED generic objects: Enhancement 11</t>
  </si>
  <si>
    <t>EFD-Contributions: Block P reporting code cleanup</t>
  </si>
  <si>
    <t>SPED-EFD: E116 - Length incompatibility of field MES_REF</t>
  </si>
  <si>
    <t>Modelo 03 - Performance improvement</t>
  </si>
  <si>
    <t>SPED ECD: Error in field COD_REL from record 0180</t>
  </si>
  <si>
    <t>SPED-EFD: Field COD_PART is not filled for One Time Vendors</t>
  </si>
  <si>
    <t>SPED-EFD: Ato Cotepe 29/2012 - Release of Layout 006</t>
  </si>
  <si>
    <t>SPED-EFD: Ato Cotepe 29/2012 - Guia Prático 2.0.9</t>
  </si>
  <si>
    <t>DIRF: Correction of note 1726347</t>
  </si>
  <si>
    <t>This note corrects note 1556973 in DIRF report.</t>
  </si>
  <si>
    <t>EFD-Contributions: Guia Prático v1.09</t>
  </si>
  <si>
    <t>XX-CSC-BR-SD</t>
  </si>
  <si>
    <t>Sales and Distrib.</t>
  </si>
  <si>
    <t>BAPI_BILLINGDOC_CREATEMULTIPLE stopped due warning message</t>
  </si>
  <si>
    <t>Error message in SD pricing after SAP Note 1737629</t>
  </si>
  <si>
    <t>XX-CSC-BR-TRA</t>
  </si>
  <si>
    <t>CT-e LC: Extension of Tax Calculation Features</t>
  </si>
  <si>
    <t>CT-e Legal Change: Documentation &amp; CT-e GUI Status</t>
  </si>
  <si>
    <t>DDIC for CT-e related BAPI</t>
  </si>
  <si>
    <t>Value Determination correction for CT-e ICMS ST</t>
  </si>
  <si>
    <t>CT-e: Error message when creating sales order</t>
  </si>
  <si>
    <t>CT-e Legal Change: Jur. Code and Ship-to Determination</t>
  </si>
  <si>
    <t>BAdI for import Outgoing CT-e Data</t>
  </si>
  <si>
    <t>XX-CSC-CL</t>
  </si>
  <si>
    <t>Chile</t>
  </si>
  <si>
    <t>CL: Incorrect stock balances in material ledger report</t>
  </si>
  <si>
    <t>Prenumbering TR/CL : IDCP is not working correctly</t>
  </si>
  <si>
    <t>XX-CSC-CN</t>
  </si>
  <si>
    <t>China</t>
  </si>
  <si>
    <t>XX-CSC-CN-EPIC</t>
  </si>
  <si>
    <t>e-Paymt Integration</t>
  </si>
  <si>
    <t>EPIC: Objects for Bank Account Statement processing</t>
  </si>
  <si>
    <t>EPIC: Several Corrections in EhP6</t>
  </si>
  <si>
    <t>EPIC - Data inconsistencies when approving multiple groups</t>
  </si>
  <si>
    <t>EPIC: Editing payment info, Bank Reconciliation, BCM Intgr.</t>
  </si>
  <si>
    <t>EPIC: Bank Reconciliation</t>
  </si>
  <si>
    <t>Missing class</t>
  </si>
  <si>
    <t>XX-CSC-CN-FI</t>
  </si>
  <si>
    <t>ZJF - retained earning account balance splitted by PCTR</t>
  </si>
  <si>
    <t>Creat change document in report RFIDCN_GLACC_CHNG</t>
  </si>
  <si>
    <t>IDCNALG - Import/Export of Account Hierarchy</t>
  </si>
  <si>
    <t>Amount in Current period shows improperly in P/L statement</t>
  </si>
  <si>
    <t>Not Generate Official Document Numbering(MIR4) in Simulation</t>
  </si>
  <si>
    <t>Foreign currency Display error in IDCNDOC PDF Printing</t>
  </si>
  <si>
    <t>Description Fields empty in IDCNDOC ALV Printing</t>
  </si>
  <si>
    <t>Wrong items displayed in ALV 'Excluded G/L Accounts'</t>
  </si>
  <si>
    <t>Correction on aging calculation in AR/AP report</t>
  </si>
  <si>
    <t>PDF print issue in Financial Statement Report</t>
  </si>
  <si>
    <t>Accounting Document Output: error with non-leading ledger</t>
  </si>
  <si>
    <t>IDCNDOC: remove overlapped objects(Acc. manager etc)in PDF</t>
  </si>
  <si>
    <t>ODN does not support non-leading ledger</t>
  </si>
  <si>
    <t>Print button disabled in pdf print preview screen</t>
  </si>
  <si>
    <t>XX-CSC-CN-GTI</t>
  </si>
  <si>
    <t>Golden Tax Interface</t>
  </si>
  <si>
    <t>Fixed the bug for GTI - Fix time out error</t>
  </si>
  <si>
    <t>Correction of Item Splitting for GTI</t>
  </si>
  <si>
    <t>Correct the Error of Note 1702043</t>
  </si>
  <si>
    <t>Golden Tax Interface Customer Type BADI</t>
  </si>
  <si>
    <t>Fix GTI Bugs of EHP6 SP04</t>
  </si>
  <si>
    <t>Uploading in Excel format for Beijing</t>
  </si>
  <si>
    <t>Display Buyer VAT registration number in Invoice List</t>
  </si>
  <si>
    <t>Downport GTI enhancement to EhP6 wave 2</t>
  </si>
  <si>
    <t>Correction of update line number for GTI</t>
  </si>
  <si>
    <t>Modification to support the intercompany invoice for GTI</t>
  </si>
  <si>
    <t>Correct index</t>
  </si>
  <si>
    <t>XX-CSC-FIAA</t>
  </si>
  <si>
    <t>Localiz. Asset Acc.</t>
  </si>
  <si>
    <t>LC: Property tax declaration - 2012</t>
  </si>
  <si>
    <t>Slovakia LC - Tax Law Nr. 548/2011 (New Depreciation Engine)</t>
  </si>
  <si>
    <t>RU: J3RALFTTAXCALC-Valid months wrong for returned vehicles</t>
  </si>
  <si>
    <t>RU:J3RALFPTAXDECL and J3RALFTTAXDECL Runtime error</t>
  </si>
  <si>
    <t>Slovakia LC - Tax Law Nr. 548/2011</t>
  </si>
  <si>
    <t>Development for Asset Tracking India</t>
  </si>
  <si>
    <t>TRWPR entry for the FM FIAASK_UPDATE_SUBACQUI</t>
  </si>
  <si>
    <t>XX-CSC-HU</t>
  </si>
  <si>
    <t>Hungary</t>
  </si>
  <si>
    <t>XX-CSC-HU-FI</t>
  </si>
  <si>
    <t>FBCJ - Year-end revaluation for outgoing payments</t>
  </si>
  <si>
    <t>XX-CSC-IN</t>
  </si>
  <si>
    <t>India</t>
  </si>
  <si>
    <t>Folio number not displayed in RG23A and RG23C part2 report</t>
  </si>
  <si>
    <t>XX-CSC-IN-EI</t>
  </si>
  <si>
    <t>Import/Export</t>
  </si>
  <si>
    <t>EXIM: License value cleared while import Bill of Entry- MIRO</t>
  </si>
  <si>
    <t>XX-CSC-IN-FI</t>
  </si>
  <si>
    <t>Financial Acc.</t>
  </si>
  <si>
    <t>AFAB - depreciation posting gives runtime error</t>
  </si>
  <si>
    <t>Customer certificate reprint doesn't show all invoice lines</t>
  </si>
  <si>
    <t>Billing document Can not be release  for accounting</t>
  </si>
  <si>
    <t>J1INCERT: Type of output is always blank at selection screen</t>
  </si>
  <si>
    <t>F-54 : issue in case of giving external document number</t>
  </si>
  <si>
    <t>Issue ralated to Advance Clearing in F-54</t>
  </si>
  <si>
    <t>TAN based vendor exemption</t>
  </si>
  <si>
    <t>J1INUT : Incorrect invoice is utilized</t>
  </si>
  <si>
    <t>J1INEMIS :  Report doesn't work in different scenarios</t>
  </si>
  <si>
    <t>J1INQEFILE -Performance issue</t>
  </si>
  <si>
    <t>MIRO entry is not getting updated in provision table.</t>
  </si>
  <si>
    <t>Incorrect reason code updated in Q-returns file.</t>
  </si>
  <si>
    <t>While posting FI documents, PAN valdiity is not checked.</t>
  </si>
  <si>
    <t>Duplicate line item with reason code Y</t>
  </si>
  <si>
    <t>While reversing MIRO system is asking for Business Area</t>
  </si>
  <si>
    <t>Withholding tax India Localization : DPC with MIRO</t>
  </si>
  <si>
    <t>J1INCHLC- TCS reversal document/Credit Memo is not picked</t>
  </si>
  <si>
    <t>J1INQEFILE - Performance issue</t>
  </si>
  <si>
    <t>F-54 is taking long time to post the document</t>
  </si>
  <si>
    <t>J1INQEFILE - TDS Offsetting documnets are not picked up</t>
  </si>
  <si>
    <t>Withholding tax - India Insurance</t>
  </si>
  <si>
    <t>Copy number range program for certificate and challan</t>
  </si>
  <si>
    <t>XX-CSC-IN-MM</t>
  </si>
  <si>
    <t>Materials Mngmt</t>
  </si>
  <si>
    <t>Proper error not displayed while cancelling GR - BORGR/VL09</t>
  </si>
  <si>
    <t>Error SG-105 while import PO for TAXINN with 362 routine</t>
  </si>
  <si>
    <t>Error NR002 number range object does not exist while post EI</t>
  </si>
  <si>
    <t>Vendor code error while creating excise invoice - J1IS</t>
  </si>
  <si>
    <t>Error 8I-905 for batch managed materials at a depot- J1IG</t>
  </si>
  <si>
    <t>Incorrect Vendor Excise range and division displayed in J2I6</t>
  </si>
  <si>
    <t>Notification No.18/2012 for inter unit credit transfer- ER1</t>
  </si>
  <si>
    <t>Field REFYEAR updated incorrectly in part2 table - J2I8</t>
  </si>
  <si>
    <t>J2I6: Invoice/Bill of Entry Number &amp; Date getting duplicated</t>
  </si>
  <si>
    <t>Unable to change Ship from field in change mode of J1IG</t>
  </si>
  <si>
    <t>J1IG: CESS value change is not reflected in table J_1IRG23D</t>
  </si>
  <si>
    <t>Wrong calculation of excise duty in dealer scenario- MIRO</t>
  </si>
  <si>
    <t>Depot excise invoice date is incorrect in report J_1IQRDEPOT</t>
  </si>
  <si>
    <t>Incorrect subcontracting data for RG23A part2 register- J2I6</t>
  </si>
  <si>
    <t>J2I6: RG23A/RG23C Part 2 excel displays wrong Part 1 entries</t>
  </si>
  <si>
    <t>Incorrect value and quantity details in RG23D Register- J2I6</t>
  </si>
  <si>
    <t>Error 8I-420 during capture of excise invoice at depot- J1IG</t>
  </si>
  <si>
    <t>J1IG allows creating EI for Cancelled GR document(Mvt :102)</t>
  </si>
  <si>
    <t>XX-CSC-IN-SD</t>
  </si>
  <si>
    <t>Sales &amp; Distrib</t>
  </si>
  <si>
    <t>Multiple Ed created when batch split done at delivery- J1IIN</t>
  </si>
  <si>
    <t>Excise base amt not updated in outgoing depot register: J1IJ</t>
  </si>
  <si>
    <t>Sales tax register report displays wrong PO/SO numbers- J1I2</t>
  </si>
  <si>
    <t>Timeout Error due to performance issue in transaction J1I2</t>
  </si>
  <si>
    <t>Excise posted even cancel option chosen in G/L account popup</t>
  </si>
  <si>
    <t>Back(F3) button has to be pressed twice to come out of J1IIN</t>
  </si>
  <si>
    <t>XX-CSC-INMA</t>
  </si>
  <si>
    <t>Inflation Management</t>
  </si>
  <si>
    <t>XX-CSC-INMA-FI</t>
  </si>
  <si>
    <t>XX-CSC-INMA-FI-AA</t>
  </si>
  <si>
    <t>Duplicate reversal of inflation posting by J_1AAINFL_REVERSE</t>
  </si>
  <si>
    <t>XX-CSC-JP</t>
  </si>
  <si>
    <t>Japan</t>
  </si>
  <si>
    <t>Multiple Taxes: remove of checks introduced wth note 1506821</t>
  </si>
  <si>
    <t>ISJPINVSUM40 and archived documents</t>
  </si>
  <si>
    <t>Multiple Taxes: wrong calculation of Net and Tax amount 3</t>
  </si>
  <si>
    <t>XX-CSC-KR</t>
  </si>
  <si>
    <t>South Korea</t>
  </si>
  <si>
    <t>KR: Include Reversal/Reversed Documents- RFUMSV45R 2012</t>
  </si>
  <si>
    <t>KR: Include Reversal/Reversed Documents- RFUMSV49R 2012</t>
  </si>
  <si>
    <t>KR : Tax invoice numbering in Output List 2012</t>
  </si>
  <si>
    <t>XX-CSC-KZ</t>
  </si>
  <si>
    <t>Kazakhstan</t>
  </si>
  <si>
    <t>XX-CSC-KZ-FI</t>
  </si>
  <si>
    <t>J_3RFVATMM (Customs Union): fixes for KZ</t>
  </si>
  <si>
    <t>XX-CSC-MX</t>
  </si>
  <si>
    <t>Mexico</t>
  </si>
  <si>
    <t>Digital Invoice Mexico: CFD 2.2</t>
  </si>
  <si>
    <t>Digital Invoice Mexico: Monthly report for CFD2.2</t>
  </si>
  <si>
    <t>Digital Invoice Mexico: CFD 2.2 Additional Fields</t>
  </si>
  <si>
    <t>Withholding Tax TOTAL in Cadena Original</t>
  </si>
  <si>
    <t>Digital Invoice Mexico: CFD 2.2 - Fiscal Regimes</t>
  </si>
  <si>
    <t>XX-CSC-PL</t>
  </si>
  <si>
    <t>Poland</t>
  </si>
  <si>
    <t>XX-CSC-PL-FI</t>
  </si>
  <si>
    <t>RFKORDC1: GL account is not displaying in report output.</t>
  </si>
  <si>
    <t>XX-CSC-PL-LO</t>
  </si>
  <si>
    <t>Fehlermeldung RW022 bei VF01</t>
  </si>
  <si>
    <t>No final billings are possible for down payments error F57</t>
  </si>
  <si>
    <t>PL DP:Handling Installment plans in downpayment scenario</t>
  </si>
  <si>
    <t>No allocation of DP invoice Poland in final invoice</t>
  </si>
  <si>
    <t>PL DP: Error VL 002 upon execution of tcode V_NL</t>
  </si>
  <si>
    <t>DP PL: Issue with closed accounting periods</t>
  </si>
  <si>
    <t>PL Downpayment: Inconsistent amount Error</t>
  </si>
  <si>
    <t>PL: Downpayment Performance improvement during validation</t>
  </si>
  <si>
    <t>XX-CSC-PT</t>
  </si>
  <si>
    <t>Portugal</t>
  </si>
  <si>
    <t>Digital signature for OBD documents correction note - PT</t>
  </si>
  <si>
    <t>PT: Digital signature for consignment process</t>
  </si>
  <si>
    <t>PT OBD:Dump during digital signature generation for delivery</t>
  </si>
  <si>
    <t>PT OBD: Coding to print signature in delivery</t>
  </si>
  <si>
    <t>PT OBD: Dump during the generation of digital signautre</t>
  </si>
  <si>
    <t>PT: Multiple entries in SIPT_LIKP for OBD digital Signature</t>
  </si>
  <si>
    <t>PT:ABAP dump CONVT_NO_NUMBER</t>
  </si>
  <si>
    <t>PT:Digital Signature is not generated in OBD (SAP_APPL 606)</t>
  </si>
  <si>
    <t>PT:Digital Signature if shipping point is out of Portugal</t>
  </si>
  <si>
    <t>Portugal: Not possible to upload encryption certificate</t>
  </si>
  <si>
    <t>Portugal: Digital Signature Documentation Corrections</t>
  </si>
  <si>
    <t>Portugal: missing BTE setup entries for digital signature</t>
  </si>
  <si>
    <t>XX-CSC-PT-FIAA</t>
  </si>
  <si>
    <t>PT: Mapas Fiscais - Incorrect sorting order for big repairs</t>
  </si>
  <si>
    <t>PT: Mapas Fiscais - Portaria nº 92-A/2011 XML for SNC forms</t>
  </si>
  <si>
    <t>MAPA 32 and XML Validator Corrections, MAPA 3304 Column 5.</t>
  </si>
  <si>
    <t>PT: Mapas Fiscais - Form 33.18 Column 15 correction</t>
  </si>
  <si>
    <t>PT: Mapas Fiscais - Form 32 and 33.xx Correction</t>
  </si>
  <si>
    <t>PT: Mapas Fiscais - Form 32 Correction Column 9 and 12</t>
  </si>
  <si>
    <t>PT: Mapas Fiscais - Form 33.19 Column 14 and Mapa 31 Col. 10</t>
  </si>
  <si>
    <t>PT:Error in Mapa 32 and 31 after Free Revaluation Posting</t>
  </si>
  <si>
    <t>PT: Mapas Fiscais - Form 32 SNC Rounding Issue , Column 6</t>
  </si>
  <si>
    <t>PT: Mapas Fiscais - Form 32 Column 9 is incorrect</t>
  </si>
  <si>
    <t>PT :- PDF Several Issue MAPA 32 and MAPA 31 Column 10</t>
  </si>
  <si>
    <t>PT: Mapas Fiscais - Erros in Form 32 and Form 31</t>
  </si>
  <si>
    <t>SNC form 32 - Incorrect Column 10, Column 12 and column 15</t>
  </si>
  <si>
    <t>Mapas Fiscais - Error in PDF Alignment form 3318 &amp; 3315</t>
  </si>
  <si>
    <t>PT: Mapas Fiscais - Form 32 SNC column 9, 12 and 15</t>
  </si>
  <si>
    <t>PT: Mapa Form 32 SNC - Big repair asset column 9, column 10</t>
  </si>
  <si>
    <t>Mapas Fiscais - PDF alignment issue 32.1, 32.2 &amp; 31 POC Form</t>
  </si>
  <si>
    <t>PT : Mapa 31 and 32 various Corrections</t>
  </si>
  <si>
    <t>PT: Mapa 32 SNC column 10 not printed for PDF forms.</t>
  </si>
  <si>
    <t>PT: Mapa 32 Column 5 and Investment Asset issue.</t>
  </si>
  <si>
    <t>PT: Mapa 32 Column 12 Planned Depreciation.</t>
  </si>
  <si>
    <t>PT: Mapa 32 SNC PDF Error for Fully depreciate asset</t>
  </si>
  <si>
    <t>Mapa 32 SNC Col 9 is incorrect when rate is from IDPT_A031</t>
  </si>
  <si>
    <t>PT: Error in XML while asset is not fully Depreciated PDF</t>
  </si>
  <si>
    <t>PT: Mapas Fiscais - Big Repair and fully depreciated assets</t>
  </si>
  <si>
    <t>PT: Mapa 32 SNC Columns 9, 10 and 12 corrections</t>
  </si>
  <si>
    <t>PT: Mapa 3203 Column 5 not considering revaluation</t>
  </si>
  <si>
    <t>PT: Mapas Fiscais - Big repair and building / land assets</t>
  </si>
  <si>
    <t>XX-CSC-QA</t>
  </si>
  <si>
    <t>Qatar</t>
  </si>
  <si>
    <t>Post dated check functionality for country version Qatar</t>
  </si>
  <si>
    <t>Withholding Tax Code determination for Qatar</t>
  </si>
  <si>
    <t>Sequence configuration of Role ID ( Signatures)</t>
  </si>
  <si>
    <t>XX-CSC-RU</t>
  </si>
  <si>
    <t>Russia</t>
  </si>
  <si>
    <t>Forms OS-15, OS-16: Incorrect content of fields</t>
  </si>
  <si>
    <t>J3RTAXDPED doesn't work in EhP5 and EhP6</t>
  </si>
  <si>
    <t>VAT Invoice form: KPP, ship-to party</t>
  </si>
  <si>
    <t>J_3RFPCR: Missing Documents in the Output</t>
  </si>
  <si>
    <t>FIN_LOC_CI_33: Electronic VAT Invoices (Russia)</t>
  </si>
  <si>
    <t>XX-CSC-RU-FI</t>
  </si>
  <si>
    <t>J_3RF_NKS_STARTUP: VAT Rounding for 100% started invoices</t>
  </si>
  <si>
    <t>FBCJ Cash Journal different Closing/Opening balances</t>
  </si>
  <si>
    <t>OS-forms: Errors fixed</t>
  </si>
  <si>
    <t>Depreciation bonus/restore: New features</t>
  </si>
  <si>
    <t>INV-1,INV-1A: Resp.person is not copied to the last page</t>
  </si>
  <si>
    <t>RFUMSV53: Clearing With Zero Amount Processing</t>
  </si>
  <si>
    <t>Sales/Purchase Ledger: performance optimization</t>
  </si>
  <si>
    <t>RFUMSV50: Many down payment clearings reversal</t>
  </si>
  <si>
    <t>KO-4 form: recipient name</t>
  </si>
  <si>
    <t>Corrective invoice form (FI): incorrect amounts</t>
  </si>
  <si>
    <t>J_3RCREV: items with green status cannot be cleared</t>
  </si>
  <si>
    <t>No output for fields in form OS-2</t>
  </si>
  <si>
    <t>Fill in all required entry fields message in J3RFF4 trans.</t>
  </si>
  <si>
    <t>Invoice Journal: Additional Features</t>
  </si>
  <si>
    <t>Invoice journal report: drill-down to FI document</t>
  </si>
  <si>
    <t>Error message GL203 in transaction J3RTAXCE</t>
  </si>
  <si>
    <t>Sales/Purchase Ledger: statement 1137 - fixes, improvements</t>
  </si>
  <si>
    <t>INV-1, INV-1a asset with reversed acquisition is shown</t>
  </si>
  <si>
    <t>General fixes and improvements for XML report</t>
  </si>
  <si>
    <t>J_3RFVATMM (Customs Union): exchange rate, XML for KZ</t>
  </si>
  <si>
    <t>Sales/Purchase Ledger: cancellations, external numbers</t>
  </si>
  <si>
    <t>VAT Invoice form: data from Journal, address data</t>
  </si>
  <si>
    <t>Purchase Ledger: statement 1137 - G/R date for corrections</t>
  </si>
  <si>
    <t>J_3RCALD(K): key date in clearing customer and vendor</t>
  </si>
  <si>
    <t>Sales/Purchase Ledger: correction of revision</t>
  </si>
  <si>
    <t>VAT Invoice form: empty date and external number</t>
  </si>
  <si>
    <t>GUI DP parameters editor corrections</t>
  </si>
  <si>
    <t>Corrective Invoice form: data from Journal, address data</t>
  </si>
  <si>
    <t>Cash journal. Posting with previous Business tr-tion data</t>
  </si>
  <si>
    <t>Transaction J3RKGLK works incorrectly for alternative acc.</t>
  </si>
  <si>
    <t>Sales/Purchase Ledger: correction from MM and SD</t>
  </si>
  <si>
    <t>Form TORG-12: incorrect BAdI parameters</t>
  </si>
  <si>
    <t>Sales/Purchase Ledger: correction cancellations</t>
  </si>
  <si>
    <t>J_3RFVATMM: Contract number and date not printed</t>
  </si>
  <si>
    <t>INV-11 Error: General Ledger account is missing</t>
  </si>
  <si>
    <t>OS1 wrong receiver when asset transfer between comp.codes</t>
  </si>
  <si>
    <t>DP GUI editor tool extension</t>
  </si>
  <si>
    <t>Workwear:Traffic lights,Err:J_3RF_WORKWEAR062,Asset shutdown</t>
  </si>
  <si>
    <t>RU:J3RALFTTAXDECL - SYNTAX_ERROR after note 1733498</t>
  </si>
  <si>
    <t>Report J_3RFOS6 does not show alternative FI Account number</t>
  </si>
  <si>
    <t>Sales/Purchase Ledger: customizing</t>
  </si>
  <si>
    <t>V_J_3RFREGINVIN/OUT: Consistency Check for Changed Lines</t>
  </si>
  <si>
    <t>RFUMSV50: Clearing down payment with DP return</t>
  </si>
  <si>
    <t>J_3RF_CLEARING: cleared document is not found</t>
  </si>
  <si>
    <t>LC: VAT declaration Russia: Version of XML format 5.02</t>
  </si>
  <si>
    <t>Invoice Journal: Revision Invoice for goods in transit</t>
  </si>
  <si>
    <t>Sales/Purchase Ledger: Revision date, partner name</t>
  </si>
  <si>
    <t>Invoice journal form for 3rd and 4th quarter is incorrect</t>
  </si>
  <si>
    <t>Balance Notification: balances in ALV list are missing</t>
  </si>
  <si>
    <t>J_3RF_CLEARING: performance issue</t>
  </si>
  <si>
    <t>J_3RFVATMM (Goods Import Declaration): wrong payment amount</t>
  </si>
  <si>
    <t>RFUMSV50: FBA3, FBA8 several partial DP clearings</t>
  </si>
  <si>
    <t>Incoming Invoice Journal: document type ignored</t>
  </si>
  <si>
    <t>RFUMSV50: Wrong account in 0% deferred tax account</t>
  </si>
  <si>
    <t>FI-posting error.Message AA821 if FI-AA is inactive</t>
  </si>
  <si>
    <t>Transaction J3RALFOS6B - not all pages generated for PDF</t>
  </si>
  <si>
    <t>J_3RFTAX_FINREZ_LIST: Wrong Debit/Credit Subsequent revenue</t>
  </si>
  <si>
    <t>Sales/Purchase Ledger: partner in negative corrections</t>
  </si>
  <si>
    <t>OS-2: Asset's grouping is not correct</t>
  </si>
  <si>
    <t>Invoice Journal printing: ADS memory consumption</t>
  </si>
  <si>
    <t>J_3RF_CLEARING: long run time</t>
  </si>
  <si>
    <t>Sales/Purchase Ledger: correction cancellation</t>
  </si>
  <si>
    <t>Sales/Purchase Ledger: filter revisions by documents</t>
  </si>
  <si>
    <t>FIN_LOC_CI_33 Russia - delivery note</t>
  </si>
  <si>
    <t>Invoice Journal (old): Run time error CONVT_NO_NUMBER</t>
  </si>
  <si>
    <t>Purchase Ledger: USNAM_INV with "Summarize Tax Transfers"</t>
  </si>
  <si>
    <t>Improvement of Cash Flow performance</t>
  </si>
  <si>
    <t>J_3RSPASSDEAL: enhancement category</t>
  </si>
  <si>
    <t>Cash Journal KO-4 form: title page, last page</t>
  </si>
  <si>
    <t>Cash Flow report error correction</t>
  </si>
  <si>
    <t>OS-forms BADI-call short-dump CX_BADI_INITIAL_REFERENCE</t>
  </si>
  <si>
    <t>Sales/Purchase Ledger: negative sign in invoice amount</t>
  </si>
  <si>
    <t>OS-6:inv.card.resp.person, OS-4,OS-6A,OS-14: Layout changes</t>
  </si>
  <si>
    <t>Purchase Ledger: G/R Date for services</t>
  </si>
  <si>
    <t>RFHABU10 shows only first document in  document list</t>
  </si>
  <si>
    <t>J_3rfum26: Wrong credit/debit in tax transfer for payment</t>
  </si>
  <si>
    <t>J_3RF_CLEARING: cleared invoice is not found</t>
  </si>
  <si>
    <t>Invoice Journal printing: incorrect paging</t>
  </si>
  <si>
    <t>Transaction J3RALFOS6B - page numbering in PDF (minor fix)</t>
  </si>
  <si>
    <t>KO-1, KO-2 forms: exception "USER_NOT_FOUND"</t>
  </si>
  <si>
    <t>J3RTAXREP - Miscellaneous fixes in XML reporting generator</t>
  </si>
  <si>
    <t>XX-CSC-RU-LO</t>
  </si>
  <si>
    <t>J_3RMOBVED: Value of Transfer MM Document Without FI</t>
  </si>
  <si>
    <t>J3RSEXPORT selects only documents with type AB as tax doc.</t>
  </si>
  <si>
    <t>J3RFGTDINT: Change/Delete Used Customs Declaration Line</t>
  </si>
  <si>
    <t>WayBill form (RU) BAdI parameters and invoice number fix</t>
  </si>
  <si>
    <t>XX-CSC-SA</t>
  </si>
  <si>
    <t>Saudi Arabia</t>
  </si>
  <si>
    <t>Role Title and Role Text converts into Capital Letters</t>
  </si>
  <si>
    <t>XX-CSC-SK</t>
  </si>
  <si>
    <t>Slovakia</t>
  </si>
  <si>
    <t>XX-CSC-SK-FI</t>
  </si>
  <si>
    <t>RFIMPNBS - Potential directory traversals</t>
  </si>
  <si>
    <t>XX-CSC-TH</t>
  </si>
  <si>
    <t>Thailand</t>
  </si>
  <si>
    <t>XX-CSC-TH-AC</t>
  </si>
  <si>
    <t>Accounting (Thai)</t>
  </si>
  <si>
    <t>RFIDYYWT : Withholding tax wrongly displayed for THAILAND</t>
  </si>
  <si>
    <t>XX-CSC-TH-LO</t>
  </si>
  <si>
    <t>Logistics (Thailand)</t>
  </si>
  <si>
    <t>TH: Negative sign omitted in Stock card report - J_1HSTCD</t>
  </si>
  <si>
    <t>TH: Mat.Description blank &amp; Wrong MatDoc displayed J_1HSTCD</t>
  </si>
  <si>
    <t>XX-CSC-TR</t>
  </si>
  <si>
    <t>Turkey</t>
  </si>
  <si>
    <t>JOURNAL_00003320: Performance Issues</t>
  </si>
  <si>
    <t>Turkey : ODN Prenumbering Multiple Pages</t>
  </si>
  <si>
    <t>XX-CSC-UA</t>
  </si>
  <si>
    <t>Ukraine</t>
  </si>
  <si>
    <t>XX-CSC-UA-FI</t>
  </si>
  <si>
    <t>LC UA Balance sheet and P&amp;L statement quantity of employees</t>
  </si>
  <si>
    <t>XX-CSC-XX</t>
  </si>
  <si>
    <t>Country spec. C &amp; F</t>
  </si>
  <si>
    <t>Country tab disappears when click on item in sales order</t>
  </si>
  <si>
    <t>Tax Group view SAP namespace access control (J_1BTXGRUOP)</t>
  </si>
  <si>
    <t>XX-PART</t>
  </si>
  <si>
    <t>Partner solutions</t>
  </si>
  <si>
    <t>XX-PART-TIF</t>
  </si>
  <si>
    <t>Tax Interface (USA)</t>
  </si>
  <si>
    <t>IDOCs / BAPI processing - External Tax System not updated</t>
  </si>
  <si>
    <t>VF04: multiple pricing errors due to external tax system</t>
  </si>
  <si>
    <t>Downpayment clearing: FS 861 from external tax system</t>
  </si>
  <si>
    <t>VF04: mixed up data in tables ETXDC*</t>
  </si>
  <si>
    <t>External tax interface active only for US/CA/PR company code</t>
  </si>
  <si>
    <t>XX-PROJ-CHO</t>
  </si>
  <si>
    <t>Chorus</t>
  </si>
  <si>
    <t>FPRL_LIST:Pmt method update during Garn. posting missing.</t>
  </si>
  <si>
    <t>XX-PROJ-CHO-IOA</t>
  </si>
  <si>
    <t>Chorus - Interest on Arrears</t>
  </si>
  <si>
    <t>XX-PROJ-CHO-IOA-FI</t>
  </si>
  <si>
    <t>Chorus - Interest FI</t>
  </si>
  <si>
    <t>Error FPIA005 in MIR7 when trying to hold the invoice</t>
  </si>
  <si>
    <t>FPIA: Invoice reference information for FINTAP</t>
  </si>
  <si>
    <t>FPIA: FPIA_INTSHOW don't display documents with Acc. Ass</t>
  </si>
  <si>
    <t>FPIA: Invoice Validation by Budget Responsible not correct</t>
  </si>
  <si>
    <t>XX-SER</t>
  </si>
  <si>
    <t>Service Messages</t>
  </si>
  <si>
    <t>XX-SER-REL</t>
  </si>
  <si>
    <t>Releaseinfo ERP</t>
  </si>
  <si>
    <t>UI Changes made by Business Functions</t>
  </si>
  <si>
    <t>SAPKH60605</t>
  </si>
  <si>
    <t>SAPKH60606</t>
  </si>
  <si>
    <t>Reference to SAP Note 1451330 in OXK3 Implementation Guide</t>
  </si>
  <si>
    <t>BAPI_ACC_DOCUMENT_POST: RW 618 in case of direct tax posting</t>
  </si>
  <si>
    <t>Dump OBJECTS_OBJREF_NOT_ASSIGNED during document navigation</t>
  </si>
  <si>
    <t>BAPI: No company code clearing lines in leading company code</t>
  </si>
  <si>
    <t>KB Check: added messages, revised old messages</t>
  </si>
  <si>
    <t>CVI: Deletion of tax numbers in business partner</t>
  </si>
  <si>
    <t>Potential disclosure of persisted data in AP-MD-BF-SYN</t>
  </si>
  <si>
    <t>External Bank ID deleted</t>
  </si>
  <si>
    <t>SAP BP: Complete BUT000 and BUT050 table gets locked</t>
  </si>
  <si>
    <t>CVI does not create Contact Person after change</t>
  </si>
  <si>
    <t>SYN: Assertion failed when changing contact person relation</t>
  </si>
  <si>
    <t>Displaying archived goods movement documents in DRB</t>
  </si>
  <si>
    <t>DRB: Accounting document missing for billing document</t>
  </si>
  <si>
    <t>DRB: Purchase order is not displayed</t>
  </si>
  <si>
    <t>DRB: No display of OGSD reports</t>
  </si>
  <si>
    <t>DELTA-INIT does not extract all of the data</t>
  </si>
  <si>
    <t>BW-BCT:Delta capability of commit. DataSources (line items)</t>
  </si>
  <si>
    <t>BW-BCT: Performance during COSP/COSS extraction</t>
  </si>
  <si>
    <t>BW-BCT: CO-OM Extraction: Operations KZRI and KZRP</t>
  </si>
  <si>
    <t>Text/master data DataSource is not generated 2</t>
  </si>
  <si>
    <t>0CO_PC_PCP_03: Scrap not correctly added</t>
  </si>
  <si>
    <t>0CO_PC_PCP_03: raw material cost estimate not exploded</t>
  </si>
  <si>
    <t>Performance issue with extractor 0CO_PC_PCP_30</t>
  </si>
  <si>
    <t>0CO_PC_PCP_30: Long runtime by access to table MARC</t>
  </si>
  <si>
    <t>BW-BCT-EC</t>
  </si>
  <si>
    <t>BW-BCT-EC-PCA</t>
  </si>
  <si>
    <t>Log function for EC-PCA extractors</t>
  </si>
  <si>
    <t>Program changes for realtime line item DataSources</t>
  </si>
  <si>
    <t>0FI_AR_3: Incorrect data in BI after dispute case creation</t>
  </si>
  <si>
    <t>BI_CONT: Accounting Clerk information not extracted into BW</t>
  </si>
  <si>
    <t>BI_CONT: Posting Key attributes not extracted into SAP BW</t>
  </si>
  <si>
    <t>0FI_AA_11 delivers incorrect period for transactions</t>
  </si>
  <si>
    <t>Line item extractor: RTCUR is incorrectly extracted</t>
  </si>
  <si>
    <t>Syntax error in G_BIW_LOG_DEL</t>
  </si>
  <si>
    <t>0FI_GL_14: Field KURSE is not filled from BKPF-KURSF</t>
  </si>
  <si>
    <t>0FI_GL_12: Field VALUTYP initial in delta mode</t>
  </si>
  <si>
    <t>3FI_GL* or 3FI_SL*: INITSIMU or REALTIME not active</t>
  </si>
  <si>
    <t>Syntax error in program SAPLGBIWDELTA_47</t>
  </si>
  <si>
    <t>BW-BCT-LO</t>
  </si>
  <si>
    <t>BW-BCT-LO-LIS</t>
  </si>
  <si>
    <t>Logistics InfoSystem</t>
  </si>
  <si>
    <t>Potential modification / disclosure of data in BW setup</t>
  </si>
  <si>
    <t>BW: Multiple lines extracted in 2LIS_02_SGR</t>
  </si>
  <si>
    <t>BW: 2LIS_02_ACC FIKRS field incorrect with setup</t>
  </si>
  <si>
    <t>BW: Delivery Notification records in 2LIS_02_ITM</t>
  </si>
  <si>
    <t>BW: New schedule lines not considered for confirmations</t>
  </si>
  <si>
    <t>0PM_PRM_PLCS_1: Overhead amounts are zero</t>
  </si>
  <si>
    <t>Minimizing check messages in cost simulation 0PM_PRM_PLCS_1</t>
  </si>
  <si>
    <t>0PM_OM_OPA_1 extracts planned costs only</t>
  </si>
  <si>
    <t>BW-BCT-PS</t>
  </si>
  <si>
    <t>PSBW: WBS element hierarchy in BW different than in ERP</t>
  </si>
  <si>
    <t>WRITE_MESSAGE FM in CAD appends numbers in the message</t>
  </si>
  <si>
    <t>Problem with Function Module parameters for FM WRITE_MESSAGE</t>
  </si>
  <si>
    <t>CLEX Internal formal adjustment</t>
  </si>
  <si>
    <t>CA-CL-ENV</t>
  </si>
  <si>
    <t>Environment</t>
  </si>
  <si>
    <t>CTBW: Internal formal adjustment</t>
  </si>
  <si>
    <t>DRFOUT: Purchasing Inforecords for deleted vendors are sent</t>
  </si>
  <si>
    <t>DRF Customizing: misleading error message during activation</t>
  </si>
  <si>
    <t>Deadlock during parallelized PMPL initialization</t>
  </si>
  <si>
    <t>SAP_APPL: Default handling of VF transfer notification</t>
  </si>
  <si>
    <t>Transfer status records are updated unnecessarily</t>
  </si>
  <si>
    <t>Übertragung der Lokationshierarchien aus dem Klass.system</t>
  </si>
  <si>
    <t>Product height and width values are interchanged</t>
  </si>
  <si>
    <t>DMF object to issue messages in DRF</t>
  </si>
  <si>
    <t>CV141_SHOW_LINK_DOCUMENT - popup covers existing one</t>
  </si>
  <si>
    <t>DMS: ALE distribution of IDOC type DOLMAS02 fails</t>
  </si>
  <si>
    <t>CA-DMS: Potential Directory Traversal</t>
  </si>
  <si>
    <t>Planner is dumping while planning recursive assembly</t>
  </si>
  <si>
    <t>SAP Visual Enterprise Planner issue with empty BOM reload</t>
  </si>
  <si>
    <t>CA-DMS-EAI</t>
  </si>
  <si>
    <t>EAI</t>
  </si>
  <si>
    <t>Checkman errors in DMS</t>
  </si>
  <si>
    <t>Problem while executing Dig Signature from CDESK transaction</t>
  </si>
  <si>
    <t>CA-DMS-EUI</t>
  </si>
  <si>
    <t>Easy DMS Interface</t>
  </si>
  <si>
    <t>Filter option Load latest is failing in Easy DMS</t>
  </si>
  <si>
    <t>CV04N: Filtering in the ALV grid of the result causes dump</t>
  </si>
  <si>
    <t>Document conversion is not reading the customizing</t>
  </si>
  <si>
    <t>Document Conversion is not reading the customizing</t>
  </si>
  <si>
    <t>Conversion is not working PLM WEBUI Document</t>
  </si>
  <si>
    <t>After EHP6 upgrade the EWZ5 functionality does not work</t>
  </si>
  <si>
    <t>CPE called when not required</t>
  </si>
  <si>
    <t>Performance with pricing conditions in trading contract</t>
  </si>
  <si>
    <t>Hard-coded credentials in CA-GTF-CSC-DME</t>
  </si>
  <si>
    <t>Directory traversal in CA-GTF-CSC-DME</t>
  </si>
  <si>
    <t>FTWE1: Missing data in spool file</t>
  </si>
  <si>
    <t>FTWD - dump OBJECTS_OBJREF_NOT_ASSIGNED for old extracts</t>
  </si>
  <si>
    <t>FTWH: Files expoerted to archive appear in F4 value help</t>
  </si>
  <si>
    <t>FTWESL - Termination COMPUTE_BCD_OVERFLOW for "Display file"</t>
  </si>
  <si>
    <t>Business Suite Sidepanel</t>
  </si>
  <si>
    <t>CA-GTF-SP-GEN</t>
  </si>
  <si>
    <t>Generic Applications</t>
  </si>
  <si>
    <t>oData integration in the side panel</t>
  </si>
  <si>
    <t>CA-JVA</t>
  </si>
  <si>
    <t>Joint Venture and Production Sharing Accounting</t>
  </si>
  <si>
    <t>CA-JVA-JVA</t>
  </si>
  <si>
    <t>Joint Venture Acc.</t>
  </si>
  <si>
    <t>DRB: Runtime error when displaying JVA documents</t>
  </si>
  <si>
    <t>Incorrect required field check of intl address versions</t>
  </si>
  <si>
    <t>CRM Service mapping</t>
  </si>
  <si>
    <t>MDG Local Copy: Error "No business partner found"</t>
  </si>
  <si>
    <t>MDGC: Client Maintenance of Relations uses wrong CR Type</t>
  </si>
  <si>
    <t>SalesOrderCompleteDeliveryIndicator is set incorrectly</t>
  </si>
  <si>
    <t>MDGC SOA replication: Incorrect key mapping for VKORG</t>
  </si>
  <si>
    <t>MDGC Service Inbound: Account group is not determined</t>
  </si>
  <si>
    <t>Replication not triggered in case of HRY value deletion(2nd)</t>
  </si>
  <si>
    <t>MDGF:Termination during import of financial report structure</t>
  </si>
  <si>
    <t>Template changes are not available in after transport</t>
  </si>
  <si>
    <t>CA-MRS</t>
  </si>
  <si>
    <t>Multi-Resource</t>
  </si>
  <si>
    <t>IW39: MRS menu function is not supported</t>
  </si>
  <si>
    <t>CATS: Error while sending workitem to 2 agents</t>
  </si>
  <si>
    <t>CATS WD: RPROJ search help returns too many values</t>
  </si>
  <si>
    <t>CATSWD: Issues with WBS element search help</t>
  </si>
  <si>
    <t>CA-TS-PM</t>
  </si>
  <si>
    <t>Integr.Plant Maint.</t>
  </si>
  <si>
    <t>RCATSTPM: Error message LR 121 during CATS transfer program</t>
  </si>
  <si>
    <t>SY-CPROG cannot be selected for validation</t>
  </si>
  <si>
    <t>ALE: Sending groups terminates with B1 120</t>
  </si>
  <si>
    <t>CO-OM tools: Drilldown for several lines</t>
  </si>
  <si>
    <t>KSH2: F4 for groups does not deliver all relevant values</t>
  </si>
  <si>
    <t>SE16N: Short dump SAPSQL_INVALID_FIELDNAME</t>
  </si>
  <si>
    <t>KS12: Customer-defined fields cannot be initialized</t>
  </si>
  <si>
    <t>KB65 Selection with Order will not work BK168</t>
  </si>
  <si>
    <t>CO mass processing: Authorization for ALV layouts</t>
  </si>
  <si>
    <t>ILM: Activation of checks for "Data Destruction"</t>
  </si>
  <si>
    <t>CO-OM-ACT-A</t>
  </si>
  <si>
    <t>BAPI_ACTTYPE_CHANGEMULTIPLE buffers message from initial run</t>
  </si>
  <si>
    <t>CO-OM-ACT-E</t>
  </si>
  <si>
    <t>Incomprehensible terminations for confirmatns in coll order</t>
  </si>
  <si>
    <t>CO-OM-CCA-A</t>
  </si>
  <si>
    <t>OKEON: Message KS 018 when creating cost center</t>
  </si>
  <si>
    <t>KP06 foll.: Incorr err in Excel upload for resource planning</t>
  </si>
  <si>
    <t>QUantity messages are output only once by the BAPI</t>
  </si>
  <si>
    <t>KBxxN: Warnings regarding quantities are issued twice</t>
  </si>
  <si>
    <t>KB65: Incorrect activity valuation during item allocation</t>
  </si>
  <si>
    <t>DBM/KB61: Unjustified messages BK262/BK208</t>
  </si>
  <si>
    <t>KB61: Transfer posting to profitability segment changes char</t>
  </si>
  <si>
    <t>Dummy-Hinweis zur Erstellung von Korrekturen in 2012</t>
  </si>
  <si>
    <t>ALLOCATION: Short dump 'Move_to_lit_notallowed_nodata'</t>
  </si>
  <si>
    <t>SAP HANA: Connect allocation processor: Usage distribution</t>
  </si>
  <si>
    <t>HANA: Allocation processor: Systems without hybrid database</t>
  </si>
  <si>
    <t>Cost center accrual: Runtime error DBIF_RSQL_SQL_ERROR</t>
  </si>
  <si>
    <t>Cost comp split in obj crcy: Report does not display values</t>
  </si>
  <si>
    <t>KAEP: Optimized line item report for cost centers/orders</t>
  </si>
  <si>
    <t>KAEP_ACC: Termination when displaying document</t>
  </si>
  <si>
    <t>CO_ORDER: Product cost collector is not archived completely</t>
  </si>
  <si>
    <t>SR: Cannot navigate from distribution rule due to KD 058</t>
  </si>
  <si>
    <t>Order Manager KO04: Archived orders</t>
  </si>
  <si>
    <t>Coll. displ. internal order: Block navigatn: Dump NOT_FOUND</t>
  </si>
  <si>
    <t>Internal orders: Collective processing with Schedule Manager</t>
  </si>
  <si>
    <t>Settlement rule: Incorrect settlement type overwritten</t>
  </si>
  <si>
    <t>AuC settl rule: KD 043 unjustified for maint of settl rule</t>
  </si>
  <si>
    <t>Problem with Cost Center Hierarchy</t>
  </si>
  <si>
    <t>Incorrect assigned value after CJBN</t>
  </si>
  <si>
    <t>Error KD549 during prelim. settlement for co-product CO8B</t>
  </si>
  <si>
    <t>Settling revaluations: Termination with message K5 011</t>
  </si>
  <si>
    <t>Settlement of PR order: Incorrect account assignment in RTI</t>
  </si>
  <si>
    <t>Settlement to asset: Termin. MESSAGE_TYPE_X with error RW100</t>
  </si>
  <si>
    <t>Funds Management Budget Period not derived in settlement</t>
  </si>
  <si>
    <t>Overhead rates: No basis list in Schedule Manager</t>
  </si>
  <si>
    <t>SAP HANA: Overhead rate/accrual: Systems w/o hybrid database</t>
  </si>
  <si>
    <t>COGM: Account subst. in material ldgr, real-time integration</t>
  </si>
  <si>
    <t>Enhancements for FB RKE_EXCHANGE_ACCTNR</t>
  </si>
  <si>
    <t>Plan/actual indicator in profitability segmt for settl rule</t>
  </si>
  <si>
    <t>KE28: Message KG 345 not justified</t>
  </si>
  <si>
    <t>Co HomePage</t>
  </si>
  <si>
    <t>HDBC: Suite on HANA</t>
  </si>
  <si>
    <t>KEDZ: For HDB access</t>
  </si>
  <si>
    <t>VIP - Termination KE 524 "PA_TYPE" in RKE_FILL_FIELD_TABLE</t>
  </si>
  <si>
    <t>READ: Time stamp as a selection criterion</t>
  </si>
  <si>
    <t>KE28A: Variant does not exist</t>
  </si>
  <si>
    <t>KE28: Reference not found</t>
  </si>
  <si>
    <t>VIP - Termin. KE312 when activating generated InfoObjects</t>
  </si>
  <si>
    <t>No ML values or incorr. ML values during periodic valuation</t>
  </si>
  <si>
    <t>KE27: Valuation analysis displays too many lines</t>
  </si>
  <si>
    <t>Billing document line items with inconsistent currency info</t>
  </si>
  <si>
    <t>KE27: Duplicate revaluation</t>
  </si>
  <si>
    <t>CO-PA-IS</t>
  </si>
  <si>
    <t>Performance virtual InfoProvider</t>
  </si>
  <si>
    <t>VIP - Error for set hierarchies</t>
  </si>
  <si>
    <t>Use of attributes in virtual InfoProvider</t>
  </si>
  <si>
    <t>KEIP: Error R7825 when generating virtual InfoProvider</t>
  </si>
  <si>
    <t>Charact. in cond. access is initial even though value exists</t>
  </si>
  <si>
    <t>KEPC: Costing key is missing after double-clicking</t>
  </si>
  <si>
    <t>KE28L: "Delete" entry missing in context menu</t>
  </si>
  <si>
    <t>KEAI: CO-PA values are missing</t>
  </si>
  <si>
    <t>KEB0N: Eintrag 'Löschen' fehlt im Kontextmenü</t>
  </si>
  <si>
    <t>KE29N - cannot display line items</t>
  </si>
  <si>
    <t>Field PAOBJNR not filled by KE1V</t>
  </si>
  <si>
    <t>CO-PA-ST</t>
  </si>
  <si>
    <t>SD/CO-PA: No text for (personnel) partner role</t>
  </si>
  <si>
    <t>KEA0: Authority check for display</t>
  </si>
  <si>
    <t>KELS: No operating concern check during retractor reversal</t>
  </si>
  <si>
    <t>COGM: Corrections FCML0 for FI postings</t>
  </si>
  <si>
    <t>ZCOMLBEL_ARC: Reading ML documents from archive (470 and up)</t>
  </si>
  <si>
    <t>Incorrect plus/minus sign when deactivating delivery costs</t>
  </si>
  <si>
    <t>Price differences for procurement with subcontracting</t>
  </si>
  <si>
    <t>COGM: asset depreciation does not post to CO versions</t>
  </si>
  <si>
    <t>8KEP: Error C+ 304 when activating crcy + valuation profile</t>
  </si>
  <si>
    <t>Deadlock during update of table MBEW</t>
  </si>
  <si>
    <t>SIT: subsequent adjustments for differences in legal valuatn</t>
  </si>
  <si>
    <t>Closing entry for non-posting alternative valuation runs</t>
  </si>
  <si>
    <t>Error M3 354 when posting or reversing goods receipt</t>
  </si>
  <si>
    <t>CO88: Error MLCCS 015 with cumulative prices</t>
  </si>
  <si>
    <t>SIT: Multilevel cost component split for goods receipt</t>
  </si>
  <si>
    <t>Dump CONVT_OVERFLOW for multilevel mat. price determination</t>
  </si>
  <si>
    <t>SIT: Multilevel price differences in legal view</t>
  </si>
  <si>
    <t>C+507: material ledger currencies missing</t>
  </si>
  <si>
    <t>KKML0 - Incorrect value for Category 'Not Distributed'</t>
  </si>
  <si>
    <t>CKMI1: Sobkz and KZBWS are missing for special stock</t>
  </si>
  <si>
    <t>CO-PC-ACT-AVR</t>
  </si>
  <si>
    <t>alt. valuation run</t>
  </si>
  <si>
    <t>COGM run: Plants with activity update '1'</t>
  </si>
  <si>
    <t>C+723 in einem zyklischen Prozess</t>
  </si>
  <si>
    <t>Cost component split of price variances is not rolled up</t>
  </si>
  <si>
    <t>CO-PC-ACT-PRU</t>
  </si>
  <si>
    <t>Price Changes</t>
  </si>
  <si>
    <t>SIT: Executing price changes for stock in transit</t>
  </si>
  <si>
    <t>Information System Product Cost Controlling</t>
  </si>
  <si>
    <t>CO-PC-IS-PCP</t>
  </si>
  <si>
    <t>IS Prod.Cst.Planning</t>
  </si>
  <si>
    <t>Authorization object K_KEKO not checked in S_ALR_87013049</t>
  </si>
  <si>
    <t>S_ALR_87013027: Runtime error MOVE_TO_LIT_NOTALLOWED_NODATA</t>
  </si>
  <si>
    <t>CO-PC-OBJ</t>
  </si>
  <si>
    <t>Cost Object Control.</t>
  </si>
  <si>
    <t>Settlement with PP6 rule: KD 213</t>
  </si>
  <si>
    <t>Coll. processing: Selection of additional order categories</t>
  </si>
  <si>
    <t>Cumulat. overhead rates w/o DIMP_GENERAL_SAPLKARV [SAP_APPL]</t>
  </si>
  <si>
    <t>Enhancement for CL_KKAG_EXIT_SERVICE_1/dynamic line ID</t>
  </si>
  <si>
    <t>Accrual calculation Customizing: Cursor pos. overhead rates</t>
  </si>
  <si>
    <t>Valuation alternatives in the costing</t>
  </si>
  <si>
    <t>SAPRCK23: No marking when using date variable</t>
  </si>
  <si>
    <t>RKKBCAL2: Termination COMPUTE_BCD_OVERFLOW</t>
  </si>
  <si>
    <t>BAPI_NETWORK_COMP_ADD: Runtime error, ERROR_IN_T009B</t>
  </si>
  <si>
    <t>Input component valuation in make-to-order production</t>
  </si>
  <si>
    <t>CO01: Incorrect check for posting period in FI</t>
  </si>
  <si>
    <t>Sales order costing: CK 457 issued for no justified reason</t>
  </si>
  <si>
    <t>Primary cost component split is incorrect</t>
  </si>
  <si>
    <t>Missing authorization check in CO-PC-PCP</t>
  </si>
  <si>
    <t>RKKBCAL2: Analysis/comparison of material cost estimates</t>
  </si>
  <si>
    <t>CO-PC-PCP-REF</t>
  </si>
  <si>
    <t>Ref.a.SimulationCstg</t>
  </si>
  <si>
    <t>ECP: Price Unit (entered in Variable Item) overwritten</t>
  </si>
  <si>
    <t>CO-PC-PCP-WOQ</t>
  </si>
  <si>
    <t>Prod.Cstg w/oQtyStr.</t>
  </si>
  <si>
    <t>Unit Costing: Runtime error ASSIGN_TYPE_CONFLICT</t>
  </si>
  <si>
    <t>Additive costs not transferred to costing variant</t>
  </si>
  <si>
    <t>CK13N: Message CK 869 issued incorrectly</t>
  </si>
  <si>
    <t>CK11N: No price from purchasing info record</t>
  </si>
  <si>
    <t>Settlement2Invoice: Missing campaign guid</t>
  </si>
  <si>
    <t>Reason for rejection is not replicated to CRM</t>
  </si>
  <si>
    <t>SAPSQL_ARRAY_INSERT_DUPREC in update task in ERP</t>
  </si>
  <si>
    <t>Sales document run through middleware after filtering</t>
  </si>
  <si>
    <t>Performance improvement for Sales order replication to CRM</t>
  </si>
  <si>
    <t>incorrect contact person in ERP after order replication</t>
  </si>
  <si>
    <t>Duplicate reservation during CRM Service transfer to R/3</t>
  </si>
  <si>
    <t>CRM-BTX-COI</t>
  </si>
  <si>
    <t>Controlling Integration</t>
  </si>
  <si>
    <t>CRM-BTX-COI-SRV</t>
  </si>
  <si>
    <t>Controll.Int.Service</t>
  </si>
  <si>
    <t>CRMCO, confirmation cannot be posted: message CKBK 040</t>
  </si>
  <si>
    <t>CRM-BTX-SLO</t>
  </si>
  <si>
    <t>Sales Transaction</t>
  </si>
  <si>
    <t>SPL: Special stock indicator incorrect for non-TPOP</t>
  </si>
  <si>
    <t>wrong sign for revenue rec. accruals</t>
  </si>
  <si>
    <t>CRM-LOC</t>
  </si>
  <si>
    <t>Localization</t>
  </si>
  <si>
    <t>SAF-T PT : Retrieve Accounting data from ECC to CRM</t>
  </si>
  <si>
    <t>CRM-MD-BP-BAG</t>
  </si>
  <si>
    <t>Business Agreements</t>
  </si>
  <si>
    <t>R3Ar4: Default Buag flag is cleared after request load 2</t>
  </si>
  <si>
    <t>Clerk responsible in contract account not replicated to CRM</t>
  </si>
  <si>
    <t>Texts with trailing spaces get deleted in replication to CRM</t>
  </si>
  <si>
    <t>CRM-MKT</t>
  </si>
  <si>
    <t>Marketing</t>
  </si>
  <si>
    <t>CRM-MKT-MPL</t>
  </si>
  <si>
    <t>Marketing Planner</t>
  </si>
  <si>
    <t>CRM-MKT-MPL-ST</t>
  </si>
  <si>
    <t>CRM-MKT-MPL-ST-ERP</t>
  </si>
  <si>
    <t>ERP-Interface</t>
  </si>
  <si>
    <t>Table CMPB_MAP not updated for Campaign that was rejected</t>
  </si>
  <si>
    <t>CS-BD</t>
  </si>
  <si>
    <t>CS-BD-BP</t>
  </si>
  <si>
    <t>IW52: Partner selection for notification is incorrect</t>
  </si>
  <si>
    <t>Ibase top object is not supported for COPY operation</t>
  </si>
  <si>
    <t>CS-SE</t>
  </si>
  <si>
    <t>Service Execution</t>
  </si>
  <si>
    <t>VA01/VA02: Runtime error 'ILLEGAL_TEMPORARY_OBJNR'</t>
  </si>
  <si>
    <t>VA01: Dump 'MESSAGE_TYPE_X' when creating service order</t>
  </si>
  <si>
    <t>IW31/IW32: Release possible despite credit block</t>
  </si>
  <si>
    <t>Consolidation Func.</t>
  </si>
  <si>
    <t>Error G00095 when global activity sequence is being changed</t>
  </si>
  <si>
    <t>Document type subassignments contain deleted characteristic</t>
  </si>
  <si>
    <t>Repeated BCF is extremely slow</t>
  </si>
  <si>
    <t>Proportional consolidation with proportion of 100%</t>
  </si>
  <si>
    <t>EC-CS-ICS</t>
  </si>
  <si>
    <t>Additional Functions</t>
  </si>
  <si>
    <t>Successfully copied number ranges are not shown in log</t>
  </si>
  <si>
    <t>Dump TABLE_INVALID_INDEX in HIER1_NODE_FUELLEN</t>
  </si>
  <si>
    <t>Sorting report types in different lanuages for FXI0</t>
  </si>
  <si>
    <t>Sorting form types in different lanuages incorrect</t>
  </si>
  <si>
    <t>Sorting according to date in overview of reports</t>
  </si>
  <si>
    <t>Drilldown reporting: graphical report header in japanese</t>
  </si>
  <si>
    <t>Error message during check of forms</t>
  </si>
  <si>
    <t>GLPCA-PAOBJNR incorrect for CO allocations</t>
  </si>
  <si>
    <t>TP: Not enough valuation approach clearing lines</t>
  </si>
  <si>
    <t>Partner profit center during GR/IR clearing account maint</t>
  </si>
  <si>
    <t>Elimination profit center in New GL as of EHP3</t>
  </si>
  <si>
    <t>No partner profit center for customer-specific activities</t>
  </si>
  <si>
    <t>Partner profit center in tax items</t>
  </si>
  <si>
    <t>User exit for COPCA_PARTNER_GSBER_PRCTR</t>
  </si>
  <si>
    <t>EC-PCA-ACT-EN</t>
  </si>
  <si>
    <t>Direct Data Entry</t>
  </si>
  <si>
    <t>9KE0: Search help for "Transaction Type" field</t>
  </si>
  <si>
    <t>Master data maintenance: Dump TABLE_INVALID_INDEX</t>
  </si>
  <si>
    <t>EC-PCA-TL</t>
  </si>
  <si>
    <t>Extras</t>
  </si>
  <si>
    <t>EC-PCA-TL-ALE</t>
  </si>
  <si>
    <t>Distribution (ALE)</t>
  </si>
  <si>
    <t>Idoc PRCMAS: Deleted PRCTR are not distributed</t>
  </si>
  <si>
    <t>TP: F5701 with invoice receipt</t>
  </si>
  <si>
    <t>EHS-HSM</t>
  </si>
  <si>
    <t>Hazardous Substance Management</t>
  </si>
  <si>
    <t>EHS-HSM-CHK</t>
  </si>
  <si>
    <t>Hazardous Substance</t>
  </si>
  <si>
    <t>Hazardous substance check not for entire putaway strategy</t>
  </si>
  <si>
    <t>EHS-SAF</t>
  </si>
  <si>
    <t>Product Safety</t>
  </si>
  <si>
    <t>EHS-SAF-RSH</t>
  </si>
  <si>
    <t>Report Shipping</t>
  </si>
  <si>
    <t>No message determination for reference distribution</t>
  </si>
  <si>
    <t>EP-PCT-MAN-MT</t>
  </si>
  <si>
    <t>BP for Maint Technic</t>
  </si>
  <si>
    <t>Business object BPR_MORDER and BPR_MOCONF not implemented</t>
  </si>
  <si>
    <t>Checkman Errors in BPR_MOCONF and BPR_MORDER</t>
  </si>
  <si>
    <t>EP-PCT-MGR</t>
  </si>
  <si>
    <t>Manager functionality</t>
  </si>
  <si>
    <t>EP-PCT-MGR-CO</t>
  </si>
  <si>
    <t>BP for MSS FI</t>
  </si>
  <si>
    <t>ISR: XML parsing issues in non-unicode systems</t>
  </si>
  <si>
    <t>QISR_UI_FORM: Default values in transaction SU22</t>
  </si>
  <si>
    <t>Texts of vendor confirmation process work items incorrect</t>
  </si>
  <si>
    <t>CPPR: Error 'Please maintain Service or Limits'</t>
  </si>
  <si>
    <t>BAdI ME_BSART_DET not called from CPPR for PO creation</t>
  </si>
  <si>
    <t>Incorrect or duplicate entries in "You Can Also" menu</t>
  </si>
  <si>
    <t>OBN for material master fails with formatted material</t>
  </si>
  <si>
    <t>CPPR: Bundle and Create PO seems to trigger no action at all</t>
  </si>
  <si>
    <t>SPPR: Valuation Type field does not exist</t>
  </si>
  <si>
    <t>Error IMC_CANCEL_TX when holding an initialized PR document</t>
  </si>
  <si>
    <t>SPPR: Missing document type key in dropdown list</t>
  </si>
  <si>
    <t>SPPR: Message class and number not visible to user</t>
  </si>
  <si>
    <t>CPPR: error 'PR not fixed' though fixed through release ind.</t>
  </si>
  <si>
    <t>CPPR: Dump when starting CPPR Application</t>
  </si>
  <si>
    <t>Collective SAP Note for Document Corrections in FI</t>
  </si>
  <si>
    <t>AC695 for deactivated areas during creation using BAPI</t>
  </si>
  <si>
    <t>Creating multiple assets with configurable entry screen</t>
  </si>
  <si>
    <t>Worklist: Unassigned substitution is performed</t>
  </si>
  <si>
    <t>AS01: Display of all entries in asset class search help</t>
  </si>
  <si>
    <t>Subnumber: Time-dependent depreciation terms not displayed</t>
  </si>
  <si>
    <t>Subsequent acquisition allowed although XNAZUG is set</t>
  </si>
  <si>
    <t>FI-AA-AA-D</t>
  </si>
  <si>
    <t>Net Worth Tax</t>
  </si>
  <si>
    <t>Restrict transaction types to areas: Areas missing</t>
  </si>
  <si>
    <t>Derived area when restricting transaction types</t>
  </si>
  <si>
    <t>Tables missing in transport request</t>
  </si>
  <si>
    <t>AfA run ends with runtime error CONVT_NO_NUMBER</t>
  </si>
  <si>
    <t>Message FGV 003 during periodic APC posting</t>
  </si>
  <si>
    <t>RAPERB2000: Incorr. month for determin. of month of posting</t>
  </si>
  <si>
    <t>Reporting - Dynamic selection and ALV lists</t>
  </si>
  <si>
    <t>Reporting - Missing fields in substitution ANLBZA</t>
  </si>
  <si>
    <t>ERP accelerators: FI-AA RAABST02</t>
  </si>
  <si>
    <t>RALEAS01: Information message AB 064</t>
  </si>
  <si>
    <t>RASIMU_ALV01: Transactions (APC) in incorrect period</t>
  </si>
  <si>
    <t>No WBS elements: Incorrect list output</t>
  </si>
  <si>
    <t>RABEWG_ALV01 - Not possible to jump to document</t>
  </si>
  <si>
    <t>RASIMU_ALV01 displays incorrect depreciations</t>
  </si>
  <si>
    <t>AW01N - Incorrect value texts displayed</t>
  </si>
  <si>
    <t>RABEWG_ALV01 - runtime error GETWA_NOT_ASSIGNED</t>
  </si>
  <si>
    <t>No selection of fixed assets with reports using archive</t>
  </si>
  <si>
    <t>Display of expired useful life in AW01N is incorrect</t>
  </si>
  <si>
    <t>Poor performance for mass processes and ANLBZW</t>
  </si>
  <si>
    <t>FI-AF</t>
  </si>
  <si>
    <t>FI-AF-DPC</t>
  </si>
  <si>
    <t>Down Payment Chains</t>
  </si>
  <si>
    <t>DP chains: FBRA - Clearing reset only allowed with reversal</t>
  </si>
  <si>
    <t>No update of down payment chain documents in DEFTAX_ITEM</t>
  </si>
  <si>
    <t>MIRO: Error F2 013 when checking payment reference</t>
  </si>
  <si>
    <t>MIRO: Security retention &amp; amount split or installment pymt</t>
  </si>
  <si>
    <t>FI: Ready for input status of state central bank ind. for SA</t>
  </si>
  <si>
    <t>MIRO: Available amounts during down payment clearing incorr.</t>
  </si>
  <si>
    <t>F-54: Incorrect account text in document overview</t>
  </si>
  <si>
    <t>Down payment posting: Error F5 580 for parallel currency</t>
  </si>
  <si>
    <t>FB60: Posting with invalid payment reference is possible</t>
  </si>
  <si>
    <t>F110 NewGL: Accnt assgnmnt of cash discount clearing items</t>
  </si>
  <si>
    <t>FBZP: Deletion possible despite dependent data</t>
  </si>
  <si>
    <t>V_T042E: Search help for payment method uses incorr. country</t>
  </si>
  <si>
    <t>F110S: Selection check for customers and vendors</t>
  </si>
  <si>
    <t>F110: Incorr number of text lines for down payment requests</t>
  </si>
  <si>
    <t>F110/PRL: Use of PRL data in payment program</t>
  </si>
  <si>
    <t>F110/F110S: Performance during subgroup calculation</t>
  </si>
  <si>
    <t>FBZP: Runtime error TABLE_ILLEGAL_STATEMENT</t>
  </si>
  <si>
    <t>F110: Extended individual payment (11)</t>
  </si>
  <si>
    <t>RFZALI20: Bank details not to be displayed</t>
  </si>
  <si>
    <t>F110/F111: BAdI for SEPA mandate usage</t>
  </si>
  <si>
    <t>F110: Maximum amount is used as distribution amount</t>
  </si>
  <si>
    <t>F110: Checking instruction key from master record/document</t>
  </si>
  <si>
    <t>FBZ0: Display for vendor/customer account clearing (2)</t>
  </si>
  <si>
    <t>SEPA mandate not found in payment proposal processing</t>
  </si>
  <si>
    <t>Bearbeitung der Fälligkeiten für Zahlungsaufforderungen</t>
  </si>
  <si>
    <t>F110: Realized exch. rate difference if payment amt entered</t>
  </si>
  <si>
    <t>RFEBNORDIC:Not able to recognize new status codes</t>
  </si>
  <si>
    <t>RFEBIT00: Missing Check on duplicate file upload</t>
  </si>
  <si>
    <t>DMEE Format: NO_PAYMUL: Counter info was missing in the file</t>
  </si>
  <si>
    <t>RFFOSE_B: Wrong order in payment file</t>
  </si>
  <si>
    <t>RFESR000:Issue with posting key for Credit memos</t>
  </si>
  <si>
    <t>SE_BANKGIROT: Records 26 and 27 missing in the output file</t>
  </si>
  <si>
    <t>RFFOJP_T: Message type in KATAKANA from S to E to cancel Job</t>
  </si>
  <si>
    <t>RFFOGB_T: Count of BACS Transaction &amp; Contra entries in DME</t>
  </si>
  <si>
    <t>DMEE: GB_BACS: RTI correction, Account Holder Name,User No.</t>
  </si>
  <si>
    <t>Italy CUP/CIG:Issue in deletion of CUP/CIG no's in XK02/FK02</t>
  </si>
  <si>
    <t>RFFOJP_T: BF00196 Error message in job log is misleading</t>
  </si>
  <si>
    <t>DMEE: Sweden: OCR Number in the Format SE_BANKGIROT</t>
  </si>
  <si>
    <t>FR_ETEBAC_VRT-ETR: Record 3 field 10 is filled incorrectly</t>
  </si>
  <si>
    <t>RFFOF__T: Bank key populated in Beneficiary account of DME</t>
  </si>
  <si>
    <t>RFF0IT_FOR: Incorrect value in Record H1 - Position 79-81</t>
  </si>
  <si>
    <t>FI: Potential Directory Traversal</t>
  </si>
  <si>
    <t>Garnishment register: Error in IMG</t>
  </si>
  <si>
    <t>Report RFFOIT_FOR and RFFOIT_B: payment summary as ALV list</t>
  </si>
  <si>
    <t>RFFOIT_FOR: CVS information missing in record P9(17-19)</t>
  </si>
  <si>
    <t>RFFONO_T: KIDNO not transfered to the DME file from Vend Inv</t>
  </si>
  <si>
    <t>DMEE: Switzerland: CH_EZAG: Wrong Bank Account Information</t>
  </si>
  <si>
    <t>RFEBNORDIC:Bank Reference Number not passed in Mulitcash</t>
  </si>
  <si>
    <t>RFIDATEB00:IBAN of the Business Partner is not passed in fil</t>
  </si>
  <si>
    <t>Bank details are not transferred properly</t>
  </si>
  <si>
    <t>MIRO: VBEL2/POSN2/PROJK not filled if FI substitution exists</t>
  </si>
  <si>
    <t>BSIP is not updated during parking using MIR7</t>
  </si>
  <si>
    <t>BAdI for derivation LZBKZ/LANDL when creating FI documents</t>
  </si>
  <si>
    <t>Second/third local currency not updated in actual reversal</t>
  </si>
  <si>
    <t>Split as per Notes 1497092/1670486 for Thailand</t>
  </si>
  <si>
    <t>Split as per Notes 1497092/1670486 for Singapore</t>
  </si>
  <si>
    <t>MR8M : Terms of payment in invoice reduction and retention</t>
  </si>
  <si>
    <t>MR8M : Terms of payment in down payment clearing</t>
  </si>
  <si>
    <t>INVOIC: Cross-company code posting is incorrect</t>
  </si>
  <si>
    <t>INVOIC/TP: Error in partner type 'LS'</t>
  </si>
  <si>
    <t>Unnecessary lock in vendor master data or cust. master data</t>
  </si>
  <si>
    <t>SEPA mandates: RFKREDEB_SYNC bank details</t>
  </si>
  <si>
    <t>WT: Increasing the field size of Tax type number</t>
  </si>
  <si>
    <t>More than two decimal points for withholding tax rate</t>
  </si>
  <si>
    <t>BADI to populate the field J_1AF_WT_REPBS during posting</t>
  </si>
  <si>
    <t>Fields BLART and LIFNR not available in derivation tool</t>
  </si>
  <si>
    <t>Value of bseg-secco not available in the badi method for exe</t>
  </si>
  <si>
    <t>Korea File change 2009</t>
  </si>
  <si>
    <t>US Adobe forms-1099 Misc1 and 1099 MISC</t>
  </si>
  <si>
    <t>RFIDYYWT: Enhancement to customer Badi WTAXREPORT_MODIFY</t>
  </si>
  <si>
    <t>UK CIS- HTTP Connection Failure in production system</t>
  </si>
  <si>
    <t>RFIDYYWT- Belgium smartforms based on vendor language</t>
  </si>
  <si>
    <t>RCT legal change - payment notification file issues</t>
  </si>
  <si>
    <t>IE RCT Legal Change-MIRO documents not getting reported</t>
  </si>
  <si>
    <t>RFIDYYWT: Corrections to smartform IDWTCERT_PH_2307</t>
  </si>
  <si>
    <t>Mexico: Withholding Tax Documentation Corrections</t>
  </si>
  <si>
    <t>Down payments not getting reported properly with DS7</t>
  </si>
  <si>
    <t>J_1HDTAX: Title for transfer deferred tax report thailand</t>
  </si>
  <si>
    <t>Ireland - RCT data not updating correctly in vendor master</t>
  </si>
  <si>
    <t>Belgium Fiche 281.50 - Incorrect translation in form output</t>
  </si>
  <si>
    <t>IDWTCERT_MX: Change of package</t>
  </si>
  <si>
    <t>OBWF: Deletions not executed in target system</t>
  </si>
  <si>
    <t>Payment release workflow is started repeatedly</t>
  </si>
  <si>
    <t>FBV0: Message 00349 "Field BSEG-MWSTS does not exist"</t>
  </si>
  <si>
    <t>ENJOY:Posting parked doc w/ special G/L transaction F5A034</t>
  </si>
  <si>
    <t>EnjoySAP: Baseline date for payment is not adjusted (II)</t>
  </si>
  <si>
    <t>Missing translations for launchpad texts in CHIPs</t>
  </si>
  <si>
    <t>Support of SEPA mandate in FI document</t>
  </si>
  <si>
    <t>Missing CHIP documentation for FI-AR/FSCM-CR home page CHIPs</t>
  </si>
  <si>
    <t>Clearing w/ payment advice note: Too many items activated II</t>
  </si>
  <si>
    <t>FBA2/FBA7: XAUSZ3 with multiple, redunndant entries</t>
  </si>
  <si>
    <t>SU24/FB02: Some objects are no longer defined with default</t>
  </si>
  <si>
    <t>RFAVIS10: Unsorted list displayed</t>
  </si>
  <si>
    <t>FB31: Error message F5 144 when posting using a branch</t>
  </si>
  <si>
    <t>F150: Printing dunning notice w/ PDF - fld selection limited</t>
  </si>
  <si>
    <t>F150: E-mail PDF with receipt/read confirmation</t>
  </si>
  <si>
    <t>FINTSHOW: Parked interest documents cannot be reversed</t>
  </si>
  <si>
    <t>F150: No MHNK/MHND for items not due, or locked items</t>
  </si>
  <si>
    <t>F150: Creditor dunning run w/ clearing in customer head off.</t>
  </si>
  <si>
    <t>F150: No MHNK/MHND for credit memos or locked items</t>
  </si>
  <si>
    <t>F150: Open FI event 00001703 - execution date and ID</t>
  </si>
  <si>
    <t>RFBABL00: Technical IBAN number displayed incorrectly</t>
  </si>
  <si>
    <t>FGI0/research: Selection 'Cleared items'</t>
  </si>
  <si>
    <t>RFDOPR00: Incorrect business area in OI list</t>
  </si>
  <si>
    <t>Customer/vendor line items: SAPSQL_INVALID_FIELDNAME</t>
  </si>
  <si>
    <t>FBL5N-Clearing transactions - T020 entry missing for UDM_S*</t>
  </si>
  <si>
    <t>Line item: Mass change for directly posted to tax accounts</t>
  </si>
  <si>
    <t>FI correspondence: PDF e-mails w/ send/receive confirmation</t>
  </si>
  <si>
    <t>FBWE: Tax number missing in print dataset</t>
  </si>
  <si>
    <t>FI-AR-AR-J</t>
  </si>
  <si>
    <t>Difference in tax base in local currency if amount is small</t>
  </si>
  <si>
    <t>F5 350 when performing a reversal from HR</t>
  </si>
  <si>
    <t>Error F5 702 for down payment clearing from SD or MM</t>
  </si>
  <si>
    <t>Difference in tax amount for down payment clearing from SD</t>
  </si>
  <si>
    <t>SEPA mandate in FI: Technical adjustment</t>
  </si>
  <si>
    <t>Report RF_CONVERT_XEZER_TO_MANDATE no F4-help for ZBUKR</t>
  </si>
  <si>
    <t>SEPA mandate customers: Entering/changing IBAN</t>
  </si>
  <si>
    <t>SEPA mandates: Sequence type determination</t>
  </si>
  <si>
    <t>FI_APAR_SEPA_CONV: Creating a mandate w/o a payment method</t>
  </si>
  <si>
    <t>SEPA mandates customers: Customer number and company code</t>
  </si>
  <si>
    <t>RFDKLI40: Currency not displayed in the Overview list</t>
  </si>
  <si>
    <t>F.31:Sales Column Headers are not correct in balance list</t>
  </si>
  <si>
    <t>Bank-Related Acctg</t>
  </si>
  <si>
    <t>Missing Chinese in PDF form</t>
  </si>
  <si>
    <t>Message FIBC 010 is not customizable</t>
  </si>
  <si>
    <t>FF67: Dump DYNPRO_MSG_IN_HELP when posting all statements</t>
  </si>
  <si>
    <t>Bank statement: Error FV151 for MT942</t>
  </si>
  <si>
    <t>XSLT for camt054.001.02</t>
  </si>
  <si>
    <t>Incorrec value field assignment in transaction FEBAN</t>
  </si>
  <si>
    <t>Comparison of closing and opening balance for balance = 0</t>
  </si>
  <si>
    <t>CHECKMAN error: FPRL_ITEM and FPRLS_ITEM</t>
  </si>
  <si>
    <t>FBCJ/Down payments: Errors during asset account assignment</t>
  </si>
  <si>
    <t>FBCJ: Incorrect saved documents due to message FCJ 055</t>
  </si>
  <si>
    <t>FBCJ: General ledger account empty after printing receipt</t>
  </si>
  <si>
    <t>RFCASH00: Closing balance incorrect for several accounts</t>
  </si>
  <si>
    <t>FBCJ: Lock entry for BAPI_CASHJOURNALDOC_CREATE</t>
  </si>
  <si>
    <t>FBCJ: Messages from FI_TAX_INDICATOR_CHECK are not displayed</t>
  </si>
  <si>
    <t>FBCJ: Message PG 152 / KI 211 --&gt; Saving not allowed</t>
  </si>
  <si>
    <t>FBCJC2: Dump DYNPRO_MSG_IN_HELP for F4 help for tax code</t>
  </si>
  <si>
    <t>FBCJ: "Print journal" returns short dump</t>
  </si>
  <si>
    <t>SEPA direct debit in BCM: First mandate usage</t>
  </si>
  <si>
    <t>SEPA mandate type B2B not set correctly</t>
  </si>
  <si>
    <t>F111: Specification of lock user is missing in message</t>
  </si>
  <si>
    <t>F111/SEPA: Mandate rejected as invalid after change</t>
  </si>
  <si>
    <t>FIBLFFP: Select Bank Key by Swift Code.</t>
  </si>
  <si>
    <t>F111: Payment requests are not cleared</t>
  </si>
  <si>
    <t>Zero-balance OIM lines: document not posted in FPRL_LIST</t>
  </si>
  <si>
    <t>FAGL_GET_GLT0: Performance probl due to too large field list</t>
  </si>
  <si>
    <t>Interface Note: With. tax line excl. (addition to 1648073)</t>
  </si>
  <si>
    <t>Enhance G_GLU1_ITEMS_SELECT by I_DBCON_NAME</t>
  </si>
  <si>
    <t>Deadlocks on NewGL totals table (e.g. FAGLFLEXT)</t>
  </si>
  <si>
    <t>Database locks on totals tables despite randomization</t>
  </si>
  <si>
    <t>RGZZGLUX: Error GU093 or GI747 because of field RECID</t>
  </si>
  <si>
    <t>Validation TooL: Statistical line item should not be checked</t>
  </si>
  <si>
    <t>KH 999: Program error in MKCBRF55_Read</t>
  </si>
  <si>
    <t>SAPF180A: Items with amount 0.00 in LC not distributed</t>
  </si>
  <si>
    <t>Cash discount on assets not active in case of MAA</t>
  </si>
  <si>
    <t>FI-GL-CP</t>
  </si>
  <si>
    <t>Cons. preparation</t>
  </si>
  <si>
    <t>RFBILA00 - extract to consolidation dumps</t>
  </si>
  <si>
    <t>G/L Account Line Item Display terminates</t>
  </si>
  <si>
    <t>MCA Reversal FBMCA08: F4 help for field MCA Run ID</t>
  </si>
  <si>
    <t>MCA Reversal FBMCA08: MCA Documents Missing</t>
  </si>
  <si>
    <t>MCA: Propose ledger environment if it is unique</t>
  </si>
  <si>
    <t>Posting Date and Period required for MCA Mass Reversal</t>
  </si>
  <si>
    <t>FBMCA08 and FBMCA80: Docu missing for Display Selected Docs</t>
  </si>
  <si>
    <t>Incorrect splitting in TSL for local crcy value 0 w/ TC = LC</t>
  </si>
  <si>
    <t>Replacement logic in BAPI BAPI_CODINGBLOCK_PRECHECK_HR</t>
  </si>
  <si>
    <t>NGLM: Customer fields are not displayed</t>
  </si>
  <si>
    <t>Performance of the function module G_BEB_BALANCE_DOC</t>
  </si>
  <si>
    <t>Reversal: Runtime Errors MESSAGE_TYPE_X GI201 or GI220</t>
  </si>
  <si>
    <t>Commitment items in constant maintenance with masking</t>
  </si>
  <si>
    <t>Document splitting: Invoice reference evaluated incorrectly</t>
  </si>
  <si>
    <t>Negative posting: MESSAGE_TYPE_X in P_ITEMS_POST(_PREPARE)</t>
  </si>
  <si>
    <t>Dummy-Hinweis NewGL SL</t>
  </si>
  <si>
    <t>COGM: FI postings in several CO versions</t>
  </si>
  <si>
    <t>Performance of G_TABLE_OPEN_CURSOR_HANA w/ SAP HANA database</t>
  </si>
  <si>
    <t>EHP3: Authorization check even during checking</t>
  </si>
  <si>
    <t>SAPF124 outputs incorrect column text</t>
  </si>
  <si>
    <t>FB01/Simulation: 'Save as completed' and 'Park'</t>
  </si>
  <si>
    <t>CGP: Enhancing FUD_FIDOC_BSEG</t>
  </si>
  <si>
    <t>SAPF124: Performance EXTRA_LOGIC</t>
  </si>
  <si>
    <t>SAPF120: Format error when processing BI session</t>
  </si>
  <si>
    <t>ENJOY: Authorization check for document type</t>
  </si>
  <si>
    <t>FIN UI decoupling: No warning messages for validation</t>
  </si>
  <si>
    <t>FIN UI decoupling: Returning reversal data</t>
  </si>
  <si>
    <t>FBU3/ALV list: Scroll bar in header data</t>
  </si>
  <si>
    <t>RFOB5200 issues warning</t>
  </si>
  <si>
    <t>FB05/payt advice: Unnecess. dialog box for G/L acct payt adv</t>
  </si>
  <si>
    <t>FB01/message F5 216: Deviation in % displayed incorrectly</t>
  </si>
  <si>
    <t>EnjoySAP: VBUND not ready for input after doc. type change</t>
  </si>
  <si>
    <t>FIN UI decoupling: No display of reporting country, tax no.</t>
  </si>
  <si>
    <t>ADB Move and Merge: no data found</t>
  </si>
  <si>
    <t>ADB Move and Merge stops with amount overflow</t>
  </si>
  <si>
    <t>RFSZIS00. RFDZIS00, RFKZIS00: Negative interest</t>
  </si>
  <si>
    <t>FS10N: Drill down: 1609283 does not solve problem completely</t>
  </si>
  <si>
    <t>FAGLL03: Dump COMPUTE_BCD_OVERFLOW</t>
  </si>
  <si>
    <t>FBL3: Valuated amount not checked in transfer price calc</t>
  </si>
  <si>
    <t>Logical database BRF: Enhancement of BAdI FI_AUTHORITY_ITEM</t>
  </si>
  <si>
    <t>FF753: direct tax items for tax code with several conditions</t>
  </si>
  <si>
    <t>Short dump transaction FBBCX</t>
  </si>
  <si>
    <t>RFUMSV25: Incorrect amounts for documents from F110</t>
  </si>
  <si>
    <t>Tax on detail screen is not transferred to LWSTE/LWBAS</t>
  </si>
  <si>
    <t>MM BAPIs - tax base / tax in local currency is missing</t>
  </si>
  <si>
    <t>Local currency &lt;&gt; 2nd/3rd currency if currency is the same</t>
  </si>
  <si>
    <t>VAT refund: Dump TSV_TNEW_ALLOC_FAILED</t>
  </si>
  <si>
    <t>RFPUMS00: Line items differ from sum/posting</t>
  </si>
  <si>
    <t>RFASLDPC: Performance improvement for large files</t>
  </si>
  <si>
    <t>BTE 1025: Incorrect BSET-BUZEI in case of direct tax items</t>
  </si>
  <si>
    <t>Note 1694800: spread amount sometimes deleted</t>
  </si>
  <si>
    <t>VATDATE remains empty if only vendor data is entered</t>
  </si>
  <si>
    <t>IDoc: Direct tax items must not be summarized</t>
  </si>
  <si>
    <t>RFUMSV00: Layout variant maintenance and plants abroad</t>
  </si>
  <si>
    <t>FOTV - Message FOT_B2A 313 missing</t>
  </si>
  <si>
    <t>Tax items do not contain BUZID = 'T'</t>
  </si>
  <si>
    <t>Short dump BCD_ZERODIVIDE when posting clearing in F-32</t>
  </si>
  <si>
    <t>UK e-VAT Customizations(UK) and FOTV Corrections.</t>
  </si>
  <si>
    <t>EUVAT: pass profit center to accounting document</t>
  </si>
  <si>
    <t>VAT Pro Rata: Tax Reporting Date</t>
  </si>
  <si>
    <t>RFASLD11B: Total Number of records not calculated properly</t>
  </si>
  <si>
    <t>RFCLLIB00_PE : Output in second local currency.</t>
  </si>
  <si>
    <t>RFIDITSR00(CBR France)- Amount not getting displayed for ECO</t>
  </si>
  <si>
    <t>RFASLD02: Corrections to several issues</t>
  </si>
  <si>
    <t>SAFT-PT: Corrections RSAFT_PT_XML for 2010 (51)</t>
  </si>
  <si>
    <t>RFIDITSR00(BE): Incorrect display of amounts in XML file.</t>
  </si>
  <si>
    <t>Software Certification: SAFT-PT</t>
  </si>
  <si>
    <t>RFUVXX00: Amount in the Box 00 is not displayed correctly</t>
  </si>
  <si>
    <t>Issue with the implementation RFIDIT_TAX_BADI_015</t>
  </si>
  <si>
    <t>SAFT-PT: Corrections RSAFT_PT_XML for 2010 (52)</t>
  </si>
  <si>
    <t>FI:Potential Directory Traversal-Luxembourg(RFIDLUEVAT)</t>
  </si>
  <si>
    <t>RFIDESM347:Corrections for Quarter Amt. Split,Witholding Tax</t>
  </si>
  <si>
    <t>RFUMPT00 :Issue with inter-company documents</t>
  </si>
  <si>
    <t>F-36 does not accept foreign Banks Cheque.</t>
  </si>
  <si>
    <t>FI: Potential Directory Traversal - Peru</t>
  </si>
  <si>
    <t>Potential Directory Traversal - Italy</t>
  </si>
  <si>
    <t>Potential modif./disclosure of persisted data in FI-GL-GL-F1</t>
  </si>
  <si>
    <t>RFBELJ10_NACC: Fiscal Code (Codice Fiscale) missing (Italy)</t>
  </si>
  <si>
    <t>Log storage: Runtime error CX_SY_MOVE_CAST_ERROR</t>
  </si>
  <si>
    <t>RFBNUM00N: Numeric document numbers as alphanumeric</t>
  </si>
  <si>
    <t>Incorrect FI balances in the program FAGL_MM_RECON II</t>
  </si>
  <si>
    <t>FAGL_FCV: Valuation reset does not post LC2 and LC3</t>
  </si>
  <si>
    <t>FAGL_FCV: Termin. TYPE_NOT_FOUND, method DESCRIBE_BY_NAME</t>
  </si>
  <si>
    <t>RFWERE00: Dumps due to fld overflow for local crcy 2 and 3</t>
  </si>
  <si>
    <t>F107, method 3: Incorrect DMSHB_BAS for rem. credit total</t>
  </si>
  <si>
    <t>FAGL_YEC_POSTINGS: Net Result Amount in Hard/Group Currrency</t>
  </si>
  <si>
    <t>FAGL_FC_VALUATION: List header information</t>
  </si>
  <si>
    <t>RFBILA00: Error GU 511 "Ledger &amp; does not exist"</t>
  </si>
  <si>
    <t>RFAWVZ5A.: Duplicate selection of items</t>
  </si>
  <si>
    <t>FAGL_FCV: Additional accounting assignments</t>
  </si>
  <si>
    <t>FAGL_FC_VAL: Incorrect rounding diffs w/ balance valuation</t>
  </si>
  <si>
    <t>FAGL_YEC_POSTINGS: Closing of the tax account not possible</t>
  </si>
  <si>
    <t>FAGL_FCV:Incorrect rounding differences w/ balance valuation</t>
  </si>
  <si>
    <t>F4-Help for rollups displays too many rollups</t>
  </si>
  <si>
    <t>Error GM 130 when using the WBS element</t>
  </si>
  <si>
    <t>RFBILA00N: No currency type for call of FAGL_GET_GLT0</t>
  </si>
  <si>
    <t>F101/FAGLF101: Due date if invoice supplement (REBZT = 'R')</t>
  </si>
  <si>
    <t>Prevent negative posting w/ different GLVOR in FI</t>
  </si>
  <si>
    <t>FBCJ: Reversal possible despite cleared item</t>
  </si>
  <si>
    <t>No error when an FI doc that does not exist is deleted</t>
  </si>
  <si>
    <t>Short dump IMPORT_CONTAINER_MISSING when parking via FB60</t>
  </si>
  <si>
    <t>VORNR is not updated when parking using RWIN</t>
  </si>
  <si>
    <t>Interface for function module 'FAGL_ACC_TO_DOC_TRANSFORM'</t>
  </si>
  <si>
    <t>Transaction VF46 : Translation date missing in FI document</t>
  </si>
  <si>
    <t>Grp acct transferred from master record in case of neg pstng</t>
  </si>
  <si>
    <t>FI ALE: ISO code in CPD data not converted</t>
  </si>
  <si>
    <t>RFBISA*: Error message SG 805</t>
  </si>
  <si>
    <t>Deactivation of RFXPRA31</t>
  </si>
  <si>
    <t>FI-GL-GL-RP</t>
  </si>
  <si>
    <t>Reconciliation CO-FI</t>
  </si>
  <si>
    <t>RTI: Parallel valuation COGM</t>
  </si>
  <si>
    <t>KALC: PCA document is not created</t>
  </si>
  <si>
    <t>FBV1/FBV0: Tax calc. indicator incorrect in G/L account item</t>
  </si>
  <si>
    <t>ENJOY: Change history for cross-company code documents</t>
  </si>
  <si>
    <t>FBV0/BKPFF: Ledger-specific posting not possible</t>
  </si>
  <si>
    <t>FAGL_ACTIVATE_OP: Ledger grp-spec pstngs not always checked</t>
  </si>
  <si>
    <t>FAGLF03: "No differences occurred" for special periods</t>
  </si>
  <si>
    <t>FAGL_ACTIVATE_OP: Message FAGL_SWITCH_OP 016 is incorrect</t>
  </si>
  <si>
    <t>FAGL_ACTIVATE_OP: Company code without document splitting</t>
  </si>
  <si>
    <t>RFBILA00N: Several problems</t>
  </si>
  <si>
    <t>Financial statement version: Runtime error</t>
  </si>
  <si>
    <t>Technical prerequisite for note 1028374 (1)</t>
  </si>
  <si>
    <t>Customer Info System: Shortened Fiscal Year</t>
  </si>
  <si>
    <t>RFSSLD00: Runtime error COLLECT_OVERFLOW_TYPE_P</t>
  </si>
  <si>
    <t>EFS: Inclusion of table GLFUNCT in FSE0_XBRL</t>
  </si>
  <si>
    <t>EFS: Transferring accounts assigned depending on balances</t>
  </si>
  <si>
    <t>EFS: Internal error in program RFGSBSTR number 20</t>
  </si>
  <si>
    <t>EFS: FSE0_XBRL-Account balance incorrect (balance-dependent)</t>
  </si>
  <si>
    <t>EFS - encapsulation program logic for data formatting</t>
  </si>
  <si>
    <t>Electronic financial statement for GCD: Umlauts displayed</t>
  </si>
  <si>
    <t>EFS: Correction for of-which items and calculation logic</t>
  </si>
  <si>
    <t>E-BilanZ GCD: Color of positions with editable text/subnodes</t>
  </si>
  <si>
    <t>newGL Migration: missing Open Items despite XX status</t>
  </si>
  <si>
    <t>newGL mig: work list of Open Items incorrectly filled II</t>
  </si>
  <si>
    <t>newGL mig: dump when creating worklist of documents</t>
  </si>
  <si>
    <t>newGL migration: Treasury documents aren't reset</t>
  </si>
  <si>
    <t>newGL migration: Reset Migration completely - GU167 error</t>
  </si>
  <si>
    <t>Green status in case of some errorneous items in worklist</t>
  </si>
  <si>
    <t>Incorrect Transaction type for BCF</t>
  </si>
  <si>
    <t>FAGL_MIG_RPITEMS_FILL: incorrect statistics</t>
  </si>
  <si>
    <t>GI754 in FAGL_MIG_SUBSEQ_POST after impl. of note 1701619</t>
  </si>
  <si>
    <t>Dummy note for code cleanups</t>
  </si>
  <si>
    <t>Reorganization: Generating object list for requests</t>
  </si>
  <si>
    <t>Object list not marked as 'Completely processed'</t>
  </si>
  <si>
    <t>FAGL_ASSET_MASTERDATA_UPD: Various errors</t>
  </si>
  <si>
    <t>Reorganization: Generation of object list for AuC</t>
  </si>
  <si>
    <t>Poorer performance after activating a business function</t>
  </si>
  <si>
    <t>Message FAGL_REORGANIZATION 123: Cut name of parameters</t>
  </si>
  <si>
    <t>Generatn after acct assgmt chg: Incorr first-level objects</t>
  </si>
  <si>
    <t>Performance: Generation not performed in parallel processing</t>
  </si>
  <si>
    <t>PRCTR: No P&amp;L account, new profit center still derived</t>
  </si>
  <si>
    <t>PRCTR/SEG: Error message FAGL_REORGANIZATION 575</t>
  </si>
  <si>
    <t>PRCTR/SEG: Dump ITAB_DUPLICATE_KEY Gen. object list AP/AR</t>
  </si>
  <si>
    <t>PRCTR/SEG: Error message FAGL_REORGANIZATION 535</t>
  </si>
  <si>
    <t>PRCTR - Reorg: Runtime error MESSAGE_TYPE_X gen. AP/AR</t>
  </si>
  <si>
    <t>PRCTR: Generating AR - all receivables from SD at level 1</t>
  </si>
  <si>
    <t>PRCTR: Acct assgmt change AR/AP - missing "Segment" feature</t>
  </si>
  <si>
    <t>PRCTR/SEG: Transfer posting of cleared items</t>
  </si>
  <si>
    <t>PRCTR: Sales order stock and project stock with MAT with ML</t>
  </si>
  <si>
    <t>PRCTR: wrong balance of materials (obj.list MAT)</t>
  </si>
  <si>
    <t>PRCTR: incorrect balances of purch. order for ext. services</t>
  </si>
  <si>
    <t>PRCTR: Splitting inf. for open items of POAs not updated</t>
  </si>
  <si>
    <t>PRCTR: Incorr balance for purchase orders/scheduling agrmts.</t>
  </si>
  <si>
    <t>FI-LA</t>
  </si>
  <si>
    <t>Lease Accounting Eng</t>
  </si>
  <si>
    <t>Dump RAISE_EXCEPTION due to invalid transfer variant</t>
  </si>
  <si>
    <t>SAP HANA: Report Writer connection</t>
  </si>
  <si>
    <t>RW:Restriction of XLSM display for lower SAP GUI releases.</t>
  </si>
  <si>
    <t>RW: Deleted archive data is not displayed III</t>
  </si>
  <si>
    <t>FI-SL-SL-D</t>
  </si>
  <si>
    <t>Reporting/Analysis</t>
  </si>
  <si>
    <t>Posting Period field in GD13</t>
  </si>
  <si>
    <t>FI-SL-SL-G</t>
  </si>
  <si>
    <t>Closing ops./Per.end</t>
  </si>
  <si>
    <t>Rollup: detailed list not correctly formatted</t>
  </si>
  <si>
    <t>Group comparison RGSCOMPARE is incorrect</t>
  </si>
  <si>
    <t>RPRAPA00: IBAN with account number</t>
  </si>
  <si>
    <t>RPRAPA00: Locked vendors with deletion flag</t>
  </si>
  <si>
    <t>RPR_AIRP_LRS_TO_FI: Global assignment charges ignored</t>
  </si>
  <si>
    <t>RPR_AIRP_LRS_TO_FI: No check whether receipt already posted</t>
  </si>
  <si>
    <t>EDX: Add option to park invoice with Multi PO's</t>
  </si>
  <si>
    <t>EDX: Wrong IDOC is picked for outgoing document</t>
  </si>
  <si>
    <t>EDX: EDX_LIST Last error log doesn't appear after refresh</t>
  </si>
  <si>
    <t>EDX: New status for outbound cases in EDX_LIST</t>
  </si>
  <si>
    <t>EDX: Error text is not cleared after second OK ALEAUD</t>
  </si>
  <si>
    <t>EDX: EDX_LIST with layout filter displays wrong PDF</t>
  </si>
  <si>
    <t>EDX: Better support for messages with credit amount</t>
  </si>
  <si>
    <t>EDX: Change DocSet Type to INVCAN for Invoice Cancellation</t>
  </si>
  <si>
    <t>EDX: DocumentSet missing the reference node</t>
  </si>
  <si>
    <t>EDX: Wrong sorting of idoc list</t>
  </si>
  <si>
    <t>BCM: Archiving - not all tables are archived</t>
  </si>
  <si>
    <t>CPON: Status message error due to incorrect sequence</t>
  </si>
  <si>
    <t>BNK_MONI: Status "Error in pay. medium creation"</t>
  </si>
  <si>
    <t>Stmt. Received status due to payment document number</t>
  </si>
  <si>
    <t>BCM connector: Status after rejection</t>
  </si>
  <si>
    <t>CPON: BNK_COM_CORE 042 - No internal status maintained</t>
  </si>
  <si>
    <t>CPON: Error in background job with several payments from HR</t>
  </si>
  <si>
    <t>BankAccountStatementNotification_In: Business partner</t>
  </si>
  <si>
    <t>CPON: Improved performance when using ALERT</t>
  </si>
  <si>
    <t>Update is incorrect after amount is changed using MIR4</t>
  </si>
  <si>
    <t>FIN-FSCM-CM-IS</t>
  </si>
  <si>
    <t>Reporting: Monthly comparison (rolling) terminates</t>
  </si>
  <si>
    <t>Receivables processing:Default val "Customer Contacts Since"</t>
  </si>
  <si>
    <t>Performance for clearing transactions</t>
  </si>
  <si>
    <t>Process receivables: Payment request payment method</t>
  </si>
  <si>
    <t>Text change for data element FDM_SGL_RELEVANT</t>
  </si>
  <si>
    <t>UKM_MASSDATA_RECONCILE: Data selection incorrect</t>
  </si>
  <si>
    <t>FSCM Case Management: Trigger Sales Document Actions</t>
  </si>
  <si>
    <t>SAP Credit Management: RFC error</t>
  </si>
  <si>
    <t>Dispute case update: SAPSQL_ARRAY_INSERT_DUPREC</t>
  </si>
  <si>
    <t>FSCM-DM: Changes in documentation</t>
  </si>
  <si>
    <t>FIN-FSCM-IHC</t>
  </si>
  <si>
    <t>FSCM In-House Cash</t>
  </si>
  <si>
    <t>SEPA: Correcting check on mandate_type when B2B &lt;&gt; 'CORE'</t>
  </si>
  <si>
    <t>FIN-FSCM-LP</t>
  </si>
  <si>
    <t>Liquidity Planer</t>
  </si>
  <si>
    <t>Liquidity calculation: Reconstruct historic assignment</t>
  </si>
  <si>
    <t>Treasury and Risk Management</t>
  </si>
  <si>
    <t>FIN-FSCM-TRM-MR</t>
  </si>
  <si>
    <t>Market Risk Analyzer</t>
  </si>
  <si>
    <t>FIN-FSCM-TRM-MR-VAR</t>
  </si>
  <si>
    <t>Value at Risk</t>
  </si>
  <si>
    <t>Value at risk with commodity prices as risk factors</t>
  </si>
  <si>
    <t>TBEX: Runtime error RAISE_EXCEPTION when create spreadsheet</t>
  </si>
  <si>
    <t>BP_CVI: Link to customer/vendor using FLBPD2/FLBPC2</t>
  </si>
  <si>
    <t>BP_CVI: No customer if several business partners transferred</t>
  </si>
  <si>
    <t>BP_XDT: Specific fields of CVI not transferred with DI</t>
  </si>
  <si>
    <t>BP_CVI: DYNP_TOO_MANY_RADIOBUTTONS_ON for unloading points</t>
  </si>
  <si>
    <t>BP_CVI: Change docs for customer/vendor and authorization</t>
  </si>
  <si>
    <t>BP_TRE: Inaccurate error message B0 164</t>
  </si>
  <si>
    <t>BP_CVI: Dump or error when creating tax category</t>
  </si>
  <si>
    <t>Business Object BUS2204: Method DISPLAY doesn't work</t>
  </si>
  <si>
    <t>Appropriation requests: Change docs displayed incorrectly</t>
  </si>
  <si>
    <t>Incorr poss. to create depr. sim. data w/o invstmt profile</t>
  </si>
  <si>
    <t>Copying variant: No deprec. sim. data despite required entry</t>
  </si>
  <si>
    <t>Not possible to perform ECP in object currency</t>
  </si>
  <si>
    <t>Insuff. auth. check when creating app. request w/ template</t>
  </si>
  <si>
    <t>RAVCHANA*: Unjustified message HDB 009</t>
  </si>
  <si>
    <t>Incorrect distributed values after FY change or roll up</t>
  </si>
  <si>
    <t>Handle checkman error of programs RAVCHANA_ORD, RAVCHANA_WBS</t>
  </si>
  <si>
    <t>Unnötiger Funktionsbaustein AIP_ESA0_CALL_SE16N_INTERFACE</t>
  </si>
  <si>
    <t>Incorrect selection in IM reporting</t>
  </si>
  <si>
    <t>Performance problem when using ORACLE database</t>
  </si>
  <si>
    <t>Technical prerequisite for Note 1767474</t>
  </si>
  <si>
    <t>VL60: Delivery on hold cannot be saved</t>
  </si>
  <si>
    <t>TPOP Goods Receipt: HUGENERAL327 raised</t>
  </si>
  <si>
    <t>Technical prerequisite for Note 1791169</t>
  </si>
  <si>
    <t>Technical prerequisite for Note 1788591</t>
  </si>
  <si>
    <t>Technical prerequisite for Note 1796518</t>
  </si>
  <si>
    <t>IS-ADEC-PRM</t>
  </si>
  <si>
    <t>IS-ADEC-PRM-TL</t>
  </si>
  <si>
    <t>Maintenance Task Lis</t>
  </si>
  <si>
    <t>IS-ADEC-SPC</t>
  </si>
  <si>
    <t>Specification 2000</t>
  </si>
  <si>
    <t>IS-ADEC-SPC-OA</t>
  </si>
  <si>
    <t>Order Administration</t>
  </si>
  <si>
    <t>Core Enhancement Points for note 735455.</t>
  </si>
  <si>
    <t>IS-ADEC-SUB</t>
  </si>
  <si>
    <t>Technical prerequisites in SAP_APPL for note 1773783</t>
  </si>
  <si>
    <t>Quality add-on: Text change in A&amp;D Subcontracting for BEIKZ</t>
  </si>
  <si>
    <t>COL: Migration provider contract (SAP_APPL)</t>
  </si>
  <si>
    <t>Catch Weight Management</t>
  </si>
  <si>
    <t>IS-CWM-MD</t>
  </si>
  <si>
    <t>CWM MD</t>
  </si>
  <si>
    <t>Checks when changing the valuation unit of measure II</t>
  </si>
  <si>
    <t>IS-DFS</t>
  </si>
  <si>
    <t>Industry-Spec. Comp. Defense Forces and Public Security</t>
  </si>
  <si>
    <t>IS-DFS-MM</t>
  </si>
  <si>
    <t>IS-DFS-MM-BE</t>
  </si>
  <si>
    <t>Batch Externally</t>
  </si>
  <si>
    <t>Condition code dialog box displayed despite correct code</t>
  </si>
  <si>
    <t>IS-DFS-PM</t>
  </si>
  <si>
    <t>IS-DFS-PM-DIS</t>
  </si>
  <si>
    <t>Distr. Maintenance</t>
  </si>
  <si>
    <t>IE05 does not respect change authorization of DFPS</t>
  </si>
  <si>
    <t>IS-MP-MM</t>
  </si>
  <si>
    <t>Technical prerequisite for SAP Note 1722911 / 2nd</t>
  </si>
  <si>
    <t>Technische Voraussetzung für Hinweis 1773745</t>
  </si>
  <si>
    <t>Technical prerequisite for SAP Note 1777293</t>
  </si>
  <si>
    <t>IS-OIL-DS-EXG</t>
  </si>
  <si>
    <t>Exchanges</t>
  </si>
  <si>
    <t>SAP_APPL : Technical prerequisite for Note 1770115</t>
  </si>
  <si>
    <t>IS-OIL-DS-MAP</t>
  </si>
  <si>
    <t>Marketing, Acctg</t>
  </si>
  <si>
    <t>With IS-OIL and CPE active: MV13A still shows Detail button</t>
  </si>
  <si>
    <t>Measuring usage of 'SAP Merchandising for Retail'</t>
  </si>
  <si>
    <t>Missing update of planning file entry</t>
  </si>
  <si>
    <t>RWBE: Display does not support all of the stock fields</t>
  </si>
  <si>
    <t>ASSORTMENT_CHECK_RACKJOBBER WSO5 Error WM 395</t>
  </si>
  <si>
    <t>WS_ACSITE_RELOAD; deletion; CDCLS; creation; reloading prog.</t>
  </si>
  <si>
    <t>Diff. Result for POOL/CLUSTER Tables after DB Migration</t>
  </si>
  <si>
    <t>IS-R-IFC-MON</t>
  </si>
  <si>
    <t>POS Monitor</t>
  </si>
  <si>
    <t>Transaction WPER - POS monitor - Authorization check</t>
  </si>
  <si>
    <t>IS-R-IFC-SO</t>
  </si>
  <si>
    <t>Store Orders</t>
  </si>
  <si>
    <t>Performance issue in FM VWWS_STORD_DELETE_DOCUMENT</t>
  </si>
  <si>
    <t>WVFB: Store Order doesnt consider site while deleting orders</t>
  </si>
  <si>
    <t>Short Dump in Determine Delivery Relationship</t>
  </si>
  <si>
    <t>MPR1: Fix indicator is not set properly</t>
  </si>
  <si>
    <t>Forecasting Perishable :Incorrect forecast consumption value</t>
  </si>
  <si>
    <t>WWP1: Incorrect position of the page up-down scroll bar</t>
  </si>
  <si>
    <t>ME21n: Delivery type determination for Empties, note 1240882</t>
  </si>
  <si>
    <t>Decentr. WMS Integr.</t>
  </si>
  <si>
    <t>Delivery item distribution relevancy not updated</t>
  </si>
  <si>
    <t>No posting from EWM due to completed posting period</t>
  </si>
  <si>
    <t>No material document created for returns delivery</t>
  </si>
  <si>
    <t>LE-IEW-STO</t>
  </si>
  <si>
    <t>Error with additional packing item for replenishment del.</t>
  </si>
  <si>
    <t>Change destination storage bin is not working</t>
  </si>
  <si>
    <t>LM50 LM51 : wrong item document displayed during the count</t>
  </si>
  <si>
    <t>LRF1/LRF2 : Transfer Order characteristics not refreshed</t>
  </si>
  <si>
    <t>LM05 Getting message L3 893 when confirming a pick TO</t>
  </si>
  <si>
    <t>Possible disclosure of persisted data in LE-SHP-DL</t>
  </si>
  <si>
    <t>Main item has quantity of 0 if you use multi-level BOMs</t>
  </si>
  <si>
    <t>VT02N: After delivery split simulation "Exit" not possible</t>
  </si>
  <si>
    <t>VL02/VL02N: Seconds lost for delivery time</t>
  </si>
  <si>
    <t>VL06U: Runtime error SAPSQL_ARRAY_INSERT_DUPREC</t>
  </si>
  <si>
    <t>VLSP: Runtime error TSV_TNEW_PAGE_ALLOC_FAILED</t>
  </si>
  <si>
    <t>VL_COMPLETE: locked deliveries are not dequeued</t>
  </si>
  <si>
    <t>SIT: scheduling error at delivery creation</t>
  </si>
  <si>
    <t>Empty outbound delivery can be saved</t>
  </si>
  <si>
    <t>Text item not created with BAPI_OUTB_DELIVERY_CREATE_SLS</t>
  </si>
  <si>
    <t>No or only dummy-VBFA doc.flow record f.inbound dely w/ VL09</t>
  </si>
  <si>
    <t>HUGENERAL333 raised during GR for IBD with subcontr. comp</t>
  </si>
  <si>
    <t>VW869 missing after shipment assignment for additional items</t>
  </si>
  <si>
    <t>LE-SHP-DL-MOV</t>
  </si>
  <si>
    <t>Delivery Creation fo</t>
  </si>
  <si>
    <t>VLMOVE: Display error in created delivery list</t>
  </si>
  <si>
    <t>LE-SHP-DL-STO</t>
  </si>
  <si>
    <t>Stock-Transfer-Order</t>
  </si>
  <si>
    <t>Deletion of replenishment delivery even IBD exists</t>
  </si>
  <si>
    <t>Remaining quantity with MIGO goods receipt for outbound del.</t>
  </si>
  <si>
    <t>LE-SHP-DS</t>
  </si>
  <si>
    <t>R/2-R/3 Link</t>
  </si>
  <si>
    <t>Directory traversal in LE-SHP-DS</t>
  </si>
  <si>
    <t>LE-SHP-GF-AR</t>
  </si>
  <si>
    <t>Archiving Delivery</t>
  </si>
  <si>
    <t>Incorrect archiving of EWM relevant inbound deliveries</t>
  </si>
  <si>
    <t>VL03N: New output at item level for archived delivery</t>
  </si>
  <si>
    <t>VL402 raised: InboundDeliveryConfirmationCreateRequest_In</t>
  </si>
  <si>
    <t>LE-SHP-GF-OC</t>
  </si>
  <si>
    <t>Output Determination</t>
  </si>
  <si>
    <t>No spool request created with multiple adobe form processing</t>
  </si>
  <si>
    <t>Update record fails with multiple adobe form processing</t>
  </si>
  <si>
    <t>LE-SHP-GF-SR</t>
  </si>
  <si>
    <t>Serial Numbers Deliv</t>
  </si>
  <si>
    <t>Runtime error 00671 for direct GI despite SAP Note 1299352</t>
  </si>
  <si>
    <t>GR posting with ref to PO: missing document flow</t>
  </si>
  <si>
    <t>Material documents missing sporadically for delivery</t>
  </si>
  <si>
    <t>FI011 during VL06IG in background job</t>
  </si>
  <si>
    <t>VL35_S: background job ended by error message VO 043</t>
  </si>
  <si>
    <t>Sequence problem IDoc/shipment and qRFC for del. from EWM</t>
  </si>
  <si>
    <t>TM Shipment Integration: New Requirements for Output Control</t>
  </si>
  <si>
    <t>LE-TRA-TP</t>
  </si>
  <si>
    <t>Transportation Planning and Processing</t>
  </si>
  <si>
    <t>LE-TRA-TP-AR</t>
  </si>
  <si>
    <t>Incorrect log for Shipment Archive Write Program</t>
  </si>
  <si>
    <t>Incorrect XSI company selected for a shipment</t>
  </si>
  <si>
    <t>LE-WM-GF-BW</t>
  </si>
  <si>
    <t>Bus. Warehouse / LIS</t>
  </si>
  <si>
    <t>MCL1/MCL5/MCL9/MCLD: Text for WM movement type missing</t>
  </si>
  <si>
    <t>Pick HU not copied into delivery in Lean Warehouse setup</t>
  </si>
  <si>
    <t>Transfer order created with zero quantity</t>
  </si>
  <si>
    <t>Missing object link when using WM IDoc types</t>
  </si>
  <si>
    <t>Bin determination with putaway strategy I inconsistent</t>
  </si>
  <si>
    <t>Destination bin not found with putaway in Bulk storage type</t>
  </si>
  <si>
    <t>Delivery data not passed to quant</t>
  </si>
  <si>
    <t>Several identical quants created by posting change TOs</t>
  </si>
  <si>
    <t>Error during putaway in storage unit managed storage type</t>
  </si>
  <si>
    <t>LT12 - The quantity to be confirmed is wrongly calculated</t>
  </si>
  <si>
    <t>Performance issues with transaction LP12</t>
  </si>
  <si>
    <t>Obsolete note.</t>
  </si>
  <si>
    <t>AB: POST_CANCEL_DOC missing in billing type customizing</t>
  </si>
  <si>
    <t>AB: Cancel planned expenses, FI accouting doc is wrong</t>
  </si>
  <si>
    <t>AB: Document flow display incomplete</t>
  </si>
  <si>
    <t>AB: Copying partner data</t>
  </si>
  <si>
    <t>AB: Output of conditions is incorrect</t>
  </si>
  <si>
    <t>AB: Pricing error during API processing</t>
  </si>
  <si>
    <t>AB: No BAdI-Call in change mode</t>
  </si>
  <si>
    <t>AB: Error in WLF2D and WLF3D after entering configuration</t>
  </si>
  <si>
    <t>Copy from a reference document needs to set authorisations</t>
  </si>
  <si>
    <t>Search help WLF_DEBI does not deliver any results list</t>
  </si>
  <si>
    <t>Performance improvement for settlement request list</t>
  </si>
  <si>
    <t>AB: Gross weight from VBD Article Level not copied to COPA</t>
  </si>
  <si>
    <t>Dump occurrs in WB22: DYNPRO_NOT_FOUND 2100</t>
  </si>
  <si>
    <t>AB: Document header data does not exist in BAdI interface</t>
  </si>
  <si>
    <t>AB: Condition transfer using API methods</t>
  </si>
  <si>
    <t>AB: Error in currency  transaction. NAV tax posting.</t>
  </si>
  <si>
    <t>AB: Unnecessary header data processing</t>
  </si>
  <si>
    <t>AB: Checking the company code for the plant</t>
  </si>
  <si>
    <t>AB: WLFK releases only one out of many documents.</t>
  </si>
  <si>
    <t>AB: KONDITIONSVORSTEP called too many times</t>
  </si>
  <si>
    <t>AB: Weight data transfer in API case</t>
  </si>
  <si>
    <t>AB: Errors in constructor CX_WZRE_TOO_MANY_ITEMS</t>
  </si>
  <si>
    <t>AB: WTEW error F5702 creating VBD with non-deductible tax</t>
  </si>
  <si>
    <t>AB: Performance optimization</t>
  </si>
  <si>
    <t>AB: Wrong posting of sett. type F for RL with accrual flag</t>
  </si>
  <si>
    <t>AB: Customer international addr. version not displayed</t>
  </si>
  <si>
    <t>AB: WLFB/WLFC partner name displays incorrectly</t>
  </si>
  <si>
    <t>AB: Transfer NAV taxes from pricing to FI. F5702 raises</t>
  </si>
  <si>
    <t>AB: Missing display fields for remuneration list</t>
  </si>
  <si>
    <t>AB: F1 help for data element WBTYPE is inadequate</t>
  </si>
  <si>
    <t>AB: Acc determ error with alternative reconciliation acc.</t>
  </si>
  <si>
    <t>AB: Performance optimization (II)</t>
  </si>
  <si>
    <t>AB: Error WS 533 in case of text items</t>
  </si>
  <si>
    <t>AB: Balance in transaction currency with customer payroll</t>
  </si>
  <si>
    <t>AB: Non-deduct input tax posted twice to inventory account</t>
  </si>
  <si>
    <t>AB: SRL entry: Exchange rate type not changeable</t>
  </si>
  <si>
    <t>LO-AB-CA</t>
  </si>
  <si>
    <t>Distribution</t>
  </si>
  <si>
    <t>Performance issue in FM WLF_HEADER_FROM_ITEM_FILL</t>
  </si>
  <si>
    <t>Error RW022 for SSR with TMZR-WVOLP = ‘P' for Cash Discoun</t>
  </si>
  <si>
    <t>AB: Remuneration list number is not reset</t>
  </si>
  <si>
    <t>AB: Missing check for data transfer via API methods</t>
  </si>
  <si>
    <t>AB: Transfer of activity reason from header to the item</t>
  </si>
  <si>
    <t>AB: Incorrect display of created remuneration lists</t>
  </si>
  <si>
    <t>Select/Deselect All does not work when filter is applied</t>
  </si>
  <si>
    <t>LO-AGR</t>
  </si>
  <si>
    <t>SAP Agricultural Contract Management</t>
  </si>
  <si>
    <t>LO-AGR-STL</t>
  </si>
  <si>
    <t>Agency Billing Docum</t>
  </si>
  <si>
    <t>Condition value routine 454 in VOFM for AGRI FBS</t>
  </si>
  <si>
    <t>Refunding possible despite repair follow up activity</t>
  </si>
  <si>
    <t>Pro forma invoice in Ship to Vendor process</t>
  </si>
  <si>
    <t>Runtime error DBIF_RSQL_INVALID_RSQL in tracking overview</t>
  </si>
  <si>
    <t>Transfer to free available stock fails: stock deficit</t>
  </si>
  <si>
    <t>GETWA_NOT_ASSIGNED when inspection is confirmed</t>
  </si>
  <si>
    <t>Inbound delivery does not appear in the returns overview</t>
  </si>
  <si>
    <t>Missing entry in BC-SET</t>
  </si>
  <si>
    <t>Selection Variant in User Settings not displayed</t>
  </si>
  <si>
    <t>GETWA_NOT_ASSIGNED runtime error issued in MSR_INSPWH</t>
  </si>
  <si>
    <t>ARM: RPO creation possible w/o shipping data</t>
  </si>
  <si>
    <t>ARM: Entering batch: Error message 00 058</t>
  </si>
  <si>
    <t>Advanced Returns: refund control text not displayed</t>
  </si>
  <si>
    <t>RBA items are saving with temporary cuobj_CH in VBAP</t>
  </si>
  <si>
    <t>Expiration date w/o &gt;= (&lt;=)char (calc of rem shelf life</t>
  </si>
  <si>
    <t>Posting GR by IDOC different classes assigned to material</t>
  </si>
  <si>
    <t>Standard char.comp.operator for rem.shelf life  LOBM_RLZ_OP</t>
  </si>
  <si>
    <t>Missing authorization for selecting with selection criteria</t>
  </si>
  <si>
    <t>Batch determination does not determine enough/any batches</t>
  </si>
  <si>
    <t>Incorrect behaviour in batch deter. for user-exit</t>
  </si>
  <si>
    <t>User with limited author. can change all characteristics</t>
  </si>
  <si>
    <t>Dump CONVT_NO_NUMBER in transaction MIGO</t>
  </si>
  <si>
    <t>Deletion report for batch history</t>
  </si>
  <si>
    <t>RVBOBJTABUPD: No index entries are created</t>
  </si>
  <si>
    <t>LO-BM-BIC</t>
  </si>
  <si>
    <t>Batch Information Co</t>
  </si>
  <si>
    <t>BMBC: Runtime error when you call a selection variant</t>
  </si>
  <si>
    <t>Locks on documentary batches in display transactions</t>
  </si>
  <si>
    <t>Lock problems for documentary batches II (PP)</t>
  </si>
  <si>
    <t>LO-BM-WUL</t>
  </si>
  <si>
    <t>Batch Where-Used Lis</t>
  </si>
  <si>
    <t>MB56/BMBC: Redundant orders exploded</t>
  </si>
  <si>
    <t>LO-ECH</t>
  </si>
  <si>
    <t>ECM</t>
  </si>
  <si>
    <t>Setup of homogeneity list causes long runtimes</t>
  </si>
  <si>
    <t>CA85N: Default values</t>
  </si>
  <si>
    <t>EWB: Error when selecting production resource/tool</t>
  </si>
  <si>
    <t>CEWB: Program termination for operation detail</t>
  </si>
  <si>
    <t>CA85N: Task list status and task list usage on overview</t>
  </si>
  <si>
    <t>EWB: Navigation from insp. characteristic overview fails</t>
  </si>
  <si>
    <t>ATP quantity for the desired delivery date not changeable</t>
  </si>
  <si>
    <t>Blank screen on Simplified Material Creation</t>
  </si>
  <si>
    <t>Material View: ATP shown for first selected item always</t>
  </si>
  <si>
    <t>Incorrect results in Material Search using SES and no fuzzy</t>
  </si>
  <si>
    <t>Handling Unit Mgmt.</t>
  </si>
  <si>
    <t>VL02N-dump when output for HU packed in a transportation HU</t>
  </si>
  <si>
    <t>HUINV05 : clearing error, material posting is inconsistent</t>
  </si>
  <si>
    <t>LO-HU-BF</t>
  </si>
  <si>
    <t>Empty Handling Unit in one step posting change</t>
  </si>
  <si>
    <t>LO-HU-BF-OD</t>
  </si>
  <si>
    <t>HU Output Determinat</t>
  </si>
  <si>
    <t>Performance issue for handling unit output</t>
  </si>
  <si>
    <t>ABAP Dump during delete eWM HUs</t>
  </si>
  <si>
    <t>Number of packages in delivery incorrect with partial GR</t>
  </si>
  <si>
    <t>HUPAST - Packaging Material Description not filled</t>
  </si>
  <si>
    <t>GR fails with error message HUGENERAL098</t>
  </si>
  <si>
    <t>MEOUT 005: Item category 9 not supported</t>
  </si>
  <si>
    <t>Dialog issue: Selection of batch split items</t>
  </si>
  <si>
    <t>ERP-TM: add business partner type code</t>
  </si>
  <si>
    <t>Service message sent to SAP TM not visible in purchase order</t>
  </si>
  <si>
    <t>Wrong location type 1011 for carrier in TM message</t>
  </si>
  <si>
    <t>Control Transfer of POs to SAP TM based on item data</t>
  </si>
  <si>
    <t>Shipping conditions are ignored in TM</t>
  </si>
  <si>
    <t>Base_Quantity node is not filled in TM message</t>
  </si>
  <si>
    <t>VBAK-TM_CTRL_KEY not current for TM order scheduling</t>
  </si>
  <si>
    <t>TM order scheduling not called when changing shipping cond.</t>
  </si>
  <si>
    <t>Dump occurs when clicking on tab "TM Status" in VA02/03</t>
  </si>
  <si>
    <t>Incorrect behavior when changing shipping condition</t>
  </si>
  <si>
    <t>Commodity Raw exposure item quantity incorrectly set to zero</t>
  </si>
  <si>
    <t>Raw exposure for stock transport order is not reduced</t>
  </si>
  <si>
    <t>Runtime error CONVT_OVERFLOW saving order/purchase order</t>
  </si>
  <si>
    <t>Changing parameter in BAdI LOG_TRM_UPDATE_EXPOSURE_CUST</t>
  </si>
  <si>
    <t>LO-LIS-DC</t>
  </si>
  <si>
    <t>Data Collection</t>
  </si>
  <si>
    <t>Missing authorization check in LO-LIS-DC</t>
  </si>
  <si>
    <t>LO-LIS-EWS</t>
  </si>
  <si>
    <t>Early Warning System</t>
  </si>
  <si>
    <t>Missing authorization check in LO-LIS-EWS</t>
  </si>
  <si>
    <t>Error during planning with posting periods</t>
  </si>
  <si>
    <t>Error when you change period splitting</t>
  </si>
  <si>
    <t>Executing default macro missing</t>
  </si>
  <si>
    <t>LO-LIS-REP</t>
  </si>
  <si>
    <t>Potential modif./disclosure of persisted data in LO-LIS-REP</t>
  </si>
  <si>
    <t>LO-MAP</t>
  </si>
  <si>
    <t>Merchand./Assormt.Pl</t>
  </si>
  <si>
    <t>Persisted data in MAP may be changed/disclosed</t>
  </si>
  <si>
    <t>RBDSEBOM : No message when the program is called by SUBMIT</t>
  </si>
  <si>
    <t>CSPB : search help is not working for the material</t>
  </si>
  <si>
    <t>LO-MD-BOM: Potential disclosure and modification of DB data</t>
  </si>
  <si>
    <t>Update termination: Create customer with vendor reference</t>
  </si>
  <si>
    <t>Display Customer Fact Sheet of another customer</t>
  </si>
  <si>
    <t>Maintenance of multiple contact persons fails with AM 034</t>
  </si>
  <si>
    <t>Loss of sensitive flag if data are changed in current state</t>
  </si>
  <si>
    <t>Message abort FC 080 during synchronisation</t>
  </si>
  <si>
    <t>new IBAN from BP is not stored in customer/vendor data</t>
  </si>
  <si>
    <t>Variable messages cannot be configured</t>
  </si>
  <si>
    <t>BP address data saved empty during return vendor creation</t>
  </si>
  <si>
    <t>Partner function not changed without Sales Area Data changes</t>
  </si>
  <si>
    <t>Error F2 141 while creating a customer/vendor with CVI</t>
  </si>
  <si>
    <t>CREMAS idoc: Bank details have been duplicated</t>
  </si>
  <si>
    <t>Returns vendor inherits incorrectly vendor sensitive flag</t>
  </si>
  <si>
    <t>Scroll bar not working on duplicate tax number screen</t>
  </si>
  <si>
    <t>ALE - No batch input data for screen SAPMF02K 0341 - 4</t>
  </si>
  <si>
    <t>LO-MD-BP-VM-ES</t>
  </si>
  <si>
    <t>Enterprise VM</t>
  </si>
  <si>
    <t>Missing authorization check in Supplier Entreprise Service</t>
  </si>
  <si>
    <t>Planned delivery time not displayed as checkbox</t>
  </si>
  <si>
    <t>Maintenance status is not determined correctly</t>
  </si>
  <si>
    <t>Packing reference material: Checks too restrictive</t>
  </si>
  <si>
    <t>SaveData/SaveReplica does not save sales data or WM data</t>
  </si>
  <si>
    <t>Update 1 to security note 1500050</t>
  </si>
  <si>
    <t>BAPI.SaveReplica: Incorrect sorting of transfer tables</t>
  </si>
  <si>
    <t>Two main EANs possible</t>
  </si>
  <si>
    <t>Distributing deletion flag to the BW system</t>
  </si>
  <si>
    <t>Mass maint. article master - Appl. log missing in test run</t>
  </si>
  <si>
    <t>Directory traversal in LO-MD-MM</t>
  </si>
  <si>
    <t>ALE:Consumption data maint. for several plants not possible</t>
  </si>
  <si>
    <t>MM_SPSTOCK/MM_MATNR: Incorrect checks for stock fields</t>
  </si>
  <si>
    <t>Exp control data/customs tariff pref data: Only display auth</t>
  </si>
  <si>
    <t>BAPI_MATERIAL_GETLIST: Performance when short texts are read</t>
  </si>
  <si>
    <t>Condition creation flags incorrectly set for Generic Article</t>
  </si>
  <si>
    <t>Generic/Variant not shown in a group after synced with BBY</t>
  </si>
  <si>
    <t>Cannot change price in WAK2 after price activation</t>
  </si>
  <si>
    <t>Bonus Buy Usage report returns no results in Price Overview</t>
  </si>
  <si>
    <t>Price changes after de-activation does not update WALE</t>
  </si>
  <si>
    <t>In ERP promotion popup window shows during scroll event</t>
  </si>
  <si>
    <t>Blocking reason set incorrect during subsequent processing</t>
  </si>
  <si>
    <t>WSO5: Discontinuation when you delete and assign assortment</t>
  </si>
  <si>
    <t>WSM9A/RWSORT54: Change of deletion process CDCLS to CDPOS</t>
  </si>
  <si>
    <t>LO-MD-RDM</t>
  </si>
  <si>
    <t>Retail Demand</t>
  </si>
  <si>
    <t>Support multiple different Source of Supply Prices</t>
  </si>
  <si>
    <t>Dummy Note: don't release to custumer</t>
  </si>
  <si>
    <t>RIINV00: Too many serial numbers listed</t>
  </si>
  <si>
    <t>Loop with msg MC 602 when movement type 309 is canceled</t>
  </si>
  <si>
    <t>Incorr msg text when removing serial no from inspection lot</t>
  </si>
  <si>
    <t>UII missing in field selection for equipment master</t>
  </si>
  <si>
    <t>Incorrect serial number after forward navigation</t>
  </si>
  <si>
    <t>MM17: IUID_TYPE cannot be changed</t>
  </si>
  <si>
    <t>IUID 116: Locking of technical hierachy</t>
  </si>
  <si>
    <t>Short dump TABLE_INVALID_INDEX in program SAPLIPW1</t>
  </si>
  <si>
    <t>IE01/IE02: Missing check of the UII</t>
  </si>
  <si>
    <t>RFC_CREATE_ALLOC_ITEM: Wrong allocated percentage quantity</t>
  </si>
  <si>
    <t>Inbound Delivery does not recognize all SLS lines</t>
  </si>
  <si>
    <t>Incorrect FRET update on Partial Goods Receipt using VL06IG</t>
  </si>
  <si>
    <t>Outbound Delivery not created due to incorrect message type</t>
  </si>
  <si>
    <t>MB0A: Dump ITAB_DUPLICATE_KEY when note 1458134 implemented</t>
  </si>
  <si>
    <t>Correction of DMUPOB existence check</t>
  </si>
  <si>
    <t>Correction of coding and enhancement category</t>
  </si>
  <si>
    <t>Missing shift groups in the LOIWCS IDOC</t>
  </si>
  <si>
    <t>POI: Incorrect mapping in CLOI_MAP_EXP after transfer to R/3</t>
  </si>
  <si>
    <t>Parallel generation LOISTD IDocs: Runtime error</t>
  </si>
  <si>
    <t>Upload: Error CO 815 when you change dates and times</t>
  </si>
  <si>
    <t>POIM: Warengruppe wird nicht berücksichtigt</t>
  </si>
  <si>
    <t>Service Parts Manage</t>
  </si>
  <si>
    <t>Completed posting period II - Issue without deliveries (EWM)</t>
  </si>
  <si>
    <t>ME88: Incorrect agreed cumulative qty due to archived ID</t>
  </si>
  <si>
    <t>Inbound delivery conf. of incomplete batch splits from EWM</t>
  </si>
  <si>
    <t>EWM: HU in ERP deleted incompletely during split</t>
  </si>
  <si>
    <t>Temporary inbound delivery after partial GR not generated</t>
  </si>
  <si>
    <t>Transportation cross-docking: error message BORGR 525</t>
  </si>
  <si>
    <t>VL10X: Excluding TM-relevant orders from selection</t>
  </si>
  <si>
    <t>Short Dump while dispatching priority points to EWM</t>
  </si>
  <si>
    <t>SPED: Incorrect weight and volume set in inbound delivery</t>
  </si>
  <si>
    <t>Goods movement failure: queues disappear afterwards</t>
  </si>
  <si>
    <t>SPED: Creation fails with error message VL367, VL582</t>
  </si>
  <si>
    <t>Incorr. inbound del. item category for batch split via SPED</t>
  </si>
  <si>
    <t>EGRs for PO: return delivery not being considered</t>
  </si>
  <si>
    <t>VL60: Volumes/weights from material master instead of PO</t>
  </si>
  <si>
    <t>Incorrect inbound dely status after sending CARR exception</t>
  </si>
  <si>
    <t>Enhancement Spot ES_SAPFV50C cannot be activated</t>
  </si>
  <si>
    <t>SPED: Inbound delivery can be created after RPOD</t>
  </si>
  <si>
    <t>Failure of delivery split in ERP</t>
  </si>
  <si>
    <t>VL10UC: LIPSRF-POSEX not always populated for checked dly</t>
  </si>
  <si>
    <t>ASSERTION_FAILED runtime error for follow-up action</t>
  </si>
  <si>
    <t>Poor Performance in order confirmation</t>
  </si>
  <si>
    <t>PP-EWM: missing update in table AFWD, missing entry in AFWI</t>
  </si>
  <si>
    <t>Receiving Cross-Docking Partner missing in checked Delivery</t>
  </si>
  <si>
    <t>CDOC: Incorrect weight and volume set in oubound delivery</t>
  </si>
  <si>
    <t>Characteristics without view assignment do not display</t>
  </si>
  <si>
    <t>Assignment of a material variant is not displayed</t>
  </si>
  <si>
    <t>Manual conditions are not withdrawn</t>
  </si>
  <si>
    <t>Display of incorrect values for characteristics</t>
  </si>
  <si>
    <t>Variant conditions: Factor is not set</t>
  </si>
  <si>
    <t>Display of incorrect values for characteristics II</t>
  </si>
  <si>
    <t>Object dependencies are not processed</t>
  </si>
  <si>
    <t>Object characteristics from IDoc/BAPI</t>
  </si>
  <si>
    <t>Value conflict when loading existing configurations</t>
  </si>
  <si>
    <t>F4 help for characteristics that can be restricted</t>
  </si>
  <si>
    <t>CLD2: Performance issue with MSSQL database</t>
  </si>
  <si>
    <t>LO-VC-SCO</t>
  </si>
  <si>
    <t>Sales Configuration</t>
  </si>
  <si>
    <t>Items with selection condition are excluded</t>
  </si>
  <si>
    <t>VC2HL_BO Internal formal adjustment</t>
  </si>
  <si>
    <t>Termination ASSERTION_FAILED CL_VC2HL_CT_BO</t>
  </si>
  <si>
    <t>MDM</t>
  </si>
  <si>
    <t>SAP NetWeaver Master Data Management</t>
  </si>
  <si>
    <t>MDM-CLT</t>
  </si>
  <si>
    <t>Client System Adapt.</t>
  </si>
  <si>
    <t>MDM_CLNT_EXTR: Checkman Issues EhP7</t>
  </si>
  <si>
    <t>INTRASTAT arrivals: Clearing reversals of goods receipts</t>
  </si>
  <si>
    <t>Changing the update time of the goods movement</t>
  </si>
  <si>
    <t>Adjustment in transaction MBW1 - Special stocks</t>
  </si>
  <si>
    <t>Adjustments in inventory management programs</t>
  </si>
  <si>
    <t>MM-IM-GF-AUM</t>
  </si>
  <si>
    <t>Alt. Units of Measur</t>
  </si>
  <si>
    <t>MMBE: Err msg MM 328 for val goods receipt blocked stocks</t>
  </si>
  <si>
    <t>MSC2N: Error M7104 when you change valuation type</t>
  </si>
  <si>
    <t>MB21:Error mess. KI 235 for account assign. to profit.segm.</t>
  </si>
  <si>
    <t>Code injection vulnerability in MM-IM</t>
  </si>
  <si>
    <t>Preventing inconsistencies by posting termination in MM</t>
  </si>
  <si>
    <t>MBSTOCKS creates MSSA records with incorrect KZBWS indicator</t>
  </si>
  <si>
    <t>MM-IM-GF-MB</t>
  </si>
  <si>
    <t>MB_CREATE_GOODS_MOVE</t>
  </si>
  <si>
    <t>Tech. correction error treatment in MB_POST_GOODS_MOVEMENT</t>
  </si>
  <si>
    <t>Exception M7 263 when generating a delivery using MB</t>
  </si>
  <si>
    <t>MAA2: MB01 Error M7 172 for goods receipt with serial number</t>
  </si>
  <si>
    <t>MAA2: MIGO and MB01: Error msg M7 018 occurs multiple times</t>
  </si>
  <si>
    <t>MM-IM-GF-QTYC</t>
  </si>
  <si>
    <t>Static Quantity Chec</t>
  </si>
  <si>
    <t>Error message M7 001 during goods receipt posting</t>
  </si>
  <si>
    <t>ERP accelerator for transaction MB5B</t>
  </si>
  <si>
    <t>ERP accelerator for transaction MB51</t>
  </si>
  <si>
    <t>ERP accelerator for transaction MB52</t>
  </si>
  <si>
    <t>ERP accelerator for transaction MB5L</t>
  </si>
  <si>
    <t>ERP accelerator for the report RM07MMFI</t>
  </si>
  <si>
    <t>ERP accelerator for transaction MB25</t>
  </si>
  <si>
    <t>MB5B: Incorrect results for special stock O and K</t>
  </si>
  <si>
    <t>MB5B: missing columns in output in case of IS-OIL</t>
  </si>
  <si>
    <t>MB5B: Unnecessary warning message M7 390</t>
  </si>
  <si>
    <t>Incorrect price for new VTy in previous period (C+ 048)</t>
  </si>
  <si>
    <t>Transfer posting of revaluation line with wrong order/WBS</t>
  </si>
  <si>
    <t>MIGO: Batch field (GOITEM-CHARG) displays</t>
  </si>
  <si>
    <t>MIGO: Problems after you explode BOM</t>
  </si>
  <si>
    <t>MIGO: batch copied from valuation type for order-based GR</t>
  </si>
  <si>
    <t>MIGO: Official number wrongly determined at cancellation</t>
  </si>
  <si>
    <t>Outsourced Manufacturing: Component display for cancellation</t>
  </si>
  <si>
    <t>MBST: Documentary batches cannot be updated when reversing</t>
  </si>
  <si>
    <t>Error AAPO 153 for good receipt for purchase order to asset</t>
  </si>
  <si>
    <t>Changes in the process "Outsourced Manufacturing"</t>
  </si>
  <si>
    <t>BAPI: Goods receipt for Outsource Manuf. purchase orders</t>
  </si>
  <si>
    <t>MM-IM-PI-IS</t>
  </si>
  <si>
    <t>Inventory Sampling</t>
  </si>
  <si>
    <t>Inventory sampling: Incorrect number of items in PI document</t>
  </si>
  <si>
    <t>MM-IM-PI-PI</t>
  </si>
  <si>
    <t>MI11: Incorrect serial number object list created</t>
  </si>
  <si>
    <t>MM-IM-RS-RS</t>
  </si>
  <si>
    <t>MB22 item detail: Error during navigation</t>
  </si>
  <si>
    <t>MB25: Change of database selection</t>
  </si>
  <si>
    <t>MB23: Details from Item -&gt; M7675 -&gt; Item 0001 does not exist</t>
  </si>
  <si>
    <t>Determine val. type for stock transport order at time of GI</t>
  </si>
  <si>
    <t>VL02N: Inward del. completed ind. for stock transport order</t>
  </si>
  <si>
    <t>STO: Inward del. completed indicator not set for batch split</t>
  </si>
  <si>
    <t>MRN9: Currency amount for delta run not correct</t>
  </si>
  <si>
    <t>CKMLBB_AGGREGATE: Materials are not selected</t>
  </si>
  <si>
    <t>CKMLBB_FIFO_CALCULAT: Materials are not selected</t>
  </si>
  <si>
    <t>MRF3: Long runtime when accessing table BKPF</t>
  </si>
  <si>
    <t>MR11/MR11SHOW: Clearing value is incorrect for returns item</t>
  </si>
  <si>
    <t>MR11: Long runtime with active Transportation Management</t>
  </si>
  <si>
    <t>MR11: Error KE0C 133 and CKMLGRIR 003</t>
  </si>
  <si>
    <t>MR11: Error message SG 106</t>
  </si>
  <si>
    <t>MR11: System issues error message multiple times</t>
  </si>
  <si>
    <t>MR11: Account assignment category is not displayed in list</t>
  </si>
  <si>
    <t>MR11 BAPI: ABAP runtime error CX_SY_DYN_CALL_ILLEGAL_TYPE</t>
  </si>
  <si>
    <t>MM-IV-GF-EDI</t>
  </si>
  <si>
    <t>Electronic Data Inte</t>
  </si>
  <si>
    <t>MIR4: Pushbuttons active in display mode</t>
  </si>
  <si>
    <t>MM-IV-GF-MESS</t>
  </si>
  <si>
    <t>Message Output</t>
  </si>
  <si>
    <t>MRM_ENTRY_RAP: Old Amount/New Amount are incorrect</t>
  </si>
  <si>
    <t>MM-IV-GF-PERF</t>
  </si>
  <si>
    <t>MM-IV: Performance improvement</t>
  </si>
  <si>
    <t>MM-IV-INT-CO</t>
  </si>
  <si>
    <t>MIRO: Error message KI235 with network</t>
  </si>
  <si>
    <t>MIRO: Error during manual tax rate entry - SAP Note 1733833</t>
  </si>
  <si>
    <t>BAPI: Error message F5 703</t>
  </si>
  <si>
    <t>Logistics Invoice Verification</t>
  </si>
  <si>
    <t>MM-IV-LIV-ARCH</t>
  </si>
  <si>
    <t>Data Archiving</t>
  </si>
  <si>
    <t>MM_REBEL: Change documents (CHANGEDOCU) are not deleted</t>
  </si>
  <si>
    <t>BAPI: Error M 8798 for TM reference and G/L account</t>
  </si>
  <si>
    <t>MR8M:Runtime error DYNPRO_FIELD_CONVERSION after reversal</t>
  </si>
  <si>
    <t>MIRO: Error messages from the accounting interface</t>
  </si>
  <si>
    <t>MIRO: Runtime error for planned delivery costs</t>
  </si>
  <si>
    <t>MIR4 display variant: Switch for results area inactive</t>
  </si>
  <si>
    <t>MIRO: Cash discount percentage is not checked</t>
  </si>
  <si>
    <t>MIRO: Purchase order text field is changeable</t>
  </si>
  <si>
    <t>MIRO: Error message F5 842 for security retention</t>
  </si>
  <si>
    <t>MM-IV-LIV-IVB</t>
  </si>
  <si>
    <t>MIR6: G/L account items are not deleted</t>
  </si>
  <si>
    <t>MIR6/MIR4: Incorrect message M8 538</t>
  </si>
  <si>
    <t>PL: Sales prices are determined but not required</t>
  </si>
  <si>
    <t>Performance when opening procurement list</t>
  </si>
  <si>
    <t>Short dump in buyer settings</t>
  </si>
  <si>
    <t>Checkman issue in table MGIR_SSTN</t>
  </si>
  <si>
    <t>MM-PUR-GF-APO</t>
  </si>
  <si>
    <t>Adva. Planner+Optim.</t>
  </si>
  <si>
    <t>wrong delievered qty when batch split quantity is changed</t>
  </si>
  <si>
    <t>MM_EINA:Exception CX_OS_OBJECT_NOT_FOUND during deletion run</t>
  </si>
  <si>
    <t>MM_EKKO: Identical database updates to EKKO for field LOEKZ</t>
  </si>
  <si>
    <t>Invalid or missing update of confirmed quantity after CO06</t>
  </si>
  <si>
    <t>Wrong catalog is called when clicking on Description column</t>
  </si>
  <si>
    <t>Scheduling agreement commitment w/o account assignment spec.</t>
  </si>
  <si>
    <t>MR11 transfers purchase orders multiple times to FI</t>
  </si>
  <si>
    <t>CPE: Update Termination in ME22N</t>
  </si>
  <si>
    <t>Detail display of CPE data in MM does not work correctly</t>
  </si>
  <si>
    <t>CPE: Error in pricing for goods receipt for returns</t>
  </si>
  <si>
    <t>ME2DP: Total of down payments is incorrect</t>
  </si>
  <si>
    <t>Bapi: DOWNPAY_AMOUNT wrong by a factor of 100</t>
  </si>
  <si>
    <t>OBJECTS_OBJREF_NOT_ASSIGNED for ORDRSP inbound message</t>
  </si>
  <si>
    <t>ORDRSP: ME 706 Item does not exist in referenced PO</t>
  </si>
  <si>
    <t>ORDRSP: Price update done although it is not allowed</t>
  </si>
  <si>
    <t>Consignment Info Record not updated when creating a Contract</t>
  </si>
  <si>
    <t>CCM: Order unit differs in SAP ERP from SAP SRM contract</t>
  </si>
  <si>
    <t>Change documents for long text adjustments not created</t>
  </si>
  <si>
    <t>PurchaseOrderERPContractReleaseNotificatin_Out not sent</t>
  </si>
  <si>
    <t>Update Termination in MEREQ_UPDATE_EBAN_TECH</t>
  </si>
  <si>
    <t>Abortion: DYNPRO_SEND_IN_BACKGROUND</t>
  </si>
  <si>
    <t>Search help displays locked SRM central contracts</t>
  </si>
  <si>
    <t>MAA2: MIGO incorrect values in document currency</t>
  </si>
  <si>
    <t>MRRL: Program terminates with error message M8100</t>
  </si>
  <si>
    <t>MIRO: No down payment clearing for service</t>
  </si>
  <si>
    <t>MRRL: No settlement with WEORA after GR in blocked stock</t>
  </si>
  <si>
    <t>MIRO: ABAP runtime error COMPUTE_FLOAT_ZERODIVIDE</t>
  </si>
  <si>
    <t>MIR7: C+ 509 for purchase order item including subitem</t>
  </si>
  <si>
    <t>MIRO: Incorrect price for pricing date 5 (GR Date)</t>
  </si>
  <si>
    <t>PO item fields are not copied correctly for MPN material</t>
  </si>
  <si>
    <t>Text items in the bill of material do not print</t>
  </si>
  <si>
    <t>MM-PUR-GF-PA</t>
  </si>
  <si>
    <t>Partner</t>
  </si>
  <si>
    <t>Posting termination for purchase order transfer from SRM</t>
  </si>
  <si>
    <t>MM-PUR-GF-PER</t>
  </si>
  <si>
    <t>Performance bottleneck when selecting data in MM-PUR</t>
  </si>
  <si>
    <t>Error in module ME_PRICING_REVERSAL</t>
  </si>
  <si>
    <t>PO history icon missing on PO list display</t>
  </si>
  <si>
    <t>PReq from direct procurement created with component button</t>
  </si>
  <si>
    <t>ME2ON: Dump for F4 to shipping point for delivery creation</t>
  </si>
  <si>
    <t>Field control "EWM Delivery-Based Tolerance Check"</t>
  </si>
  <si>
    <t>BAPI: bapi_schedule_maintain</t>
  </si>
  <si>
    <t>BAPI: Validity of passed in UOM not checked</t>
  </si>
  <si>
    <t>BAPI: Item text ignored if line above is blank</t>
  </si>
  <si>
    <t>BAPI: UOM not overwritten by passed in value in contract</t>
  </si>
  <si>
    <t>BAPI: BAPI_SCHEDULE_MAINTAIN with release document</t>
  </si>
  <si>
    <t>BAPI_CONTRACT_CHANGE - Cannot change partner functions.</t>
  </si>
  <si>
    <t>Header conditions not returned for GetDetail method</t>
  </si>
  <si>
    <t>BAPI: Overwrite of tolerances and unlimited delivery</t>
  </si>
  <si>
    <t>8B 664 'Enter Plant' when creating a Purchasing Contract</t>
  </si>
  <si>
    <t>ME 303 Error in Purchasing Application when CLM is published</t>
  </si>
  <si>
    <t>BAPI_SAG_CREATE: Tax code not determined</t>
  </si>
  <si>
    <t>BAPI: Wrong parameter passed into Outline Agreement BAdI</t>
  </si>
  <si>
    <t>Performance/missing functionality in master cond. in BAPI</t>
  </si>
  <si>
    <t>ME 083 for unchanged item data (BAPI_CONTRACT_CHANGE)</t>
  </si>
  <si>
    <t>ME33K shows conditions for non selected items</t>
  </si>
  <si>
    <t>Condition Types missing in pop-up in Purchase Contract</t>
  </si>
  <si>
    <t>CCM: No search help available for Purchasing Group in ME33K</t>
  </si>
  <si>
    <t>ME85, ME86: Updating commitment</t>
  </si>
  <si>
    <t>ME21N: "Date/quantity fix" is not ready for input</t>
  </si>
  <si>
    <t>Incorrect message type for messages MEPO 155 and MEPO 156</t>
  </si>
  <si>
    <t>BAPI: XML Conversion error with follow-on documents</t>
  </si>
  <si>
    <t>Wrong components sent to SAP SNC system from ERP PO</t>
  </si>
  <si>
    <t>Interest indicator (VZSKZ) not updated in Purchase Order</t>
  </si>
  <si>
    <t>BAPI: Freight conditions can't be added to PO</t>
  </si>
  <si>
    <t>Quantity is doubled when a PO with subitems is copied</t>
  </si>
  <si>
    <t>BAPI_PO_CHANGE - cannot change downpayment related fields.</t>
  </si>
  <si>
    <t>PO change is not possible and deletion indicator is reset</t>
  </si>
  <si>
    <t>BAPI_PO_CREATE1: Not able to hold a PO with errors</t>
  </si>
  <si>
    <t>BAPI_PO_CHANGE: Deletion of partners not possible</t>
  </si>
  <si>
    <t>Checkman error for CL_EXM_IM_ME_BAPI_PO_CUST</t>
  </si>
  <si>
    <t>ME 813: System error invoking ADDR_NUMBER_GET</t>
  </si>
  <si>
    <t>Update Termination when creating a public sector PO from SRM</t>
  </si>
  <si>
    <t>ME22N: Error 06074 when changing a held PO</t>
  </si>
  <si>
    <t>Timeout in ME22N when a PO is changed or processed</t>
  </si>
  <si>
    <t>Messages cut off when SRM pricing is called</t>
  </si>
  <si>
    <t>Purchase Requisition</t>
  </si>
  <si>
    <t>Authorization check not performed in ME53</t>
  </si>
  <si>
    <t>CREATE_IND is not transferred by BAPI_PR_CREATE</t>
  </si>
  <si>
    <t>BAPI_PR_CREATE: No new version creat. upon text/addr. change</t>
  </si>
  <si>
    <t>BAPI: Negative valuation price in Purchase Requisition</t>
  </si>
  <si>
    <t>MM-PUR-SQ</t>
  </si>
  <si>
    <t>ME51N: Desired Vendor will be replaced</t>
  </si>
  <si>
    <t>Archiving: Change message shown incorrectly</t>
  </si>
  <si>
    <t>Buttons on Approver screen not enabled.</t>
  </si>
  <si>
    <t>Vendor Master Error on transfer of items from catalog</t>
  </si>
  <si>
    <t>Cancellation of Shopping cart not possible</t>
  </si>
  <si>
    <t>Error in item description when transferred from catalog.</t>
  </si>
  <si>
    <t>Transaction me1m issues ITAB_ILLEGAL_SORT_ORDER_BLK dump</t>
  </si>
  <si>
    <t>ME12: Text is editable although formatting exist</t>
  </si>
  <si>
    <t>MM-PUR-VM-SET</t>
  </si>
  <si>
    <t>Subsequent Settlem.</t>
  </si>
  <si>
    <t>MEB7: Error when extending rebate arrangements</t>
  </si>
  <si>
    <t>Error in Product_id while uploading of services.</t>
  </si>
  <si>
    <t>SE 382 not issued during PO creation.</t>
  </si>
  <si>
    <t>SRVMAPKEY_GEN: service lines are not fetched</t>
  </si>
  <si>
    <t>CCM: Header currency change does not update SRM release val.</t>
  </si>
  <si>
    <t>CCM: SRVMAPKEY generated for CC in change mode</t>
  </si>
  <si>
    <t>CPPR: Item quantity &amp; UOM editable for service PR's</t>
  </si>
  <si>
    <t>Shoppping cart created with incorrect Acc. Assgn values.</t>
  </si>
  <si>
    <t>Message to Purchaser from SUS confirmation not transferred</t>
  </si>
  <si>
    <t>Selection range does not work in report SRVMAPKEY_GEN</t>
  </si>
  <si>
    <t>MIRO/ML81N: Incorrect values in second/third local currency</t>
  </si>
  <si>
    <t>MM-SRV-SR</t>
  </si>
  <si>
    <t>Service Entry</t>
  </si>
  <si>
    <t>SES displayed twice when view switched from PO to vendor</t>
  </si>
  <si>
    <t>MOB</t>
  </si>
  <si>
    <t>Business Mobile</t>
  </si>
  <si>
    <t>MOB-APP</t>
  </si>
  <si>
    <t>Mobile Applications</t>
  </si>
  <si>
    <t>MOB-APP-SRS</t>
  </si>
  <si>
    <t>SAP RealSpend</t>
  </si>
  <si>
    <t>RealSpend Accelerator Customizing</t>
  </si>
  <si>
    <t>PLM</t>
  </si>
  <si>
    <t>Product Lifecycle Management</t>
  </si>
  <si>
    <t>PLM-WUI</t>
  </si>
  <si>
    <t>PLM Web User Interface</t>
  </si>
  <si>
    <t>PLM-WUI-APP</t>
  </si>
  <si>
    <t>PLM Web Applications</t>
  </si>
  <si>
    <t>PLM-WUI-APP-GSS</t>
  </si>
  <si>
    <t>Guided Structure Syn</t>
  </si>
  <si>
    <t>RWB: Error when deleting all items of target structure</t>
  </si>
  <si>
    <t>Equipment and Technical Objects</t>
  </si>
  <si>
    <t>CC04: Equipment copy is created without equipment flag</t>
  </si>
  <si>
    <t>PM-EQM-LE</t>
  </si>
  <si>
    <t>Message IH148 not displayed in IH08</t>
  </si>
  <si>
    <t>IQ08/IQ09: wrong administrative data showed - ERNAM, ERDAT</t>
  </si>
  <si>
    <t>Dump when setting deletion flag to multiple functional loc.</t>
  </si>
  <si>
    <t>Wrong traffic light color if status change failed in IE05</t>
  </si>
  <si>
    <t>PM-EQM-SF-PMT</t>
  </si>
  <si>
    <t>Permits</t>
  </si>
  <si>
    <t>Download to Access from IPM3 dumps</t>
  </si>
  <si>
    <t>Prev. maintenance</t>
  </si>
  <si>
    <t>IP19 : Text Symbol in RIMHIS00 for "Do Not Rel.Immediately"</t>
  </si>
  <si>
    <t>MOVE_TO_LIT_NOTALLOWED_NODATA in MPLAN_UPDATE_SCHEDULING</t>
  </si>
  <si>
    <t>Field STICH is not uploaded in IBIP - RMIPM-KALENDER</t>
  </si>
  <si>
    <t>Wrong navigation to work centre details from IP24 and IP17</t>
  </si>
  <si>
    <t>Long text missing when deletion flag is set to MP</t>
  </si>
  <si>
    <t>Message IW478 is raised also for single cycle plans</t>
  </si>
  <si>
    <t>Order long text indicator is set despite no long text</t>
  </si>
  <si>
    <t>IP364 or IW478 raised although package is assigned</t>
  </si>
  <si>
    <t>Message IW478 not raised in maintenance plan</t>
  </si>
  <si>
    <t>Incorrect call after restart via maintenance plan API</t>
  </si>
  <si>
    <t>Incorrect call when scheduling via API</t>
  </si>
  <si>
    <t>Mismatch between setlement rule and planning plant</t>
  </si>
  <si>
    <t>IA05:Operation Overview table control config show empty text</t>
  </si>
  <si>
    <t>CheckMan error in report RI_TL_CHECK01</t>
  </si>
  <si>
    <t>PM-WCM</t>
  </si>
  <si>
    <t>Work clearance mgmt</t>
  </si>
  <si>
    <t>WCM: Missing function for work permit</t>
  </si>
  <si>
    <t>EAM VE Viewer: Documents on materials with serial number</t>
  </si>
  <si>
    <t>no spare parts are copied to maintenance order</t>
  </si>
  <si>
    <t>CL_EAM_SHOP_PAPER_API PRINT_SHOP_PAPERS COMMIT inconsistency</t>
  </si>
  <si>
    <t>PAM03 - Error message IL 100 is triggered</t>
  </si>
  <si>
    <t>BAPI: Reservation generation for discontinued material</t>
  </si>
  <si>
    <t>IW31: Copy with ref to service order with advance shipment</t>
  </si>
  <si>
    <t>BAPI_ALM_ORDER_MAINTAIN: PRT status obj type incorrectly set</t>
  </si>
  <si>
    <t>Archiving plant maintenance order with documents</t>
  </si>
  <si>
    <t>BAPI_ALM_ORDERHEAD_GET_LIST: Reading LAM data</t>
  </si>
  <si>
    <t>BAPI_ALM_ORDER_MAINTAIN: Error message AM 286 is triggered</t>
  </si>
  <si>
    <t>IW31: Transfer of order short text to dummy operation</t>
  </si>
  <si>
    <t>BAPI_ALM_ORDER_MAINTAIN: IO 204 is not triggered</t>
  </si>
  <si>
    <t>Maintenance order screen sizes</t>
  </si>
  <si>
    <t>Preparation for implementation of SAP Note 1691944</t>
  </si>
  <si>
    <t>Error with document assignment to operation in PM order</t>
  </si>
  <si>
    <t>Error ME 083 for internal processing of service operation</t>
  </si>
  <si>
    <t>IW31: It is not possible to add an operation</t>
  </si>
  <si>
    <t>iw31/iw32: wrong components displayed and/or dump ITAB_ERROR</t>
  </si>
  <si>
    <t>Message 26 111 in connection with documents in maint. order</t>
  </si>
  <si>
    <t>BAPI_ALM_ORDER_MAINTAIN triggers long text dialog box</t>
  </si>
  <si>
    <t>Revision of the class CL_EAMVE_API</t>
  </si>
  <si>
    <t>BAPI BAPI_ALM_ORDER_MAINTAIN - Runtime error MESSAGE_TYPE_X</t>
  </si>
  <si>
    <t>RKKBABS0: Multiple selection for the fields WERKS and AUART</t>
  </si>
  <si>
    <t>Document ALV is displayed in historical IH order</t>
  </si>
  <si>
    <t>IW31: Size of screen in subscreen 1101 is incorrect</t>
  </si>
  <si>
    <t>Service operation: Field AFVGD-PREIS has value 0.00</t>
  </si>
  <si>
    <t>PM_ORDER : Initial archiving run terminates w/ error message</t>
  </si>
  <si>
    <t>PM-WOC-MO-CUM</t>
  </si>
  <si>
    <t>Compatible Units</t>
  </si>
  <si>
    <t>Technical prerequisite for SAP Note 1783602</t>
  </si>
  <si>
    <t>Data from contract not copied to the material added</t>
  </si>
  <si>
    <t>Material Items are not copied from Catalog in Matenaince Ord</t>
  </si>
  <si>
    <t>Printing EAM orders and EAM notifications takes very long</t>
  </si>
  <si>
    <t>IW42: IM 503 leads to termination in overall confirmation</t>
  </si>
  <si>
    <t>Refurbishment order without material number in table AFIH</t>
  </si>
  <si>
    <t>Runtime error SAPSQL_WHERE_PARENTHESES during process order</t>
  </si>
  <si>
    <t>PP-BD-RTG : Potential Directory Traversal</t>
  </si>
  <si>
    <t>Plant not filled in search help for work center in CR01</t>
  </si>
  <si>
    <t>Is not possible to delete pooled capacity from work center</t>
  </si>
  <si>
    <t>Directory traversal in PP-BD-WKC</t>
  </si>
  <si>
    <t>Hard-coded credentials in capacity leveling.</t>
  </si>
  <si>
    <t>PK18: Dump on selecting strategy from the F4 help</t>
  </si>
  <si>
    <t>PK18: Authority check in case of control cycle change</t>
  </si>
  <si>
    <t>PK13N:System dumps(CX_BADI_NOT_IMPLEMENT) on changing status</t>
  </si>
  <si>
    <t>BAPI_KANBANCC_CREATE: SHORT DUMP MESSAGE_TYPE_X</t>
  </si>
  <si>
    <t>Canceling confirmation of distributed production orders</t>
  </si>
  <si>
    <t>Incorrect number format f. insp.lot data in IDoc LOIPRO02/03</t>
  </si>
  <si>
    <t>Deleted components are distributed again</t>
  </si>
  <si>
    <t>Column width is too narrow in transaction MD72</t>
  </si>
  <si>
    <t>MD02/MD03: Incorrect supply plant populated</t>
  </si>
  <si>
    <t>MD04-transaction missing authorization check</t>
  </si>
  <si>
    <t>MD11: Valid BOM alternative is not found</t>
  </si>
  <si>
    <t>MD14: Incorrect quantities for alternative BOM items</t>
  </si>
  <si>
    <t>No BOM explosion after changing production version</t>
  </si>
  <si>
    <t>MD04: Error MD 317 if MRP area is not active (III)</t>
  </si>
  <si>
    <t>Performance improvements during parallel reading of MD4C</t>
  </si>
  <si>
    <t>Order report: Endless loop for recursive subcontracting</t>
  </si>
  <si>
    <t>List output in report RMDMRPEXTRACT01 cannot be deactivated</t>
  </si>
  <si>
    <t>No stock transfer possible from plant to SC MRP area</t>
  </si>
  <si>
    <t>MRP plans too many plants/materials (all)</t>
  </si>
  <si>
    <t>PP-PDC</t>
  </si>
  <si>
    <t>Plant Data Coll.</t>
  </si>
  <si>
    <t>Runtime error CALL_FUNCTION_OPEN_ERROR</t>
  </si>
  <si>
    <t>Error 401(CFB) while using existing batch in Process Order</t>
  </si>
  <si>
    <t>Korrekturen ohne eigenen Kundenhinweis</t>
  </si>
  <si>
    <t>Consistency check error in valid production version</t>
  </si>
  <si>
    <t>PP-PI-PCM</t>
  </si>
  <si>
    <t>Production Campaign</t>
  </si>
  <si>
    <t>The same orders are included in different campaigns</t>
  </si>
  <si>
    <t>Navigating to planned order from COIO: Error message 61 003</t>
  </si>
  <si>
    <t>Information system: Runtime error GETWA_NOT_ASSIGNED</t>
  </si>
  <si>
    <t>PP-PI-POR-OPC</t>
  </si>
  <si>
    <t>Confirming time event: Variable activities</t>
  </si>
  <si>
    <t>COR6/CO11: Inconsistent trigger of error RU117</t>
  </si>
  <si>
    <t>Measurement point characteristics retrieval is incorrect</t>
  </si>
  <si>
    <t>Checkman error in CL_GHO_FDT_APPL_SETTINGS</t>
  </si>
  <si>
    <t>PP-PN-NO</t>
  </si>
  <si>
    <t>Network Objects</t>
  </si>
  <si>
    <t>IMG correction</t>
  </si>
  <si>
    <t>PP-PN-OWN</t>
  </si>
  <si>
    <t>Ownership</t>
  </si>
  <si>
    <t>obsolete</t>
  </si>
  <si>
    <t>REM: Incorrect value update in S226 and S227 (LIS)</t>
  </si>
  <si>
    <t>Bad performance while executing document-specific revesal</t>
  </si>
  <si>
    <t>PP-REM-PLN</t>
  </si>
  <si>
    <t>Repet. manuf. plan.</t>
  </si>
  <si>
    <t>MF50: Incorrect start when you create planned order with F7</t>
  </si>
  <si>
    <t>MF50: Performance issue arises with many individual segments</t>
  </si>
  <si>
    <t>Runtime error ERROR_READ_AFFL after confirmation</t>
  </si>
  <si>
    <t>CO11N: Dump SEQ_NOT_FOUND while saving from Goods Movements</t>
  </si>
  <si>
    <t>Decoupled goods receipt: Delivery completed indicator</t>
  </si>
  <si>
    <t>CORUAFFW: SELECT Access that Bypasses the Table Buffer</t>
  </si>
  <si>
    <t>Customizing confirmation parameter: Order categories</t>
  </si>
  <si>
    <t>OCM - No automatic availability check</t>
  </si>
  <si>
    <t>COOISPI: All control instructions/recipes displayed (I)</t>
  </si>
  <si>
    <t>CO01: Document Links from production version are not copied</t>
  </si>
  <si>
    <t>Requirement quantity for batch split of successor components</t>
  </si>
  <si>
    <t>Include reference operation set: Pegged requirement initial</t>
  </si>
  <si>
    <t>Incorrect message 40 086 for by-products</t>
  </si>
  <si>
    <t>CO02: No material status check for phantom assembly</t>
  </si>
  <si>
    <t>Alternativ strategy 2: Priority is ignored</t>
  </si>
  <si>
    <t>EWM: Control cycles for all materials</t>
  </si>
  <si>
    <t>MIGO: Status "delivered" is not set</t>
  </si>
  <si>
    <t>Assigning technically completed WBS element</t>
  </si>
  <si>
    <t>External processing operation: Incorrect price</t>
  </si>
  <si>
    <t>Assembly processing: Error 00 202 when you save</t>
  </si>
  <si>
    <t>SOP</t>
  </si>
  <si>
    <t>Transfer to demand management does not work</t>
  </si>
  <si>
    <t>(MM) Termination with error FI057 when you save as complete</t>
  </si>
  <si>
    <t>ECP: Identifikation des Vorgangs ist falsch</t>
  </si>
  <si>
    <t>PS-COS-ACT</t>
  </si>
  <si>
    <t>Actual Costs a. Fore</t>
  </si>
  <si>
    <t>Costs of material planning not distributed correctly</t>
  </si>
  <si>
    <t>KBPP_EXTERN_UPDATE_CO: Missing line items</t>
  </si>
  <si>
    <t>PS-COS-PER</t>
  </si>
  <si>
    <t>Aut.and Per. Alloc.</t>
  </si>
  <si>
    <t>CJB1: Long runtimes due to irrelevant sales documents</t>
  </si>
  <si>
    <t>Invoicing plan: Exception 'CX_SY_ARITHMETIC_OVERFLOW'</t>
  </si>
  <si>
    <t>CJ40/CJ41: Wrong distributed values after planning with CJR2</t>
  </si>
  <si>
    <t>PS-DAT</t>
  </si>
  <si>
    <t>Dates</t>
  </si>
  <si>
    <t>PS-DAT-NET</t>
  </si>
  <si>
    <t>Network Scheduling</t>
  </si>
  <si>
    <t>CN24N: Wrong title for the report CN24NREPORT_SUB</t>
  </si>
  <si>
    <t>CJI3N: No information about object type and material</t>
  </si>
  <si>
    <t>CN60: Performance improvement</t>
  </si>
  <si>
    <t>Code injection vulnerability in PS-IS</t>
  </si>
  <si>
    <t>CNIS: Search for technical name in field catalog fails</t>
  </si>
  <si>
    <t>Missing order in cost report</t>
  </si>
  <si>
    <t>CN41N: histogram - conversion error with currencies</t>
  </si>
  <si>
    <t>LDB PSJ: program terminates with SAPSQL_SELECT_WA_ILL_TYPE</t>
  </si>
  <si>
    <t>PSIS: PP order network is incorrect in hierarchy</t>
  </si>
  <si>
    <t>Long runtime in program GDBPSGET for database DB2</t>
  </si>
  <si>
    <t>CJ88: Production orders not taken into account</t>
  </si>
  <si>
    <t>LDB PSJ: Orders are incorrect in hierarchy</t>
  </si>
  <si>
    <t>Some transactions don't take OAA operations into account</t>
  </si>
  <si>
    <t>LDB PSJ: Long runtimes with MSSQLSRV when reading AFKO</t>
  </si>
  <si>
    <t>PSIS: VORBEI is zero, even though no confirmation exists</t>
  </si>
  <si>
    <t>Grouping in output is incorrect</t>
  </si>
  <si>
    <t>CN41N: Status highlighting in info profile has no effect</t>
  </si>
  <si>
    <t>CN41N: Object filter does not work</t>
  </si>
  <si>
    <t>PIR for sales order created on deleted component</t>
  </si>
  <si>
    <t>Currency switch on including material on WBS</t>
  </si>
  <si>
    <t>VPKI_CREATE_DMR_CMR_DIRECTLY does not return a message</t>
  </si>
  <si>
    <t>PS-REV-RA</t>
  </si>
  <si>
    <t>Results Analysis</t>
  </si>
  <si>
    <t>OAA operations not considered during result determination</t>
  </si>
  <si>
    <t>Scheduling dumps when a network with status TECO is present</t>
  </si>
  <si>
    <t>Error message V0104 'GRPIND_INSR' in collective PR indicator</t>
  </si>
  <si>
    <t>Network header is not assigned correctly on copying network</t>
  </si>
  <si>
    <t>PS-ST-MIL</t>
  </si>
  <si>
    <t>Milestone</t>
  </si>
  <si>
    <t>Milestone not editable in gantt chart via transaction CN41</t>
  </si>
  <si>
    <t>Assembly network: Dump RAISE_EXCEPTION CALL_INVALID</t>
  </si>
  <si>
    <t>CN24N dump with multiple selection</t>
  </si>
  <si>
    <t>CJ20N: Activity drag and drop from template results in error</t>
  </si>
  <si>
    <t>Long text from std text key not copied from obj dependency</t>
  </si>
  <si>
    <t>Long txt from std text key not copied from obj dependency-II</t>
  </si>
  <si>
    <t>PS OCI: Activities missing in hierarchy of project builder</t>
  </si>
  <si>
    <t>Pop-up appears on click of BACK/EXIT of a assembly network</t>
  </si>
  <si>
    <t>CN23: On going to progress tab the values are not visible</t>
  </si>
  <si>
    <t>BAPI_NETWORK_COMP_CHANGE is not updating PBED-PLNMG -III</t>
  </si>
  <si>
    <t>RAISE_EXCEPTION Dump while deleting WBS elemenet</t>
  </si>
  <si>
    <t>Document splitting of partial payment despite FMPP</t>
  </si>
  <si>
    <t>PSM-FA-PP</t>
  </si>
  <si>
    <t>Partial Payment For</t>
  </si>
  <si>
    <t>FMPP: Error F5788</t>
  </si>
  <si>
    <t>FBRA/FB08: Wrong clearing information in DPR after reversal</t>
  </si>
  <si>
    <t>Error in note 1762811</t>
  </si>
  <si>
    <t>HDBS/HDBC: New Customizing structure</t>
  </si>
  <si>
    <t>Reporting deutsche Kommunen: Verbesserung der Bedienbarkeit</t>
  </si>
  <si>
    <t>FM Drilldown Reporting: Technical enhancement</t>
  </si>
  <si>
    <t>RFFMRE10: Incorrect line items for subtotals lines</t>
  </si>
  <si>
    <t>Funds center can be deleted despite existing budget address</t>
  </si>
  <si>
    <t>Automatic down payment clearing: Number and amount incorrect</t>
  </si>
  <si>
    <t>FMRE: Message RE 225 issued unjustified</t>
  </si>
  <si>
    <t>BO FMRE: BACK is behaving wrong in method DISPLAY</t>
  </si>
  <si>
    <t>FMRE: Cancelled manual reduction is not taken into account</t>
  </si>
  <si>
    <t>The FM Account assignments are not copied back</t>
  </si>
  <si>
    <t>Interface note for Extensibility of EFD - new function code</t>
  </si>
  <si>
    <t>Incorrect objnr used when creating assignment with PM order</t>
  </si>
  <si>
    <t>Missing update FM Account Assignment at PM Operation Level</t>
  </si>
  <si>
    <t>Funded Program incorrect when Posting GR/IR for PO w. MAA</t>
  </si>
  <si>
    <t>Missing FM Account Assignment when OLC Order is created</t>
  </si>
  <si>
    <t>Limit PO: Retention percentage is not transfered to ECC</t>
  </si>
  <si>
    <t>Long Procurement Number is visible when LPN is inactive</t>
  </si>
  <si>
    <t>QM: Downport of QM Customizing switches of EHP7</t>
  </si>
  <si>
    <t>QC52 : Dunning date not set with status = 3</t>
  </si>
  <si>
    <t>QM-CA-CG</t>
  </si>
  <si>
    <t>Certificate Creation</t>
  </si>
  <si>
    <t>FORM processing_adobe: Replacing languages are missing</t>
  </si>
  <si>
    <t>Document link for inspection lot - interface note</t>
  </si>
  <si>
    <t>QM: QA08 enhancements</t>
  </si>
  <si>
    <t>Confirmation for QM order: Error BM 399</t>
  </si>
  <si>
    <t>QM: Enhancements for tree in QE51N</t>
  </si>
  <si>
    <t>QM: Missing selection criteria for operation in QA32/QA33</t>
  </si>
  <si>
    <t>QE51N : Multiplie specification object valuated incorrectly</t>
  </si>
  <si>
    <t>QE51N: Dialog box with '$$$$' in the text</t>
  </si>
  <si>
    <t>Performance problems in results recording II</t>
  </si>
  <si>
    <t>QM-IM-RR-DEF</t>
  </si>
  <si>
    <t>Defects</t>
  </si>
  <si>
    <t>Message with deletion flag processed again</t>
  </si>
  <si>
    <t>No transfer of partner data from equipment in message</t>
  </si>
  <si>
    <t>QM-IM-SM</t>
  </si>
  <si>
    <t>Sample Management</t>
  </si>
  <si>
    <t>BAPI_GOODSMVT_CREATE - Dump DYNPRO_SEND_IN_BACKGROUND</t>
  </si>
  <si>
    <t>QM-PT-BD-CAT</t>
  </si>
  <si>
    <t>Catalog</t>
  </si>
  <si>
    <t>Document link to code - interface note</t>
  </si>
  <si>
    <t>QS46 : Runtime error CONVT_NO_NUMBER</t>
  </si>
  <si>
    <t>QM-PT-BD-ICH</t>
  </si>
  <si>
    <t>Inspection Charact.</t>
  </si>
  <si>
    <t>QS26: Performance</t>
  </si>
  <si>
    <t>Inspection characteristic not displayed, printed correctly</t>
  </si>
  <si>
    <t>QM: Enhancement of search help for master inspection char.</t>
  </si>
  <si>
    <t>QM-PT-BD-SPL</t>
  </si>
  <si>
    <t>Samples and SPC</t>
  </si>
  <si>
    <t>QDV6: Incorrect results if executed several times</t>
  </si>
  <si>
    <t>QM01: No business document can be stored</t>
  </si>
  <si>
    <t>QM: Automatic update of worklists for notifications</t>
  </si>
  <si>
    <t>QM: Enhancement of residence time for archiving of notif.</t>
  </si>
  <si>
    <t>QM01: Equipment number is not transferred</t>
  </si>
  <si>
    <t>Long text: Log line missing</t>
  </si>
  <si>
    <t>IQS12/IQS13 : Error message Q0 163</t>
  </si>
  <si>
    <t>QM: Action box - Tasks and activities for item</t>
  </si>
  <si>
    <t>QM_NOTIF_OVERVW: Adobe form not in output language</t>
  </si>
  <si>
    <t>Digital signature is not requested for task deletion</t>
  </si>
  <si>
    <t>Incorrect cost center description</t>
  </si>
  <si>
    <t>Checkman-Korrekturen RE-Classic</t>
  </si>
  <si>
    <t>RE-CF</t>
  </si>
  <si>
    <t>Cash Flow</t>
  </si>
  <si>
    <t>Original posting deleted, follow-up posting created</t>
  </si>
  <si>
    <t>Chg to master tenant with cust act: prev cust in cash flow</t>
  </si>
  <si>
    <t>RE-CP</t>
  </si>
  <si>
    <t>Correspondence</t>
  </si>
  <si>
    <t>SCS print: not all AP made are specified</t>
  </si>
  <si>
    <t>RE-PR</t>
  </si>
  <si>
    <t>Real Estate General Contract</t>
  </si>
  <si>
    <t>RE-PR-CN</t>
  </si>
  <si>
    <t>Deleting condition items and message 6D410</t>
  </si>
  <si>
    <t>Cash flow: Period changes after inserting condition</t>
  </si>
  <si>
    <t>Search help partner bank category in conditions dialog box</t>
  </si>
  <si>
    <t>Payment method in cash flow not copied from condition</t>
  </si>
  <si>
    <t>FOMAFCC: Message "Contract has no index agreements"</t>
  </si>
  <si>
    <t>Technische Korrektur für HANA SP1: SORT für Pooltabellen</t>
  </si>
  <si>
    <t>Directory Traversal in RE-RT</t>
  </si>
  <si>
    <t>RE-RT-AD</t>
  </si>
  <si>
    <t>Rent Adjustment</t>
  </si>
  <si>
    <t>Creating new condition based on area unit</t>
  </si>
  <si>
    <t>Rent adjustment print in the background: Incorrct parameters</t>
  </si>
  <si>
    <t>FOMAFCC: Editing adjustment rates</t>
  </si>
  <si>
    <t>F5 702 for periodic posting - rounding rule in MWSKZ</t>
  </si>
  <si>
    <t>Message 62486 for lease-out number assignment</t>
  </si>
  <si>
    <t>Incorrect notice date with deadline regulation</t>
  </si>
  <si>
    <t>FO38: Unit for reference area incorrect</t>
  </si>
  <si>
    <t>'Do not check conditions' with active contracts</t>
  </si>
  <si>
    <t>Check conditions: Handling of zero conditions</t>
  </si>
  <si>
    <t>F4 help condition type for adjustment history</t>
  </si>
  <si>
    <t>Incorrect condition items</t>
  </si>
  <si>
    <t>Creating sales-based rental agrmt: Data for sales-based rent</t>
  </si>
  <si>
    <t>SCM-APO-ATP-RBA</t>
  </si>
  <si>
    <t>Rules-Based ATP</t>
  </si>
  <si>
    <t>RBA not triggered due missing Business Transaction BPROC</t>
  </si>
  <si>
    <t>CFP1, CFM2 stops with error XC076: Control tables for object</t>
  </si>
  <si>
    <t>Report RCIFVARIANTCHANGE does not work for CIF PDS reports</t>
  </si>
  <si>
    <t>Changes at supply relationships are not transferred to SCM</t>
  </si>
  <si>
    <t>SCM-APO-INT-CCR-EP</t>
  </si>
  <si>
    <t>Cross-docking shipping notification not ignored by CCR</t>
  </si>
  <si>
    <t>DELTAREPORT: Unjustified error 181 for confirmations</t>
  </si>
  <si>
    <t>DELTAREPORT: unjustified error 189 for Confirmations</t>
  </si>
  <si>
    <t>Deltareport: error 236 for return stock transfer deliveries</t>
  </si>
  <si>
    <t>deltareport: error 236 with CSFG sales orders</t>
  </si>
  <si>
    <t>STO return deliveries: ERP wrong material availability date</t>
  </si>
  <si>
    <t>SCM-APO-INT-CCR-STK</t>
  </si>
  <si>
    <t>Stock</t>
  </si>
  <si>
    <t>CCR: Customer consignment stock not corrected in a refresh</t>
  </si>
  <si>
    <t>CIF master data: Bad performance of inbound queue, ATPFIELD</t>
  </si>
  <si>
    <t>Characteristics missing at prod. orders after initial load</t>
  </si>
  <si>
    <t>ECC version not ciffed to APO.</t>
  </si>
  <si>
    <t>SCM-APO-INT-MD-CLC</t>
  </si>
  <si>
    <t>Classes and Characte</t>
  </si>
  <si>
    <t>Change transfer of overwritten characteristic gives error</t>
  </si>
  <si>
    <t>Deleting class assignment 001: Integration to APO</t>
  </si>
  <si>
    <t>Deletion of classification data not replicated to APO</t>
  </si>
  <si>
    <t>CU02: PDS Change Pointer created for non-existing focus PDS</t>
  </si>
  <si>
    <t>Extension of BAdI cuslntrto_addin=&gt;change_effectivity_date</t>
  </si>
  <si>
    <t>INT-PDS: Phantom assigments are not transferred</t>
  </si>
  <si>
    <t>PDS-INT: Invalid components are transferred</t>
  </si>
  <si>
    <t>CURTO_EXPLAIN: Syntax error after implementing Note 1772077</t>
  </si>
  <si>
    <t>INT-PDS: Too many subcontractor PDS created</t>
  </si>
  <si>
    <t>Dump ITAB_DUPLICATE_KEY when changing dependencies</t>
  </si>
  <si>
    <t>INT-PDS: Persistent activity GUID lost when changing routing</t>
  </si>
  <si>
    <t>INT-PDS: End-start rel. from parallel sequence not created</t>
  </si>
  <si>
    <t>INT-PDS: More exact message for invalid dependency</t>
  </si>
  <si>
    <t>PDS_MAINT:No production version for info record displayed II</t>
  </si>
  <si>
    <t>PDS-EXP: Error /SAPAPO/OM_ERROR2 438 during order creation</t>
  </si>
  <si>
    <t>INT-PDS: Transfer deletion indicator despite usage</t>
  </si>
  <si>
    <t>INT-PDS: Unjustified warning message CURTO1 037</t>
  </si>
  <si>
    <t>SCM-APO-INT-MD-PPM</t>
  </si>
  <si>
    <t>Production Process M</t>
  </si>
  <si>
    <t>CIF-PPM: CF7 Components missing for BOM with change numbers</t>
  </si>
  <si>
    <t>SCM-APO-INT-POR</t>
  </si>
  <si>
    <t>Project Order</t>
  </si>
  <si>
    <t>Receipt not in the individual project segment (WBS element)</t>
  </si>
  <si>
    <t>Error when updating original quantities for discontinuation</t>
  </si>
  <si>
    <t>CIF error X4013 when order is re-exploded in APO</t>
  </si>
  <si>
    <t>Allow retransfer of SNP STO to APO for orders created in APO</t>
  </si>
  <si>
    <t>COM error 215 for stock transport order</t>
  </si>
  <si>
    <t>GR processing time ignored for PO from APO</t>
  </si>
  <si>
    <t>STO confirmed quantity is not reduced by ASN</t>
  </si>
  <si>
    <t>SCM-APO-INT-PUR-SUB</t>
  </si>
  <si>
    <t>Non MRP relevant component requirements is sent to APO</t>
  </si>
  <si>
    <t>Missing information in SCM for rush orders</t>
  </si>
  <si>
    <t>SCM-APO-PPS</t>
  </si>
  <si>
    <t>Production Planning and Detailed Scheduling</t>
  </si>
  <si>
    <t>SCM-APO-PPS-MDS</t>
  </si>
  <si>
    <t>MRP Based Detailed S</t>
  </si>
  <si>
    <t>SAP_PP_MRPDS: Error during RFC to logical system</t>
  </si>
  <si>
    <t>SCM-ECT</t>
  </si>
  <si>
    <t>Execution</t>
  </si>
  <si>
    <t>SCM-ECT-LIM</t>
  </si>
  <si>
    <t>Logistics Inventory</t>
  </si>
  <si>
    <t>Checkman error: Dynamic function in CL_IM_CONNECT_LIME</t>
  </si>
  <si>
    <t>FRE_C1 show wrong information in spool with backgroundjob</t>
  </si>
  <si>
    <t>Long text for exception FRE 522: wrong variable format</t>
  </si>
  <si>
    <t>FRE34 in parallel mode ends with Communication error</t>
  </si>
  <si>
    <t>FRE06 fails with Error 112 in FRE_UI</t>
  </si>
  <si>
    <t>Performance for deletion of contract pointers</t>
  </si>
  <si>
    <t>Runtime error when sending sales prices</t>
  </si>
  <si>
    <t>Runtime error when sending sales prices- part 2</t>
  </si>
  <si>
    <t>Performance: missing index for FRE_DB_VKP_TD</t>
  </si>
  <si>
    <t>Wrong time conversion for time-dependent loc.prod. data</t>
  </si>
  <si>
    <t>Runtime error TSV_TNEW_PAGE_ALLOC_FAILED in FRE_CHECK_PO_OP</t>
  </si>
  <si>
    <t>MARA(MHDRZ IPRKZ MHDLP) changes leads to wrong Loc/Prod data</t>
  </si>
  <si>
    <t>SCM-FRE-FRP</t>
  </si>
  <si>
    <t>FRP Functions</t>
  </si>
  <si>
    <t>Duplicate entries in DB FRE_DB_VKP_TD</t>
  </si>
  <si>
    <t>SCM-FRE-MD</t>
  </si>
  <si>
    <t>Korrekturen von checkman Fehlern</t>
  </si>
  <si>
    <t>Inaccurate group title in RSMIPROACT2</t>
  </si>
  <si>
    <t>CC: QM-Lot ERP side changes - RSMIPROACT, RSMIPROACT2</t>
  </si>
  <si>
    <t>RSMIPROACT: Demand quantity without quota</t>
  </si>
  <si>
    <t>Performance fix for ERP-SNC integration reports</t>
  </si>
  <si>
    <t>RSMIPROACT(2): Planned orders not selected with vendor sel.</t>
  </si>
  <si>
    <t>Performance fix for Proact outbound processing</t>
  </si>
  <si>
    <t>Sales requirements not reduced from predecessor item</t>
  </si>
  <si>
    <t>Problems with APO connection for dates later than 2037</t>
  </si>
  <si>
    <t>Overflow of the temporary instance numbers</t>
  </si>
  <si>
    <t>CO06 deletes schedule lines after replenishment lead time</t>
  </si>
  <si>
    <t>CO06 Total confirmed quantity greater than requested qty</t>
  </si>
  <si>
    <t>SD-BF-AC-PAC</t>
  </si>
  <si>
    <t>Availability Check a</t>
  </si>
  <si>
    <t>Improved selection RESB</t>
  </si>
  <si>
    <t>Short Dump in ACBD</t>
  </si>
  <si>
    <t>SD-BF-CPE</t>
  </si>
  <si>
    <t>CPE in SD</t>
  </si>
  <si>
    <t>Detail display of CPE data is not always called correctly</t>
  </si>
  <si>
    <t>Billing doc.incorrectly blocked due to CPE blocking reason</t>
  </si>
  <si>
    <t>Correction for CheckMan error</t>
  </si>
  <si>
    <t>CPE: Function group V69A, request for KRECH = 'Q'</t>
  </si>
  <si>
    <t>CPE Rule 10 for quantity conversion takes batch into account</t>
  </si>
  <si>
    <t>SD-BF-FG</t>
  </si>
  <si>
    <t>Free Goods</t>
  </si>
  <si>
    <t>Free goods: All lines gray on scheduling screen</t>
  </si>
  <si>
    <t>Item with no prices after rescheduling</t>
  </si>
  <si>
    <t>Problems w/ material determination for mass change in VA05</t>
  </si>
  <si>
    <t>Incorrect sales unit after material determination</t>
  </si>
  <si>
    <t>Incorrect conversion factors after product selection</t>
  </si>
  <si>
    <t>SD-BF-OC</t>
  </si>
  <si>
    <t>Wrong processing log due to uninitialized NAST-CMFPNR.</t>
  </si>
  <si>
    <t>Dispatch Time in Output Type is not updated properly</t>
  </si>
  <si>
    <t>PRICING_COMPLETE &amp; PREF: Dump in quantity adjustment II</t>
  </si>
  <si>
    <t>Checkman errors: CPE-relevant packages in SAP_APPL 606, 616</t>
  </si>
  <si>
    <t>Runtime error MESSAGE_TYPE_X maintaining texts w/Unicode (2)</t>
  </si>
  <si>
    <t>Billing in the background creates too many documents</t>
  </si>
  <si>
    <t>CSFG: Billed orders still in the billing due list</t>
  </si>
  <si>
    <t>CSFG: Delivered order is not in billing due list</t>
  </si>
  <si>
    <t>Checking the CPE block for delivery-related billing</t>
  </si>
  <si>
    <t>Billing status and VPRS for down payments</t>
  </si>
  <si>
    <t>SD-BIL-IV-IF</t>
  </si>
  <si>
    <t>External Billing</t>
  </si>
  <si>
    <t>Parameter POSTING in BAPI_BILLINGDOC_CREATEMULTIPLE</t>
  </si>
  <si>
    <t>Directory-Traversal in externer Fakturaschnittstelle</t>
  </si>
  <si>
    <t>General billing interface: Incorrect address number CPD</t>
  </si>
  <si>
    <t>Check for transaction authorization</t>
  </si>
  <si>
    <t>BRE: Termination with runtime error TIME_OUT when cancelling</t>
  </si>
  <si>
    <t>Field overflow during manual settlement of a rebate</t>
  </si>
  <si>
    <t>SDBONT06: Agreements locked for a long time unnecessarily</t>
  </si>
  <si>
    <t>Error VF 003 for mixed claim settlement</t>
  </si>
  <si>
    <t>Validated rate is calculated incorrectly for overpayment</t>
  </si>
  <si>
    <t>Activating old determination of periods f. adj. line items</t>
  </si>
  <si>
    <t>V_MACO: Sales document cannot be completed</t>
  </si>
  <si>
    <t>No adjustment after order change with revenue rec. event</t>
  </si>
  <si>
    <t>Short dump due to incorrect determination of del. relevance</t>
  </si>
  <si>
    <t>Incorrect value determination during goods issue</t>
  </si>
  <si>
    <t>SD-CAS-SP</t>
  </si>
  <si>
    <t>Sales Promotions</t>
  </si>
  <si>
    <t>Code-Injection-Schwachstellen in SD-CAS-SP</t>
  </si>
  <si>
    <t>INVOIC: IDoc w/ incorr account assignment for down payment</t>
  </si>
  <si>
    <t>Report RMLEVE00 doesn't find preference data in table LFEI</t>
  </si>
  <si>
    <t>RVEXDAII: Check errors for structure RVEXPAII</t>
  </si>
  <si>
    <t>Incorrect determination of preference indicator in order</t>
  </si>
  <si>
    <t>Foreign trade cockpit: Starting report via selection variant</t>
  </si>
  <si>
    <t>Condition maintenance termination ITAB_DUPLICATE_KEY</t>
  </si>
  <si>
    <t>Material text not displayed in Enhanced material view</t>
  </si>
  <si>
    <t>SD-POS</t>
  </si>
  <si>
    <t>POS Interface</t>
  </si>
  <si>
    <t>Cluster table access LWPAVF03 &amp; LWPUEFVE SD-POS environment</t>
  </si>
  <si>
    <t>Adjustment of the Logic classes</t>
  </si>
  <si>
    <t>Incorrect Adress Version is displayed</t>
  </si>
  <si>
    <t>Dump TABLE_FREE_IN_LOOP for delivery date fast change</t>
  </si>
  <si>
    <t>Search for sales orders does not find results</t>
  </si>
  <si>
    <t>CBAD: Selected item funding not deleted</t>
  </si>
  <si>
    <t>CBAD: Item budget is not deleted</t>
  </si>
  <si>
    <t>Directory traversal in SD-SLS</t>
  </si>
  <si>
    <t>Incorrect sorting of condition records when saving</t>
  </si>
  <si>
    <t>Incorrect data buffer when reading the document flow</t>
  </si>
  <si>
    <t>Attachment function using the Lean Order API</t>
  </si>
  <si>
    <t>Error: "ERP Interface stopped or failed unexpectedly"</t>
  </si>
  <si>
    <t>lean order search does not work for customer purchase order</t>
  </si>
  <si>
    <t>Error V1486 returned when creating follow-up to quotation</t>
  </si>
  <si>
    <t>Item is not added to configurable UI</t>
  </si>
  <si>
    <t>SD-SLS-GF-AR</t>
  </si>
  <si>
    <t>Archiving Sales</t>
  </si>
  <si>
    <t>Sales document type deleted: Documents archiveable</t>
  </si>
  <si>
    <t>SD-SLS-GF-BA</t>
  </si>
  <si>
    <t>SD Batch Processing</t>
  </si>
  <si>
    <t>CSFG: Item not copied for external batch</t>
  </si>
  <si>
    <t>SD-SLS-GF-CO</t>
  </si>
  <si>
    <t>SD CO interface</t>
  </si>
  <si>
    <t>Incorrect profit center is determined in KKA3</t>
  </si>
  <si>
    <t>SD_ORDER_GET_DATA sets status ENFA (fully invoiced)</t>
  </si>
  <si>
    <t>SD-SLS-GF-CU</t>
  </si>
  <si>
    <t>SD Customizing</t>
  </si>
  <si>
    <t>Error in sales area determination</t>
  </si>
  <si>
    <t>Conditions are no longer transferred</t>
  </si>
  <si>
    <t>BAPI termination DATA_OFFSET_LENGTH_TOO_LARGE (II)</t>
  </si>
  <si>
    <t>Notification number is generally checked for CHANGE BAPI</t>
  </si>
  <si>
    <t>System does not change the address for a personnel number</t>
  </si>
  <si>
    <t>Duplicate repair orders &amp; service orders in doc flow</t>
  </si>
  <si>
    <t>Document flow: Subsequent document missing in the display</t>
  </si>
  <si>
    <t>Change doc. detail for order date displays incorrect data</t>
  </si>
  <si>
    <t>SDO1: Long runtime if there is a large number of documents</t>
  </si>
  <si>
    <t>Subitem is deleted despite assigned order BOM</t>
  </si>
  <si>
    <t>Searching sales order using sold-to party is inconsistent</t>
  </si>
  <si>
    <t>Message for quotations/outline agrmts: Error message V2 032</t>
  </si>
  <si>
    <t>Incorrect form of billing in subitem</t>
  </si>
  <si>
    <t>Incorr. reqmts after redetermining material from info record</t>
  </si>
  <si>
    <t>Search help with WBS element in DP91 does not find documents</t>
  </si>
  <si>
    <t>CSFG: External plant deleted after check of org. data</t>
  </si>
  <si>
    <t>RBA item categories for material replacement</t>
  </si>
  <si>
    <t>RBA item categories for material replacement - Corrections</t>
  </si>
  <si>
    <t>BADI_SLS_LO_OIF_PARTY does not restrict partner selection</t>
  </si>
  <si>
    <t>Changes to Partner function alone are not considered</t>
  </si>
  <si>
    <t>SRM-EBP-CA-ACC</t>
  </si>
  <si>
    <t>WBS fails to show the description</t>
  </si>
  <si>
    <t>Accounting issue due to reference date for Assets</t>
  </si>
  <si>
    <t>Sub Asset Description not appearing on Shopping Cart</t>
  </si>
  <si>
    <t>SRM-EBP-CA-HIS</t>
  </si>
  <si>
    <t>History</t>
  </si>
  <si>
    <t>Service Entry Sheet can't be assigned to a service line</t>
  </si>
  <si>
    <t>ECC PReq, Rejected in SRM SOCO setting Quantity Ordered</t>
  </si>
  <si>
    <t>Running BBP_EXTREQ_TRANSFER with large queue no dumps</t>
  </si>
  <si>
    <t>BBP_EXTREQ_TRANSFER with queue results in wrong queue name</t>
  </si>
  <si>
    <t>ECS: Restrict type P customer fields' transfer to backend</t>
  </si>
  <si>
    <t>Performance issue in transaction BBP_ES_SEARCH</t>
  </si>
  <si>
    <t>Master Agreement with Material and Acc. Ass. Cat. created</t>
  </si>
  <si>
    <t>Enhance supported item categories for SAP Sourcing</t>
  </si>
  <si>
    <t>Error BBP_ES_ERP_INT 005 item category not supported raised</t>
  </si>
  <si>
    <t>Support item category 'Material unknown' in RFQ process</t>
  </si>
  <si>
    <t>SAP_AIO_PURCHASER: Wrong purchase order displayed from NWBC</t>
  </si>
  <si>
    <t>IDoc2SOA: Only four-digit house numbers taken into account</t>
  </si>
  <si>
    <t>Printing Invoice Header Changes</t>
  </si>
  <si>
    <t>Bug fix:Mapping TM data to be stored in ERPTM_IV_DATA</t>
  </si>
  <si>
    <t>TM-FRS-IV</t>
  </si>
  <si>
    <t>ERP Invoice Verifica</t>
  </si>
  <si>
    <t>SES creation fails with error quantity exceeds PO quantity</t>
  </si>
  <si>
    <t>Intra Company Settlement</t>
  </si>
  <si>
    <t>KM Changes to Invoice Preview .pdf</t>
  </si>
  <si>
    <t>TM org mapping in ERP does not work without settlement type</t>
  </si>
  <si>
    <t>KM Term Change from "Charge Element" to "Charge Type"</t>
  </si>
  <si>
    <t>Invoice Date incorrectly mapped to Billing Date in ERP</t>
  </si>
  <si>
    <t>Datafeed: Calling BTE for exchange rate changes</t>
  </si>
  <si>
    <t>Web Channel Experience Management</t>
  </si>
  <si>
    <t>WEC-APP-GS</t>
  </si>
  <si>
    <t>Web Channel Application Generic Search</t>
  </si>
  <si>
    <t>WEC-APP-GS-ERP</t>
  </si>
  <si>
    <t>WEC Generic Search</t>
  </si>
  <si>
    <t>Order search by product id doesn't work as expected</t>
  </si>
  <si>
    <t>Second attempt for B2C self-registration fails with CUA</t>
  </si>
  <si>
    <t>Mobile Direct Store Delivery (SAP xMDSD)</t>
  </si>
  <si>
    <t>Rg2616/RES177: document date for threshold calculation</t>
  </si>
  <si>
    <t>J_1AF016: Incorrect  'Amount L/C' reported</t>
  </si>
  <si>
    <t>Directory traversal in XX-CSC-AR</t>
  </si>
  <si>
    <t>RFWTCT10 - Base amount displayed only in local currency</t>
  </si>
  <si>
    <t>FI: Potential Directory Traversal - Argentina</t>
  </si>
  <si>
    <t>AEI WS Domestic: Integrating cash discount fucnctionality</t>
  </si>
  <si>
    <t>AR WS RG2904: Issue with buidling XML data for FI documents</t>
  </si>
  <si>
    <t>AR WS RG2485: Wrong value for exchange rate in request XML</t>
  </si>
  <si>
    <t>AEI WS RG2904:Cash discount year different from invoice</t>
  </si>
  <si>
    <t>AR:Cond J1X1 value calculated wrongly during SO creation</t>
  </si>
  <si>
    <t>AEI WS Domestic: Changing cash discount document type</t>
  </si>
  <si>
    <t>AEI WS RG2904:Cash discount branch different from invoice</t>
  </si>
  <si>
    <t>AR WS RG2758: Wrong item details sent in request XML</t>
  </si>
  <si>
    <t>AR WS RG2904: Enhancing values for tax number type</t>
  </si>
  <si>
    <t>AR WS RG2904: Correction to VAT amount population</t>
  </si>
  <si>
    <t>ODN AR: Wrong print character determination</t>
  </si>
  <si>
    <t>AR:Cond types calculated wrongly during credit memo creation</t>
  </si>
  <si>
    <t>Barcode pop-up after each screen change in J1B1N</t>
  </si>
  <si>
    <t>J_1B_CBT_CONSIST not displaying records for PIS/COFINS laws</t>
  </si>
  <si>
    <t>STO: Error msg M7 304 raises for a zero stock quantity</t>
  </si>
  <si>
    <t>Fiscal Right Texts in J1BTAX with 63 characters</t>
  </si>
  <si>
    <t>PIS&amp;Cofins Pauta w. 4decimal places - BASERED2 is filled</t>
  </si>
  <si>
    <t>Hard-coded credentials in XX-CSC-BR</t>
  </si>
  <si>
    <t>Potential modif./disclosure of persisted data in XX-CSC-BR</t>
  </si>
  <si>
    <t>New BAPI_CTE_J_1B_NF_CREATFROMDATA</t>
  </si>
  <si>
    <t>Exception for Tax Group 6 creation</t>
  </si>
  <si>
    <t>Nota Fiscal: tab for searching by additional partners</t>
  </si>
  <si>
    <t>Some (ICMS, IPI) tax rates are displayed by a factor of 10</t>
  </si>
  <si>
    <t>Directory traversal in IN68</t>
  </si>
  <si>
    <t>Directory traversal in J_1BLFA1_OLD</t>
  </si>
  <si>
    <t>Directory traversal in XX-CSC-BR</t>
  </si>
  <si>
    <t>Directory traversal in J1BA</t>
  </si>
  <si>
    <t>Error when activating a change with abap_true/false in J1BB</t>
  </si>
  <si>
    <t>CT-e: Jurisd. Code language not same as Company Code</t>
  </si>
  <si>
    <t>DUMP on function module J_1B_NF_PARTNER READ call</t>
  </si>
  <si>
    <t>Error when activating objects related to type group ABAP</t>
  </si>
  <si>
    <t>RFFOBR_A:Address of the customer should be sent in DME file</t>
  </si>
  <si>
    <t>RFFOBR_DDA: Single record delete, deletes multiple records</t>
  </si>
  <si>
    <t>Allow tax calculation for subcontracting process</t>
  </si>
  <si>
    <t>Enable future delivery return w/ PIS/COFINS posting at MIGO</t>
  </si>
  <si>
    <t>MBRL: wrong tax rate in a stock transfer return delivery</t>
  </si>
  <si>
    <t>NCM in info record not transferred to scheduling agreement</t>
  </si>
  <si>
    <t>MM Pricing: Tax values are only filled for last item in PO</t>
  </si>
  <si>
    <t>STO: incoming batch split with wrong nota fiscal items value</t>
  </si>
  <si>
    <t>Batch value missing in nota fiscal items</t>
  </si>
  <si>
    <t>NF-e: Cancellation as Event</t>
  </si>
  <si>
    <t>CT-e: SVC Server Determination</t>
  </si>
  <si>
    <t>Replace function module J_1B_CTE_BAPIRET2_MAP_TO_LOG</t>
  </si>
  <si>
    <t>NF-e: Automatic Creation of NF-e in contingency process</t>
  </si>
  <si>
    <t>CT-e: Enable function cancel prior to authorization</t>
  </si>
  <si>
    <t>Environment in XML according to customizing table</t>
  </si>
  <si>
    <t>NF-e: Auth. to Cancel manually created NF-e in C.P.A. fails</t>
  </si>
  <si>
    <t>Return warning to messaging system as warning, not as error</t>
  </si>
  <si>
    <t>Display of 'Request Cancellation' and 'Request Contingency'</t>
  </si>
  <si>
    <t>Defaults / exception handling for nota fiscal item types</t>
  </si>
  <si>
    <t>Display of import documents from nota fiscal monitor</t>
  </si>
  <si>
    <t>Tags &lt;xLgr&gt; and &lt;Nro&gt; blank for XML model 57</t>
  </si>
  <si>
    <t>Assign correct function key to print/reprint function</t>
  </si>
  <si>
    <t>Missing messages and missing field documentation in J1BNFE</t>
  </si>
  <si>
    <t>Printing Nota Fiscal aborts in Nota Fiscal Writer</t>
  </si>
  <si>
    <t>Documentation Enhancement: BAdI Fill Additional CT-e Fields</t>
  </si>
  <si>
    <t>Corrections for Cancellation as Event</t>
  </si>
  <si>
    <t>NF-e Provide Cancellation Event for Messaging Systems</t>
  </si>
  <si>
    <t>NF-e: Required Process Step in History Table</t>
  </si>
  <si>
    <t>CT-e: XML-tags &lt;cPais&gt; and &lt;xPais&gt; not filled</t>
  </si>
  <si>
    <t>Cancel prior to author. impossible for batch author. request</t>
  </si>
  <si>
    <t>Issue in Program J_BNFECALLRFC with NF-e Number in SD/FI</t>
  </si>
  <si>
    <t>Nota fiscal monitor: prerequisites to reset document status</t>
  </si>
  <si>
    <t>CT-e: telephone data not filled for partner REM Goods Sender</t>
  </si>
  <si>
    <t>NF-e: Database Lock not released when Auto. Cncl. Req. fails</t>
  </si>
  <si>
    <t>CT-e: Enable automatic sending of cancellation request</t>
  </si>
  <si>
    <t>NF-e: CT-e reference filled incorrectly into NF-e reference</t>
  </si>
  <si>
    <t>CT-e: Badi to check active server</t>
  </si>
  <si>
    <t>CT-e: TPAMB not filled</t>
  </si>
  <si>
    <t>&lt;motDesICMS&gt; should be filled only when &lt;vICMS&gt; is not empty</t>
  </si>
  <si>
    <t>NF-e with subseq. document - contingency process not allowed</t>
  </si>
  <si>
    <t>Send understandable error message after RFC call</t>
  </si>
  <si>
    <t>CC-e: Messaging System Error not reset after response</t>
  </si>
  <si>
    <t>CT-e: Address Fields for Partners of Foreign Countries</t>
  </si>
  <si>
    <t>Goods Movement: multiple XML items for one PO item -Prereq.</t>
  </si>
  <si>
    <t>Handling for nota fiscal item types</t>
  </si>
  <si>
    <t>NF-e incoming: Subs.Adjustment: Movement type cannot be used</t>
  </si>
  <si>
    <t>Rounding difference in ICMS-/IPI-tax data</t>
  </si>
  <si>
    <t>Technical Prerequisite for Further Development NF-e Incoming</t>
  </si>
  <si>
    <t>SPED-EFD: field COD_MUN_DEST from reg. D120 is not filled</t>
  </si>
  <si>
    <t>Modelo 1: Support the CT-e solution</t>
  </si>
  <si>
    <t>SPED-EFD: H010 - Correction on WIP values</t>
  </si>
  <si>
    <t>IN86: Errors raised for SVA v3.1.0 related to file 4.9.1</t>
  </si>
  <si>
    <t>EFD-Contributions: 0120 - Release of register</t>
  </si>
  <si>
    <t>Modelo 2: Support the CT-e solution</t>
  </si>
  <si>
    <t>SPED generic objects: Enhancement 12</t>
  </si>
  <si>
    <t>Change to title of report Electronic Fiscal File PIS/COFINS</t>
  </si>
  <si>
    <t>Legal Reports bringing stock value of following month</t>
  </si>
  <si>
    <t>SPED-EFD: Ato Cotepe 34/2012 &amp; 41/2012 - Guia Prático 2.0.10</t>
  </si>
  <si>
    <t>Modelo 9: Support the CT-e solution</t>
  </si>
  <si>
    <t>SPED-EFD: E116 - Register using layout version 003 missing</t>
  </si>
  <si>
    <t>SPED-EFD: E116 - Field MES_REF reported for layout vers. 003</t>
  </si>
  <si>
    <t>SPED-EFD: Reg. D160/D161 being reported for CT-e (Model 57)</t>
  </si>
  <si>
    <t>SPED-EFD: Ato Cotepe 50/2012 - Guia Prático 2.0.11</t>
  </si>
  <si>
    <t>EFD-Contributions: Guia Prático v1.10</t>
  </si>
  <si>
    <t>SPED-EFD: Reporting of CT-e documents - register D100</t>
  </si>
  <si>
    <t>EFD-Contributions: Reporting of CT-e documents - block D</t>
  </si>
  <si>
    <t>Dump in a batch split scenario when there are only subitems</t>
  </si>
  <si>
    <t>NF Writer: Control code is not updated on item level</t>
  </si>
  <si>
    <t>Field &lt;IEST&gt; is empty for ICMS Subtrib due to tax region</t>
  </si>
  <si>
    <t>Collective billing generating NF with wrong values</t>
  </si>
  <si>
    <t>CT-e: new CT-e Tax Calculation determination for Incoming</t>
  </si>
  <si>
    <t>CT-e LC: ICMS Exempt and ICMS Other Base</t>
  </si>
  <si>
    <t>CT-e: CFOP determination and first digit check</t>
  </si>
  <si>
    <t>CT-e: CL_TAX_CALC_BR Code Changes</t>
  </si>
  <si>
    <t>CT-e LC: Wrong data in CT-e Tab for annulment documents</t>
  </si>
  <si>
    <t>CT-e LC: PIS/COFINS error when ICMS Exempt</t>
  </si>
  <si>
    <t>RFCLLIB01:Issue with missing adobe filename</t>
  </si>
  <si>
    <t>Conversion with year end rate for Chinese companies in F.01</t>
  </si>
  <si>
    <t>XX-CSC-CN-EFI</t>
  </si>
  <si>
    <t>New Finance UI and P</t>
  </si>
  <si>
    <t>BADi IDCN_ACC_DOC enhancement</t>
  </si>
  <si>
    <t>Missing default values</t>
  </si>
  <si>
    <t>EPIC: Editing payment info for multiple items, archiving</t>
  </si>
  <si>
    <t>EPIC: BRS Enhancement, CCB, Cash Flow Code</t>
  </si>
  <si>
    <t>Form Layout Enhancement for Financial Statement</t>
  </si>
  <si>
    <t>Add Header Line of Report Period in Financial Statements Rep</t>
  </si>
  <si>
    <t>Adjust Huge Amount in AP/AR Aging Report</t>
  </si>
  <si>
    <t>Local Currency Added in Search Criteria for Account Balance</t>
  </si>
  <si>
    <t>Correct currency unit description for chinese character</t>
  </si>
  <si>
    <t>CN:Modification of Date Format for Financial Statement Rep.</t>
  </si>
  <si>
    <t>Correct the 'CurrentYear/LastPeriod' in ZH when selected ZH</t>
  </si>
  <si>
    <t>China:Display blank when amount is zero in Cashflow Sta. PDF</t>
  </si>
  <si>
    <t>Add description of first level account in report IDCNDOC</t>
  </si>
  <si>
    <t>CN:Add period comparison function to Cash Flow report</t>
  </si>
  <si>
    <t>ODN generate error for posting from MM/SD integrated with FI</t>
  </si>
  <si>
    <t>Update add. parameter check of document's items for cashflow</t>
  </si>
  <si>
    <t>IDCNDOC: Extend to 17 digits for Total Amount</t>
  </si>
  <si>
    <t>modify logic of get  first level account</t>
  </si>
  <si>
    <t>Remove record with 0 tax from GTI outbound screen</t>
  </si>
  <si>
    <t>Enhancement Badi IDGTCN_LINE_FIELD for Unit of Measure</t>
  </si>
  <si>
    <t>Invoice amount is incorrect when merge billing documents</t>
  </si>
  <si>
    <t>RFC UoM description correction</t>
  </si>
  <si>
    <t>Golden Tax Interface Constants Adjustment</t>
  </si>
  <si>
    <t>Bug fix for Combination,Selection,Split Item,Translation</t>
  </si>
  <si>
    <t>Change Domain Value for Status on Constants Value</t>
  </si>
  <si>
    <t>Add Sorting function in "Creation of Outbound Files"</t>
  </si>
  <si>
    <t>Split items if unit price exceeds upper limit of VAT amount</t>
  </si>
  <si>
    <t>Billed quantity is blank while inbound with Beijing template</t>
  </si>
  <si>
    <t>DMZ connection transfering check in GTI online integration</t>
  </si>
  <si>
    <t>Fix GTI invoice list report time out issue</t>
  </si>
  <si>
    <t>Add Write back Badi for Online Integration RFC</t>
  </si>
  <si>
    <t>GTI RFC logic change</t>
  </si>
  <si>
    <t>GTI outbound filed note is changeable</t>
  </si>
  <si>
    <t>RU:J3RALFTTAXDECL Company Name local address not maintained</t>
  </si>
  <si>
    <t>RU: J3RALFPTAXDECL - Corrections for PDF layout 2012</t>
  </si>
  <si>
    <t>RU:J3RALFTTAXCALC-For a tax base,Tax rate wrongly calculated</t>
  </si>
  <si>
    <t>RU:J3RALFTTAXCALC-Wrong tax value for coeff with rounding</t>
  </si>
  <si>
    <t>RU:Transport tax legal change corrections for note 1660239</t>
  </si>
  <si>
    <t>RU:J3RALFPTAXDECL PDF and XML errors in ANN and ADV formats</t>
  </si>
  <si>
    <t>RU:J3RALFPTAXCALC Incorrect net book value for legacy asset</t>
  </si>
  <si>
    <t>Russia: Property Tax Declaration: Currency field changes</t>
  </si>
  <si>
    <t>RU:J3RALFPTAXDECL-Layout errors in string 160&amp;Tax payer name</t>
  </si>
  <si>
    <t>RU: J3RALFTTAXDECL:Vendor name, UoM Code, Months calculation</t>
  </si>
  <si>
    <t>RU: J3RALFPTAXDECL: Reorganization is missing in PTAX PDF</t>
  </si>
  <si>
    <t>RU:J3RALFTTAXDECL-Consider First &amp; last day stolen vehicle</t>
  </si>
  <si>
    <t>RU:J3RALFTTAXCALC for mass assets values are incorrect</t>
  </si>
  <si>
    <t>RU:J3RALFPTAXDECL Interactive &amp; advance declaration PDF form</t>
  </si>
  <si>
    <t>RU:J3RALFPTAXCALC insertion of identical records when saved</t>
  </si>
  <si>
    <t>RU: J3RALFTTAXCALC: No error Log for zero tax rate</t>
  </si>
  <si>
    <t>HU: Non-paid FI documents regarding VAT declaration</t>
  </si>
  <si>
    <t>XX-CSC-HU-LO</t>
  </si>
  <si>
    <t>HU ERS: New requirements for Hungary</t>
  </si>
  <si>
    <t>XX-CSC-ID</t>
  </si>
  <si>
    <t>Indonesia</t>
  </si>
  <si>
    <t>ODN ID:Wrong prefix when note 1578519 &amp; 1512382 implemented</t>
  </si>
  <si>
    <t>Sales register and Purchase register for India</t>
  </si>
  <si>
    <t>EXIM:Freight cost for item is not transferred in MIRO</t>
  </si>
  <si>
    <t>Issue with GTA and TDS downpayment clearing</t>
  </si>
  <si>
    <t>WHT amount in J1INEMIS should have sign along with amoount</t>
  </si>
  <si>
    <t>View Generation for India W/Tax Tables</t>
  </si>
  <si>
    <t>Incorrect Cheque printing amount for Downpayment clearance</t>
  </si>
  <si>
    <t>J1INPR : report does not work without entering PO number</t>
  </si>
  <si>
    <t>F-54 : Corrections to Downpayment clearing functionality</t>
  </si>
  <si>
    <t>Number range is not allowed to copy to the year</t>
  </si>
  <si>
    <t>F-54 : issue when selecting multiple downpayment documents</t>
  </si>
  <si>
    <t>F-54 - Retention invoice scenario</t>
  </si>
  <si>
    <t>F-54:- Long description is wrong for TDS GL account</t>
  </si>
  <si>
    <t>Error 8I 567,8I 572 in MIGO,J1IFQ- Challans with same number</t>
  </si>
  <si>
    <t>Short dump TSV_TNEW_PAGE_ALLOC_FAILED in transaction J1IFQ</t>
  </si>
  <si>
    <t>Non deductible tax calculation and display problem in MIGO</t>
  </si>
  <si>
    <t>Wrong calculation -Reduction of capital goods duty payable</t>
  </si>
  <si>
    <t>Customer specific tab at header and details level - J1IEX</t>
  </si>
  <si>
    <t>ECS&amp;SECess not displayed in OTHR PDF print program- J_1IEIOT</t>
  </si>
  <si>
    <t>STO: Error 4F266 during Goods receipt wrt Outbound delivery.</t>
  </si>
  <si>
    <t>RW002 Error while posting excise invoice document in J1IS</t>
  </si>
  <si>
    <t>Userexit to determine cost center in transaction - MIGO</t>
  </si>
  <si>
    <t>Missing depot excise registration detail in Quarterly Report</t>
  </si>
  <si>
    <t>Incorrect opening balance for the RG1 material - J2I5/J2I6</t>
  </si>
  <si>
    <t>Wrong Vendor details displayed in RG23D register- J2I6</t>
  </si>
  <si>
    <t>Words are displayed in english in transaction MIGO &amp; J2I5</t>
  </si>
  <si>
    <t>IS-Auto: Incorrect accounting entries while doing GR- VL60</t>
  </si>
  <si>
    <t>Line item tax calculation not required when CIN is not used</t>
  </si>
  <si>
    <t>Wrong calculation of excise duties in outgoing excise - J1IJ</t>
  </si>
  <si>
    <t>No error when service tax number range not maintained- J2IUN</t>
  </si>
  <si>
    <t>Error message M3-825 in sales register - J1ISAL</t>
  </si>
  <si>
    <t>Cost Centre field is blank in Excise Posting - J1IIN</t>
  </si>
  <si>
    <t>Directory traversal in XX-CSC-INMA-FI</t>
  </si>
  <si>
    <t>XX-CSC-IT</t>
  </si>
  <si>
    <t>Italy</t>
  </si>
  <si>
    <t>IT CUP/CIG : Gap in Accounting document</t>
  </si>
  <si>
    <t>ODN IT: XBLNR_ALT empty when LFA1-STCD4 field was filled</t>
  </si>
  <si>
    <t>ISJP_PR: Print parameters for background processing</t>
  </si>
  <si>
    <t>Due date falls on holiday: Warning is missing</t>
  </si>
  <si>
    <t>Reversal of payment without clearing</t>
  </si>
  <si>
    <t>KR : Include Reversal/Reversed Documents- RFIDKRTCR 2012</t>
  </si>
  <si>
    <t>Directory traversal in XX-CSC-KR</t>
  </si>
  <si>
    <t>J_1BSA_COMPONENT_ACTIVE Kazakhstan</t>
  </si>
  <si>
    <t>Chart of accounts Kazakhstan (obsolete)</t>
  </si>
  <si>
    <t>CFD2.2: Change of default value for quantity in FI</t>
  </si>
  <si>
    <t>Mexico CFD 2.2: Parameter Type for Fiscal Regimes</t>
  </si>
  <si>
    <t>XX-CSC-NL</t>
  </si>
  <si>
    <t>Netherlands</t>
  </si>
  <si>
    <t>NL: Aggregated Scaled Dunning Charge Calculation</t>
  </si>
  <si>
    <t>XX-CSC-NO</t>
  </si>
  <si>
    <t>Norway</t>
  </si>
  <si>
    <t>Directory traversal in SAP_APPL</t>
  </si>
  <si>
    <t>SAP-APPL: Correction to class Generic XML operations</t>
  </si>
  <si>
    <t>XX-CSC-PE</t>
  </si>
  <si>
    <t>Peru</t>
  </si>
  <si>
    <t>RFCLLIB04_PE: Credit memos with positive value</t>
  </si>
  <si>
    <t>PL ERS:Enable Official Document Numbering for country Poland</t>
  </si>
  <si>
    <t>PL DP : External billing interface error</t>
  </si>
  <si>
    <t>DP PL: Dump while creating billing for delivery without SO</t>
  </si>
  <si>
    <t>Digital Signature PT: Documents posted in foreign currency</t>
  </si>
  <si>
    <t>PT : Error in calculation of SIPT_LIKP-Gross Total</t>
  </si>
  <si>
    <t>PT: First Self Billing document not signed automatically</t>
  </si>
  <si>
    <t>PT: Table SIPT_GAPS_RBKP changing non-key field to key field</t>
  </si>
  <si>
    <t>FI: Potential Directory Traversal - Portugal</t>
  </si>
  <si>
    <t>PT: Mapas Fiscais-Depreciation rate is incorrect in 32 &amp; 33</t>
  </si>
  <si>
    <t>PT: Mapa 32 multiple Correction</t>
  </si>
  <si>
    <t>PT: Mapas Fiscais - Form 32 SNC Tax area Depreciation Issue</t>
  </si>
  <si>
    <t>PT: Mapas Fiscais - Incorrect layout for PDF</t>
  </si>
  <si>
    <t>PT: Mapas Fiscais - Form 32 Correction for land Asset</t>
  </si>
  <si>
    <t>PT: Mapas Fiscais - Form 32 SNC Rounding Issue , Column 9</t>
  </si>
  <si>
    <t>PT: Mapas Fiscais - Form 32 Low Value Asset,Column 12 issue</t>
  </si>
  <si>
    <t>Mapas:Free Revaluation Form 31.00 column10-Accumulated depr.</t>
  </si>
  <si>
    <t>PT: Mapas Fiscais - Form 32 SNC PDF Correction</t>
  </si>
  <si>
    <t>PT: Mapas Fiscais - Form 32, Incorrect month calculation</t>
  </si>
  <si>
    <t>PT: Mapas Fiscais - Form 3315 PDF Correction for Column 5</t>
  </si>
  <si>
    <t>PT: Mapas Fiscais - Form 3330 and 3310 PDF Correction.</t>
  </si>
  <si>
    <t>PT: Mapas Fiscais- Form 31 SNC PDF Correction, Column 8 &amp; 12</t>
  </si>
  <si>
    <t>Hard-coded credentials in XX-CSC-RU</t>
  </si>
  <si>
    <t>Potentential modification of persisted data</t>
  </si>
  <si>
    <t>Outgoing VAT Invoice: buyer name, INN/KPP</t>
  </si>
  <si>
    <t>Outgoing Corrective Invoice: buyer name, INN/KPP</t>
  </si>
  <si>
    <t>WayBill form (RU): new BAdI parameters</t>
  </si>
  <si>
    <t>WayBill form (RU): additional BAdI parameters</t>
  </si>
  <si>
    <t>J_3RFBS_ALL:integration into new XML-hierarchy,dynamic par.</t>
  </si>
  <si>
    <t>J3RTAXREP: Balance sheet and P&amp;L XML: Russian language</t>
  </si>
  <si>
    <t>OS-3: Wrong NBV after internal transfer with two items</t>
  </si>
  <si>
    <t>GR/IR Clearing in Cash Flow Statement</t>
  </si>
  <si>
    <t>J_3RSINVOICE Positions begin from 2nd index</t>
  </si>
  <si>
    <t>J_3RFVATMM (Goods Import Declaration): new XML format 5.06</t>
  </si>
  <si>
    <t>RFHABU10 shows only first document in the list</t>
  </si>
  <si>
    <t>Program J_3rfform4 dumps due to short field</t>
  </si>
  <si>
    <t>J3RF_REGINV: Entry Maintenance Improvements</t>
  </si>
  <si>
    <t>Sales/Purchase Ledger: revisions, deleted journal records</t>
  </si>
  <si>
    <t>Sales/Purchase Ledger: customizing for MM corrections</t>
  </si>
  <si>
    <t>Invoice Journal (old): reverse documents</t>
  </si>
  <si>
    <t>RFUMSV50 : Gross amounts in ALV for 0% tax are empty</t>
  </si>
  <si>
    <t>Sales/Purchase Ledger: second/third local currency</t>
  </si>
  <si>
    <t>J_3rfum26: Batch input for separate VAT documents</t>
  </si>
  <si>
    <t>J3RFWORKWEARLIST: Quotas without issued workwear are missing</t>
  </si>
  <si>
    <t>J3RKKRD: EXIT_J_3RKORRSSP_002 is not called when saving</t>
  </si>
  <si>
    <t>RFUMSV50: BOE via FBWD for France</t>
  </si>
  <si>
    <t>Invoice Journal: reversed documents from MM</t>
  </si>
  <si>
    <t>Sales/Purchase Ledger: incorrect ledger for storno</t>
  </si>
  <si>
    <t>OS-4,4A,4B,OS-1A-OS-6,OS-6A,OS-6B: Features and corrections</t>
  </si>
  <si>
    <t>J_3rfum26: Separate VAT for on accrual method</t>
  </si>
  <si>
    <t>J3RKKRD: EXIT_J_3RKORRSSP_002 exception is not processed</t>
  </si>
  <si>
    <t>J_3RF_INV_TARG_PERIOD: Wrong reference to MM-invoice</t>
  </si>
  <si>
    <t>Sales/Purchase Ledger: CD No, XBLNR references</t>
  </si>
  <si>
    <t>J_3RFTAX_FINREZ_LIST:ALV-variant's save doesn't work</t>
  </si>
  <si>
    <t>FSV BRFB and BRFP + New CARU (translation)</t>
  </si>
  <si>
    <t>Balance Notification: wrong period on the print form</t>
  </si>
  <si>
    <t>J3RTAXREP - Wrong default value of data providers</t>
  </si>
  <si>
    <t>Chain of Corrective VAT Invoices</t>
  </si>
  <si>
    <t>Sales/Purchase Ledger: incorrect partner name</t>
  </si>
  <si>
    <t>RFUMSV50: Wrong amounts in ALV due to special currency</t>
  </si>
  <si>
    <t>J_3RFVATMM (Customs Union): Parked documents</t>
  </si>
  <si>
    <t>Electronic VAT Invoices (Russia) - fixes and improvements</t>
  </si>
  <si>
    <t>Increasing length of AMOUNT field to display a huge amounts</t>
  </si>
  <si>
    <t>Technical corrections</t>
  </si>
  <si>
    <t>V_J_3RFREGINVIN/OUT: Company Code Authority Check</t>
  </si>
  <si>
    <t>Table J_3RKNEWGLLEDGER: Change of the short description</t>
  </si>
  <si>
    <t>Sales/Purchase Ledger: corrections with negative posting</t>
  </si>
  <si>
    <t>J_3RFFORM4: extra cleared documents are found</t>
  </si>
  <si>
    <t>RFUMSV50: 2 tax codes in one document. Wrong target code</t>
  </si>
  <si>
    <t>Sales/Purchase Ledger: incoming totals for add. sheet</t>
  </si>
  <si>
    <t>Sales/Purchase Ledger: XBLNR references</t>
  </si>
  <si>
    <t>Invoice Journal (RU): reversed documents</t>
  </si>
  <si>
    <t>Sales Ledger: external numbers for incoming down payments</t>
  </si>
  <si>
    <t>INV-1 asset is not shown</t>
  </si>
  <si>
    <t>J3RTAXREP - Additional performance optimizations</t>
  </si>
  <si>
    <t>J_3RFUM26: Batch input for document with negative sign</t>
  </si>
  <si>
    <t>Balance Notification report: VAT invoice External Numbers</t>
  </si>
  <si>
    <t>Transport tax declaration form (2012) corrections</t>
  </si>
  <si>
    <t>Balance Notification: zero turnovers for contracts</t>
  </si>
  <si>
    <t>Business Function FIN_LOC_CI_35 for Russia</t>
  </si>
  <si>
    <t>Technical note: material forms, internal BAdI</t>
  </si>
  <si>
    <t>Contract accounting improvements</t>
  </si>
  <si>
    <t>Sales/Purchase Ledger: down payments, xblnr, 2nd currency</t>
  </si>
  <si>
    <t>Technical note</t>
  </si>
  <si>
    <t>J_3RF_CLEARING: processing of invoices without taxes</t>
  </si>
  <si>
    <t>Technical note: SAP internal BAdI for Cash Journal</t>
  </si>
  <si>
    <t>INV-11:last page contains only subtotals (no totals)</t>
  </si>
  <si>
    <t>Technical note: SAP internal BAdI for Cash Journal Orders</t>
  </si>
  <si>
    <t>Transfer pricing</t>
  </si>
  <si>
    <t>J_3RF_BINDING_FI_WITH_DI: Technical note</t>
  </si>
  <si>
    <t>Serveral Issues with TORG-12 printing</t>
  </si>
  <si>
    <t>Form INV-3: Market price is not printed in column 7</t>
  </si>
  <si>
    <t>1-T form (RU): address data</t>
  </si>
  <si>
    <t>Prenumbering Turkey:Problems after implementing Note 1703104</t>
  </si>
  <si>
    <t>Company code parameters: Ukraine</t>
  </si>
  <si>
    <t>Business Place Plant assignment is not saved</t>
  </si>
  <si>
    <t>Posting Date blank when transferring to external tax system</t>
  </si>
  <si>
    <t>RFYTXDISPLAY: Reason for Forced-Update in BAPI-Posting</t>
  </si>
  <si>
    <t>RFYTXDISPLAY: wrong list of cross company documents</t>
  </si>
  <si>
    <t>CRM accounting documents do not update External Tax  System</t>
  </si>
  <si>
    <t>Note 1525005: documents not relevant to be saved</t>
  </si>
  <si>
    <t>XX-PROJ-CHO-FI</t>
  </si>
  <si>
    <t>Chorus FIN Session</t>
  </si>
  <si>
    <t>Garnishment register: Converting down payment requests</t>
  </si>
  <si>
    <t>FPIA- Changing Park doc. year do not update FPIA entries</t>
  </si>
  <si>
    <t>FPIA: FINTAP generates interest doc. with negative posting</t>
  </si>
  <si>
    <t>XX-PROJ-FI</t>
  </si>
  <si>
    <t>XX-PROJ-FI-CA</t>
  </si>
  <si>
    <t>FKK_VT: Scheduling introduced at item level</t>
  </si>
  <si>
    <t>XX-TRANSL</t>
  </si>
  <si>
    <t>Translation</t>
  </si>
  <si>
    <t>XX-TRANSL-EN</t>
  </si>
  <si>
    <t>Translation EN</t>
  </si>
  <si>
    <t>Translation error in message FAGL_SWITCH_OP 043</t>
  </si>
  <si>
    <t>SAPKH60607</t>
  </si>
  <si>
    <t>OXK3: Last changer of BSEG not updated</t>
  </si>
  <si>
    <t>Function module AC_DOCUMENT_SENDER_PE</t>
  </si>
  <si>
    <t>Negative posting for reversal processes from HR</t>
  </si>
  <si>
    <t>Dialog box - accounting documents: Displaying ledger groups</t>
  </si>
  <si>
    <t>Field SEPA mandate ID for BAPI_ACC_DOCUMENT_POST</t>
  </si>
  <si>
    <t>Archiving for enhanced update of ACCTIT</t>
  </si>
  <si>
    <t>RW 614 if BAPI is called without item data</t>
  </si>
  <si>
    <t>BAPI: BKPF-TXKRS different than passed exchange rate</t>
  </si>
  <si>
    <t>Error 00 344 when posting parked documents with tax item</t>
  </si>
  <si>
    <t>ACC_ECS_LIST: Compa Code checked and BUK not used as default</t>
  </si>
  <si>
    <t>ACC_ECS_LIST: Free Seloption not used after variant loaded</t>
  </si>
  <si>
    <t>Messages double in Sequence Post</t>
  </si>
  <si>
    <t>GLE_ECS_MAPI 121 when reversing a doc posted via BAPI</t>
  </si>
  <si>
    <t>ECS Manual Correction: Posting period is not open</t>
  </si>
  <si>
    <t>Code injection vulnerability in AP-MD-BF-SYN</t>
  </si>
  <si>
    <t>Correction of notes 1099167 and 1151569</t>
  </si>
  <si>
    <t>SAP BP: Inconsistency created when contact person is deleted</t>
  </si>
  <si>
    <t>SAP BP: ASSERTION_FAILED error during synchronization</t>
  </si>
  <si>
    <t>STCD5 field is not considered during CVI</t>
  </si>
  <si>
    <t>BP SYN: 2 business partners cant have same payment cards</t>
  </si>
  <si>
    <t>AP-MD-PRO</t>
  </si>
  <si>
    <t>Product</t>
  </si>
  <si>
    <t>AP-MD-PRO-SYN</t>
  </si>
  <si>
    <t>Product Synchronizat</t>
  </si>
  <si>
    <t>Potential disclosure of persisted data in AP-MD-PRO-SYN</t>
  </si>
  <si>
    <t>BC-SRV-ALV</t>
  </si>
  <si>
    <t>SAP List Viewer</t>
  </si>
  <si>
    <t>Remove obsolete functionality in package K_CM_EXTRACT</t>
  </si>
  <si>
    <t>Performance when extracting classifications</t>
  </si>
  <si>
    <t>Incorrect characteristics deleted in CTBW</t>
  </si>
  <si>
    <t>Invalid field names containing '__'</t>
  </si>
  <si>
    <t>BW-BCT: Line item extractor for overhead costs: Performance</t>
  </si>
  <si>
    <t>BW-BCT: FI-FM extraction: Period selection</t>
  </si>
  <si>
    <t>0CO_PC_PCP_10: Incorrect currency key</t>
  </si>
  <si>
    <t>DataSource 0CO_PC_PCP_30:Mixed costing extracted incorrectly</t>
  </si>
  <si>
    <t>0CO_PC_PCP_03: Bad performance reading table MARA</t>
  </si>
  <si>
    <t>Field RTCUR (transaction currency key) missing in 0EC_PCA_1</t>
  </si>
  <si>
    <t>0ASSET_ATTR: Extraction leads to runtime error</t>
  </si>
  <si>
    <t>3EC_PCA_3: TIMESTAMP not filled</t>
  </si>
  <si>
    <t>0FI_GL_14 does not extract all changed or cleared documents</t>
  </si>
  <si>
    <t>0FI_GL_10 with upper safety interval: Missing data</t>
  </si>
  <si>
    <t>Incorrect update when taking back delivery</t>
  </si>
  <si>
    <t>BW-BCT-MM-IV</t>
  </si>
  <si>
    <t>OLI6BW: Runtime error MESSAGE_TYPE_X during setup</t>
  </si>
  <si>
    <t>OLI6BW: Field AREWR / AREWW not filled</t>
  </si>
  <si>
    <t>BW: Incorrect statistics from Outline Agreement change BAPI</t>
  </si>
  <si>
    <t>Error 'BS001' during extraction of maintenance items</t>
  </si>
  <si>
    <t>Extractor 0PM_PRM_PLCS_1: message C+065 in job log</t>
  </si>
  <si>
    <t>Parameter PLANAL in extractor 0PM_PRM_PLCS_1</t>
  </si>
  <si>
    <t>0PM_PRMLCS_1 parameter handling TLIST_DATE</t>
  </si>
  <si>
    <t>0PM_PRM_PLCS_1: Simulated planned costs are too high</t>
  </si>
  <si>
    <t>The PS-DataSources for dates allocate a lot of memory</t>
  </si>
  <si>
    <t>BW-BCT-QM</t>
  </si>
  <si>
    <t>OLIQBW: Message QMEX010</t>
  </si>
  <si>
    <t>BW-BCT-SD</t>
  </si>
  <si>
    <t>BW-BCT-SD-BIL</t>
  </si>
  <si>
    <t>Product hierarchy: Runtime error ITAB_ILLEGAL_SORT_ORDER</t>
  </si>
  <si>
    <t>Duprec record  1#SEPA_MANDATES_DB_UPDATE</t>
  </si>
  <si>
    <t>Conflict detected at Struct_ID = '&amp;1' and Sync Key = '&amp;2'.</t>
  </si>
  <si>
    <t>CA-CL-CHR</t>
  </si>
  <si>
    <t>Characteristics</t>
  </si>
  <si>
    <t>CT04: Perform. problems if "Interval Values Allowed" removed</t>
  </si>
  <si>
    <t>DRF: Short Dump on Initial transfer of Source of Supply</t>
  </si>
  <si>
    <t>DRFOUT: Deleted Vendor also replicated during Initialization</t>
  </si>
  <si>
    <t>Short dump in PSOS transfer</t>
  </si>
  <si>
    <t>Vendor description is not maintained in different languages</t>
  </si>
  <si>
    <t>Vendor description is not maintained in multiple languages.</t>
  </si>
  <si>
    <t>DRFOUT: Timeout during PMPL transfer in delta mode</t>
  </si>
  <si>
    <t>DRFOUT/PMPL: Article gets listed on 9999-12-31</t>
  </si>
  <si>
    <t>DRFOUT: Transfer of Source of Supply fails in INIT mode</t>
  </si>
  <si>
    <t>DRFOUT: Replicating PMPL in delta mode results in short dump</t>
  </si>
  <si>
    <t>Activation of transfer of location hierarchies</t>
  </si>
  <si>
    <t>Timeout during parallelized PMPL initialization</t>
  </si>
  <si>
    <t>Listing changes are not picked up by DRFOUT</t>
  </si>
  <si>
    <t>Runtime error for DRFOUT for PSPR in parallel change mode</t>
  </si>
  <si>
    <t>Time out when running DRFOUT with PMPL in change mode</t>
  </si>
  <si>
    <t>Runtime error for DRFOUT for PMPL when site is missing</t>
  </si>
  <si>
    <t>DRFOUT/PMPL process records with empty location value</t>
  </si>
  <si>
    <t>Extension table in supplier replication function is missing</t>
  </si>
  <si>
    <t>Transfer of ERP promotions to SAP PMR (downport)</t>
  </si>
  <si>
    <t>Incorrect timestamps causes importing error from staging</t>
  </si>
  <si>
    <t>Transfer of business groups/hierarchies to DMF system</t>
  </si>
  <si>
    <t>Transfer location hierarchy to DMF, check Customizing</t>
  </si>
  <si>
    <t>DRFOUT PMPL parallel delta mode unnecessarily resends data</t>
  </si>
  <si>
    <t>FTP destination not considered when creating/changing DIRs</t>
  </si>
  <si>
    <t>ACL Inheritance is in complete</t>
  </si>
  <si>
    <t>Uploading files with file name more than 132 characters long</t>
  </si>
  <si>
    <t>Object links with Screen 500 do not consider customizing</t>
  </si>
  <si>
    <t>ITS:No Error while displaying the inaccessible file</t>
  </si>
  <si>
    <t>Wrong Search help used for object DRAW</t>
  </si>
  <si>
    <t>CV02N :short dump when navigating to the object links tab.</t>
  </si>
  <si>
    <t>Digital signatures : Incomplete signature process</t>
  </si>
  <si>
    <t>DIR Status field editable even after setting it to display</t>
  </si>
  <si>
    <t>Directory traversal in CA-DMS</t>
  </si>
  <si>
    <t>CV02N: Screen Values entered for object links are lost.</t>
  </si>
  <si>
    <t>Error, if there is no thumbnail file in document</t>
  </si>
  <si>
    <t>Selecting part in Viewer doesnt change BCV sidepanel</t>
  </si>
  <si>
    <t>Customization Changes</t>
  </si>
  <si>
    <t>ATS+2 improvments</t>
  </si>
  <si>
    <t>Error message while register a Document for Conversion</t>
  </si>
  <si>
    <t>Change in transformation for Single and Multiple Conversion</t>
  </si>
  <si>
    <t>Error in storing originals after conversion in new document</t>
  </si>
  <si>
    <t>Customizing Entries for View Map Tag Name to Tag Category</t>
  </si>
  <si>
    <t>Authorization check missing in PDF Conversion</t>
  </si>
  <si>
    <t>Problem when switching class type in CV02N</t>
  </si>
  <si>
    <t>Incorrect code flow in the function module CV150_UPDATE_DOC</t>
  </si>
  <si>
    <t>Parameter 'CV1' not considered from IE02 transaction</t>
  </si>
  <si>
    <t>Improper behavior when filepath is left blank in CV01N/CV02N</t>
  </si>
  <si>
    <t>Object links not updated correctly in BAPI_DOCUMENT_CHANGE2</t>
  </si>
  <si>
    <t>CV04N Locks Classification (KSSKX) Object in Display Mode</t>
  </si>
  <si>
    <t>Start Authorization customizing  in EDMS/PLMWUI</t>
  </si>
  <si>
    <t>Start Authorization customization is not valid for NonKpro</t>
  </si>
  <si>
    <t>CV04N: Document Search Enhancements, Improvement Note</t>
  </si>
  <si>
    <t>CV04N: Document Search Enhancements, Preparation note</t>
  </si>
  <si>
    <t>Delivering entry in the table TCV100SWITCH</t>
  </si>
  <si>
    <t>CV04N:Wrong results while searching with DIR Status and Date</t>
  </si>
  <si>
    <t>CA-EPT-VE-VEV</t>
  </si>
  <si>
    <t>Downport VE Viewer Integration into EHP6 and EHP5</t>
  </si>
  <si>
    <t>DMEE: Destroyed formats after change</t>
  </si>
  <si>
    <t>FTWH: Long processing time for creating view files</t>
  </si>
  <si>
    <t>FTW1A:Error SG805 was issued during creation of extracts</t>
  </si>
  <si>
    <t>FWT1A: FI Control Total for multiple company codes</t>
  </si>
  <si>
    <t>FTWB: File selection not working to all archiving objects</t>
  </si>
  <si>
    <t>Archive tables TXW_S_GLT0,TXW_S_LFC1 &amp; TXW_S_KNC1 not filled</t>
  </si>
  <si>
    <t>FTWL: DR files not deleted</t>
  </si>
  <si>
    <t>Import from archive - existence check not correct</t>
  </si>
  <si>
    <t>Master data extraction for plant incomplete</t>
  </si>
  <si>
    <t>Enablement of New Transaction with Side Panel</t>
  </si>
  <si>
    <t>CA-IAM</t>
  </si>
  <si>
    <t>Issue &amp; Activity Management</t>
  </si>
  <si>
    <t>CA-IAM-QIM</t>
  </si>
  <si>
    <t>Quality Issue Mgmt</t>
  </si>
  <si>
    <t>Statuswechsel Meldungen &amp; Maßnahmen via BAPI &amp; dig. Signatur</t>
  </si>
  <si>
    <t>Joint Vent. /Prod Sh</t>
  </si>
  <si>
    <t>JVA Collective note: Suite on HANA Changes</t>
  </si>
  <si>
    <t>MDG: Existing Value Mapping for Company Code disappeared</t>
  </si>
  <si>
    <t>MDG: Incorrect message in log in case of initial load</t>
  </si>
  <si>
    <t>MDG: Customer/supplier not created</t>
  </si>
  <si>
    <t>Error KM003 during replication of PCTR master data</t>
  </si>
  <si>
    <t>PRCTR attribute SEGMENT causes replication difficulties</t>
  </si>
  <si>
    <t>CCTR change replication moves CCTR to top hierarchy node</t>
  </si>
  <si>
    <t>KBAS_XI_PROXY 074 during cost center hierarchy replication</t>
  </si>
  <si>
    <t>MDG Customer/Supplier Extension Check</t>
  </si>
  <si>
    <t>Required fields - bank data</t>
  </si>
  <si>
    <t>Performance Improvement Sales Price Replication</t>
  </si>
  <si>
    <t>CATS WDA: some records are automatically getting approved</t>
  </si>
  <si>
    <t>CA-TS-PS</t>
  </si>
  <si>
    <t>Integr.Project Syst.</t>
  </si>
  <si>
    <t>Cancelled Confirmation does not reduce the Actual Work</t>
  </si>
  <si>
    <t>CO-OM tools: Exit for database hint</t>
  </si>
  <si>
    <t>Table analysis: Progress message for background processing</t>
  </si>
  <si>
    <t>CO-OM tools: Display variant not recognized</t>
  </si>
  <si>
    <t>CO-OM tools: Name of table in screen header</t>
  </si>
  <si>
    <t>RKACOR04 generates inconsistencies</t>
  </si>
  <si>
    <t>CO_ORDER: Incorrect message type for success messsage KR 374</t>
  </si>
  <si>
    <t>CO_ITEM: Read pgm terminates w/ short dump FULL_TABLE_EMPTY</t>
  </si>
  <si>
    <t>CO-OM tools: drilldown for several lines</t>
  </si>
  <si>
    <t>RKOBSHOW: progress message for background processing</t>
  </si>
  <si>
    <t>Short dump during template alloc.: DBIF_RSQL_INVALID_RSQL</t>
  </si>
  <si>
    <t>Template allocation: Short dump MESSAGE_TYPE_X</t>
  </si>
  <si>
    <t>KSOP: Long runtime during the planned order selection</t>
  </si>
  <si>
    <t>CO-OM-ABC-A</t>
  </si>
  <si>
    <t>Error in cost objects master data report</t>
  </si>
  <si>
    <t>Template allocation: Error during reversal with KPAS</t>
  </si>
  <si>
    <t>Template Allocation: Maintenance of flexible functions</t>
  </si>
  <si>
    <t>Actual splitting: Incorrect splitting for stat. key figures</t>
  </si>
  <si>
    <t>Actual cost component split in object currency incorrect</t>
  </si>
  <si>
    <t>COGM: Update of cost component split, BAdI for splitting</t>
  </si>
  <si>
    <t>KSII: No revaluation if FIN_CO_COGM active</t>
  </si>
  <si>
    <t>OKEON: Message KS 152 when changing cost center</t>
  </si>
  <si>
    <t>ALE: message type COSCOR generates IDocs with incorr. texts</t>
  </si>
  <si>
    <t>Neue Planung im CO: Texte von Hierarchieknoten fehlen</t>
  </si>
  <si>
    <t>Neue Planung im CO: Queries ohne Summenzeilen</t>
  </si>
  <si>
    <t>Problems in K_23D_EXECUTE_REPOSTING w/ profitability segmts</t>
  </si>
  <si>
    <t>KB61/KB65: BK210 during reposting w/ intl order from CRM</t>
  </si>
  <si>
    <t>ALLOCATIONS: Incorrect error GA 776</t>
  </si>
  <si>
    <t>Allocations: functional area and segment for joint venture</t>
  </si>
  <si>
    <t>SAP HANA: ALLOCATION: Parallel processing</t>
  </si>
  <si>
    <t>ALLOCATION: Message GA 710 is missing in collective executn</t>
  </si>
  <si>
    <t>ALLOCATION: Performance of WBS elements</t>
  </si>
  <si>
    <t>HANA allocation processor: systems w/o hybrid database II</t>
  </si>
  <si>
    <t>Cost Element Acctg</t>
  </si>
  <si>
    <t>Text change in FI document is not transferred to CO</t>
  </si>
  <si>
    <t>CO-OM-CEL-A</t>
  </si>
  <si>
    <t>KA02: Functional area cannot be changed</t>
  </si>
  <si>
    <t>KB14N/KB17N/KB44N/KB64:  Reversal to corrupt special period</t>
  </si>
  <si>
    <t>Funds blocking: Error message KI806</t>
  </si>
  <si>
    <t>FI posting: CO period lock not checked</t>
  </si>
  <si>
    <t>Incorrect prices for repeated call of BWOM_RS_GET_CTRPRICE</t>
  </si>
  <si>
    <t>KAEP_ACC: Enhancements for currency handling</t>
  </si>
  <si>
    <t>BW: Order type is ignored for operation selection</t>
  </si>
  <si>
    <t>SARA: report RKCOITS4 - duplicate archive selection</t>
  </si>
  <si>
    <t>LI report from archive: message KB 203 with implausible no.</t>
  </si>
  <si>
    <t>KAFD Error message SG105 'Enter rate'</t>
  </si>
  <si>
    <t>Internal order: Field control for functional area incorrect</t>
  </si>
  <si>
    <t>KSA3/KGI2, short dump GETWA_NOT_ASSIGNED, LKASCF02</t>
  </si>
  <si>
    <t>Dump "HIERASO_NOT_FOUND" in CO Planning Applications</t>
  </si>
  <si>
    <t>ALLOCATION:Avail control issues error inst. of warning+mail</t>
  </si>
  <si>
    <t>Long runtime for commitment carried forward</t>
  </si>
  <si>
    <t>KSI4: Short dump GETWA_NOT_ASSIGNED</t>
  </si>
  <si>
    <t>KON1, KON2: Error FAGL_COFI 004</t>
  </si>
  <si>
    <t>Realtime Overhead: Document has not been posted</t>
  </si>
  <si>
    <t>Sttlmnt rule:Rule w/ FM K_SETTLEMENT_RULE_DELETE not deleted</t>
  </si>
  <si>
    <t>Settlemnt rule list displ: Receiver real estate obj w/o text</t>
  </si>
  <si>
    <t>CO document: gaps in numbering of line items</t>
  </si>
  <si>
    <t>Missing profitability segments since EHP5 or Note 1287794</t>
  </si>
  <si>
    <t>KE28: Long runtime if active results log</t>
  </si>
  <si>
    <t>KE28L: Selection screen for KE28L</t>
  </si>
  <si>
    <t>KE28 account based: posting data is last day in period.</t>
  </si>
  <si>
    <t>KE28: Update despite derivation error</t>
  </si>
  <si>
    <t>Error KE 499 when saving a service notification</t>
  </si>
  <si>
    <t>IDOC_INPUT_ACLREC: Error KE 109 for valid unit of measure</t>
  </si>
  <si>
    <t>CL_RKE_VP_MASTERDATA - adjustment of RSCHAVL</t>
  </si>
  <si>
    <t>KEHA: Information model cannot be imported</t>
  </si>
  <si>
    <t>Cost estimate without quantity structure is not found</t>
  </si>
  <si>
    <t>MM02: Error C+048 after changing price unit</t>
  </si>
  <si>
    <t>CKMM: Valuation class in previous period deleted</t>
  </si>
  <si>
    <t>Error in multilevel price determination (2)</t>
  </si>
  <si>
    <t>HDB Accelerator: Various corrections</t>
  </si>
  <si>
    <t>Runtime Error C+099 FORM/FUNCTION get_missing_curr_data</t>
  </si>
  <si>
    <t>Long runtime of order settlement</t>
  </si>
  <si>
    <t>Error C+114 in material ledger</t>
  </si>
  <si>
    <t>Missing sales document item for transaction based settlement</t>
  </si>
  <si>
    <t>Enhancements to standard modifications for HDB Accelerator</t>
  </si>
  <si>
    <t>Account determination MR22</t>
  </si>
  <si>
    <t>MR11: Functional Area is filled in balance sheet account</t>
  </si>
  <si>
    <t>Memory overflow in multilevel price determination</t>
  </si>
  <si>
    <t>RKKBALV1: dump MESSAGE_TYPE_X</t>
  </si>
  <si>
    <t>Accelerated CO-PC: Tables in HDBC are displayed incorrectly</t>
  </si>
  <si>
    <t>Termination with CONVT_NO_NUMBER in the program RKKBFCOD</t>
  </si>
  <si>
    <t>S_ALR_87013162: consistency check of ALV displayed</t>
  </si>
  <si>
    <t>KKO0 - no records are selected, also if data is collected</t>
  </si>
  <si>
    <t>KKBC: call of line items not possible - message KB420</t>
  </si>
  <si>
    <t>Avail.</t>
  </si>
  <si>
    <t>CO02: No information for messages in calculation</t>
  </si>
  <si>
    <t>PRT: User exit does not support cost apportionment</t>
  </si>
  <si>
    <t>Different target costs after technical upgrade</t>
  </si>
  <si>
    <t>CJ20n: Able to change WBS number to an existing number</t>
  </si>
  <si>
    <t>Long runtime due to access to ABAP Dictionary information</t>
  </si>
  <si>
    <t>CKAPP03: no output list for execution in background</t>
  </si>
  <si>
    <t>Production order, planned costs: error message KK689</t>
  </si>
  <si>
    <t>Goods receipt in valuated project stock valuated incorrectly</t>
  </si>
  <si>
    <t>CK11N: Price for subcontracting incorrect</t>
  </si>
  <si>
    <t>CO-PC-PCP-PRU</t>
  </si>
  <si>
    <t>Price Updates</t>
  </si>
  <si>
    <t>SAPRCK23: No price update</t>
  </si>
  <si>
    <t>ECP: Additional fields are not included in drag and drop</t>
  </si>
  <si>
    <t>CKECP: Locks remain</t>
  </si>
  <si>
    <t>ECP, message M3-351: Material &amp; not maintained in plant &amp;</t>
  </si>
  <si>
    <t>Superfluous code deleted</t>
  </si>
  <si>
    <t>Base object costing: incorrect multilevel explosion</t>
  </si>
  <si>
    <t>CK11N: Saving possible despite message CK 169</t>
  </si>
  <si>
    <t>CK11N: Error message CK 323 for valuation w/ purchase price</t>
  </si>
  <si>
    <t>CK11N: Messages CK 749 and CK 404 are unjustified</t>
  </si>
  <si>
    <t>CK40N: Recosting is incorrect</t>
  </si>
  <si>
    <t>CK11N:Price in controlling area currency cannot be explained</t>
  </si>
  <si>
    <t>Rounding problem when changing cost base</t>
  </si>
  <si>
    <t>Order BOM cost estimate: warning CK758 in background</t>
  </si>
  <si>
    <t>CK40N: Transfer control incorrect in dialog processing</t>
  </si>
  <si>
    <t>Costing run: Messages CK 723 and CK 740 unjustified</t>
  </si>
  <si>
    <t>CRM-BF</t>
  </si>
  <si>
    <t>CRM-BF-CFG</t>
  </si>
  <si>
    <t>Product Configuratio</t>
  </si>
  <si>
    <t>CU34 does not check CURRENCY characteristic</t>
  </si>
  <si>
    <t>CRM-BF-CM</t>
  </si>
  <si>
    <t>Schedule line indicator after replication of CRM documents</t>
  </si>
  <si>
    <t>One time customer in ERP contains database address</t>
  </si>
  <si>
    <t>Quantity of item is not updated</t>
  </si>
  <si>
    <t>Queue R3AD_SAL_ERR in SYSFAIL status in complaint scenarios</t>
  </si>
  <si>
    <t>Rejection does not work for several items</t>
  </si>
  <si>
    <t>R3AD_SAL_ERR: Switch to singel queue processing</t>
  </si>
  <si>
    <t>Display of CRM Activities in the ERP contract document flow</t>
  </si>
  <si>
    <t>Problems with note 1728141</t>
  </si>
  <si>
    <t>CRM-LOC-BR</t>
  </si>
  <si>
    <t>CRM Brazil- new tax classifications for material origin</t>
  </si>
  <si>
    <t>SDIMA performance issue for relationship comparison</t>
  </si>
  <si>
    <t>Partner function change in XD07 doesn't replicate correctly</t>
  </si>
  <si>
    <t>Custom field value overwritten during request load in CRM</t>
  </si>
  <si>
    <t>Support CUSTOMER_REL request load filters on KNVV sales area</t>
  </si>
  <si>
    <t>CRM-MKT-SEG</t>
  </si>
  <si>
    <t>Segmentation</t>
  </si>
  <si>
    <t>No header data found error for the transfer to ERP bdoc's</t>
  </si>
  <si>
    <t>Update errors DUMP SAPSQL_ARRAY_INSERT_DUPREC in ECC</t>
  </si>
  <si>
    <t>Incorrect partner address for contact person role in notif.</t>
  </si>
  <si>
    <t>QM01/QM02: missing mandatory partners for notif. type change</t>
  </si>
  <si>
    <t>BAPI_SERVNOT_MODIFY_DATA: Closing appl log after ITOB checks</t>
  </si>
  <si>
    <t>IE02 / IE03 Serial number history doesn't display order no.</t>
  </si>
  <si>
    <t>Upgrade missing from SAP Note 833896</t>
  </si>
  <si>
    <t>Unjustified error message GK 848 for clearing item</t>
  </si>
  <si>
    <t>Methodenwechsel als Kontrollübergang</t>
  </si>
  <si>
    <t>The last log of Periodic Extract is not saved</t>
  </si>
  <si>
    <t>FI document is not transferred to EC-CS</t>
  </si>
  <si>
    <t>EC-CS-IS</t>
  </si>
  <si>
    <t>Active Excel - Auxiliary tracing tool for new AXL</t>
  </si>
  <si>
    <t>EC-EIS-DB</t>
  </si>
  <si>
    <t>Database</t>
  </si>
  <si>
    <t>Dummy note for deletion of Program RKCDMREF</t>
  </si>
  <si>
    <t>Drilldown reporting: wrong data selection after F4 help</t>
  </si>
  <si>
    <t>graphical output: leading spaces in detail screen missing</t>
  </si>
  <si>
    <t>No texts for EPRCTR in Profit center accounting (drilldown)</t>
  </si>
  <si>
    <t>Error message on display of form overview</t>
  </si>
  <si>
    <t>KE80 - F4 help for profit center with wrong values</t>
  </si>
  <si>
    <t>missing texts after translation of report header</t>
  </si>
  <si>
    <t>KE80 - wrong default value for controlling area</t>
  </si>
  <si>
    <t>KE80 - period text according to selected controlling area</t>
  </si>
  <si>
    <t>Recherche: Rechenschema fehlt in der Berichtsdefinition</t>
  </si>
  <si>
    <t>Profit Center Accounting</t>
  </si>
  <si>
    <t>EC-PCA-ACT-AL</t>
  </si>
  <si>
    <t>Allocations</t>
  </si>
  <si>
    <t>Allocation: F4 for cycles doesn't work on the Execute screen</t>
  </si>
  <si>
    <t>EC-PCA-ACT-PE</t>
  </si>
  <si>
    <t>Periodic Data Transf</t>
  </si>
  <si>
    <t>1KEI: Incorrect values for assets from legacy data transfer</t>
  </si>
  <si>
    <t>EC-PCA-TL-ARC</t>
  </si>
  <si>
    <t>EC_PCA_ITM/SUM ILM Enablement: Checks for Data Destruction</t>
  </si>
  <si>
    <t>EHS-HEA</t>
  </si>
  <si>
    <t>Occupational Health</t>
  </si>
  <si>
    <t>Possible change of persisted data in EHS-HEA</t>
  </si>
  <si>
    <t>Possible change/disclosure of persisted data in EH&amp;S</t>
  </si>
  <si>
    <t>EIM</t>
  </si>
  <si>
    <t>Enterprise information management solutions</t>
  </si>
  <si>
    <t>EIM-DS</t>
  </si>
  <si>
    <t>Data Services</t>
  </si>
  <si>
    <t>SAP DataServices Functions for ECC (SAP_APPL)</t>
  </si>
  <si>
    <t>Unauthorized modification of stored content in PLANT_MANAGER</t>
  </si>
  <si>
    <t>Portal:Unable to edit partner address for a existing partner</t>
  </si>
  <si>
    <t>ISR: GET_SPECIAL_DATA_WITH_INDEX returns incorrect value</t>
  </si>
  <si>
    <t>Dump while completing the notification process</t>
  </si>
  <si>
    <t>Authority_check parameter for ISR_ACTOR_FOR_ROLE_GET</t>
  </si>
  <si>
    <t>BW CO-OM: multiple extraction of cost centers</t>
  </si>
  <si>
    <t>CPPR: Send to External Sourcing triggers two messages</t>
  </si>
  <si>
    <t>EP-PCT-SD</t>
  </si>
  <si>
    <t>Sales &amp; Distribution Packages</t>
  </si>
  <si>
    <t>EP-PCT-SD-S</t>
  </si>
  <si>
    <t>BP for Sales</t>
  </si>
  <si>
    <t>Default sales area not displaying in customer cockpit</t>
  </si>
  <si>
    <t>Name field is too short in LCM_APPLICATION webdynpro.</t>
  </si>
  <si>
    <t>Access to (individual) asset data during the update</t>
  </si>
  <si>
    <t>Access to asset master record data during update</t>
  </si>
  <si>
    <t>RAJABS00 - Line break in ALV list</t>
  </si>
  <si>
    <t>Error messages during determ. of default values for fund</t>
  </si>
  <si>
    <t>Erorrs in check of time-dependent depreciation terms</t>
  </si>
  <si>
    <t>BAPI_FIXEDASSET_CREATE1: Depreciation terms</t>
  </si>
  <si>
    <t>Change of organizational unit with posting: Error AAPO 189</t>
  </si>
  <si>
    <t>AMOC006 when you manually reorganize fixed assets</t>
  </si>
  <si>
    <t>Depreciation parameters filled incorrectly in validation</t>
  </si>
  <si>
    <t>RAALTD11 - Asset value date in document header is empty</t>
  </si>
  <si>
    <t>ASSERTION_FAILED when changing asset subnumber</t>
  </si>
  <si>
    <t>Dump DATA_LENGTH_0 when creating or changing assets</t>
  </si>
  <si>
    <t>Location: error 00 058 when creating multiple assets</t>
  </si>
  <si>
    <t>Anlegen mehrerer Anlagen mit konfigurierbarem Eingabebild</t>
  </si>
  <si>
    <t>Changeover after the end of the useful life not mid-year</t>
  </si>
  <si>
    <t>RAAUFW02: New valuation with depreciation to the day</t>
  </si>
  <si>
    <t>ABAVN: retirement for multiple assets with same group asset</t>
  </si>
  <si>
    <t>Reversing settlement results in error F5 814</t>
  </si>
  <si>
    <t>FBA7: Error SG105 for posting of down payment to asset</t>
  </si>
  <si>
    <t>Incorrect or no segment derived for asset posting</t>
  </si>
  <si>
    <t>F5 702 when settling to external receivers</t>
  </si>
  <si>
    <t>Incorrect transaction type during summary settlement to AuC</t>
  </si>
  <si>
    <t>AIST: Reversal possible even though target asset deactivated</t>
  </si>
  <si>
    <t>ABUMN: trading partner business area incomplete</t>
  </si>
  <si>
    <t>Various errors for retirement to special asset (ret. type 3)</t>
  </si>
  <si>
    <t>Error AAPO 180 for retirement with quantity</t>
  </si>
  <si>
    <t>AIBU: Error message AA 821 after changing asset number</t>
  </si>
  <si>
    <t>Settl of independent AuC: Err message AA 464 after reversal</t>
  </si>
  <si>
    <t>Settlement of independent AuC: Different transfer variant</t>
  </si>
  <si>
    <t>RAPERB2000/RAPOST2000: error FS 214 in migration phase 0</t>
  </si>
  <si>
    <t>AR29N:New valuation without depreciation write off incorrect</t>
  </si>
  <si>
    <t>RAGITT_ALV01: Runtime error GETWA_NOT_ASSIGNED</t>
  </si>
  <si>
    <t>RAANLA_ALV01 - incorrect report date</t>
  </si>
  <si>
    <t>RASIMU02 Incorrect deprec. values after legacy data transfer</t>
  </si>
  <si>
    <t>RAGITT_ALV01 - Missing "Asset History Sheet Version" heading</t>
  </si>
  <si>
    <t>RAABST02: Differences for ledger scenarios and group assets</t>
  </si>
  <si>
    <t>Reporting - account determination</t>
  </si>
  <si>
    <t>RAXPRA02 obsolete in current release</t>
  </si>
  <si>
    <t>Transaktionswährungsumstellung: Hilfsfunktionen</t>
  </si>
  <si>
    <t>Overlapping of dates for material info record</t>
  </si>
  <si>
    <t>Validity check for Material Sustainability data in DB</t>
  </si>
  <si>
    <t>Insufficient error details while uploding duplicate record</t>
  </si>
  <si>
    <t>Field Tax number 5 in search helps for vendor and customer</t>
  </si>
  <si>
    <t>EnjoySAP: Baseline date for payment is not adjusted (III)</t>
  </si>
  <si>
    <t>FBV0/FIPP.POST/FBD5: Cash disc terms overwritted w/ posting</t>
  </si>
  <si>
    <t>FB01/One-time account: No check of STCD3</t>
  </si>
  <si>
    <t>FB05/Command: "Reference key 3" field is ready for input</t>
  </si>
  <si>
    <t>Invoice posted net with direct tax</t>
  </si>
  <si>
    <t>FB02: BSIP-WRBTR is overwritten with new value</t>
  </si>
  <si>
    <t>FI: ZTERM transferred from master record even though hidden</t>
  </si>
  <si>
    <t>F110: Transferring profit center to bill/ex. payment request</t>
  </si>
  <si>
    <t>F110: Custom selection for batch input</t>
  </si>
  <si>
    <t>F110 Balance for down payments in foreign currencies</t>
  </si>
  <si>
    <t>F110: Cash discount rounding causes exch. rate diff. posting</t>
  </si>
  <si>
    <t>SEPA: Direct debit pre-notification</t>
  </si>
  <si>
    <t>Transaktionswährungsumstellung: Zahlprogramm</t>
  </si>
  <si>
    <t>F110/F111: IBAN for house and correspondence banks</t>
  </si>
  <si>
    <t>F110/F111: IBAN for correspondence banks</t>
  </si>
  <si>
    <t>F110: Short key for house bank is missing in bank line item</t>
  </si>
  <si>
    <t>F110: Incorrect splitting of items</t>
  </si>
  <si>
    <t>F110: Authorization check for "Create Lists" indicator</t>
  </si>
  <si>
    <t>Processing Due Dates for Payment Requests II</t>
  </si>
  <si>
    <t>F110: Message during SEPA mandate check is too general</t>
  </si>
  <si>
    <t>Change a long bank account number in PRL Editing</t>
  </si>
  <si>
    <t>F110/F111: BAdI for SEPA mandate usage (2)</t>
  </si>
  <si>
    <t>F110/F111: Message output when executing SEPA BAdI</t>
  </si>
  <si>
    <t>SEPA Mandates: Synchronization Between CRM and FI-AR</t>
  </si>
  <si>
    <t>F110: Message FZ 266 for zero clearing</t>
  </si>
  <si>
    <t>F110/SEPA: Termination during check of EU calendar (FZ 793)</t>
  </si>
  <si>
    <t>F110/SEPA: Alternative payee for vendor clearing</t>
  </si>
  <si>
    <t>F110: Exception BCD_FIELD_OVERFLOW</t>
  </si>
  <si>
    <t>F110/F111: Err after changing creditor identifier in mandate</t>
  </si>
  <si>
    <t>F110/F111/SEPA: TARGET calendar is not taken into account</t>
  </si>
  <si>
    <t>F110/F111: "Superseding" SEPA mandates (2)</t>
  </si>
  <si>
    <t>CGI: DMEE XML Format as per ISO20022</t>
  </si>
  <si>
    <t>FI_XML_CT: Issue with 'STRD' tag in trade union payments</t>
  </si>
  <si>
    <t>RFESR000:Wrong BI generated in case of double payments</t>
  </si>
  <si>
    <t>RFEBNO00:Bank files are incorrectly processed by the report</t>
  </si>
  <si>
    <t>RFFOES_T: ISO Country Code populated incorrect in record 055</t>
  </si>
  <si>
    <t>RFFOJP_L: Accounting data record not generated in output DME</t>
  </si>
  <si>
    <t>RFIDATEB00: Extended Business Transaction codes by STUZZA</t>
  </si>
  <si>
    <t>RFEBIT00: KUKEY error; counter sequence determination</t>
  </si>
  <si>
    <t>GB_BACS: Payment date populated in UHL1 record is incorrect</t>
  </si>
  <si>
    <t>RFFOM100:HR_MBB_SAL:New IC number repeated in salary file</t>
  </si>
  <si>
    <t>RFEBBECODA00: Bank Key not be populated for IBAN in UMSATZ</t>
  </si>
  <si>
    <t>DMEE: BE_BEPDTA_FOR: Wrong Currency code for Housebank</t>
  </si>
  <si>
    <t>RFFOM100:HR_MBB_SAL: Passport Number is Displayed Incorrect</t>
  </si>
  <si>
    <t>RFEBBECODA00:DME number was not passed in the multicash file</t>
  </si>
  <si>
    <t>DMEE:SE_BANKGIROT: Sweden: Payment Order number in the file</t>
  </si>
  <si>
    <t>RFFOIT_FOR:Value EMI to be passed for exceeding amount in P9</t>
  </si>
  <si>
    <t>RFFOGB_T: Incorrect Julian date in UHL1 for 31st December</t>
  </si>
  <si>
    <t>RFFONO_T:Grouping Invoice and Credit Memo based on SCB Indic</t>
  </si>
  <si>
    <t>Correspondence does not display IBAN</t>
  </si>
  <si>
    <t>Transaktionswährungsumstellung: Kontoauszug</t>
  </si>
  <si>
    <t>RFBNUM10: Transaction MR1M Reversal Documents Are Issued</t>
  </si>
  <si>
    <t>Accounting Interface: Tax Rate for Acct-BAPIs &amp; Direct Input</t>
  </si>
  <si>
    <t>MIR4: Single record in FDFIEP not deleted</t>
  </si>
  <si>
    <t>SAP Note 1497092/1670486 : Split w/o current account and tax</t>
  </si>
  <si>
    <t>Split as per Notes 1497092/1670486 for Mexico</t>
  </si>
  <si>
    <t>MIRO: IBAN not updated for one-time vendors</t>
  </si>
  <si>
    <t>F5 346 When Posting Invoice Reduction with Report RGUREC30</t>
  </si>
  <si>
    <t>Split as per Notes 1497092/1670486 for Bermuda</t>
  </si>
  <si>
    <t>VBUND Replication in Vendor Billing Documents</t>
  </si>
  <si>
    <t>RWIN: Posting to one-time accounts using special G/L transac</t>
  </si>
  <si>
    <t>MRKO: Error F5 727 Despite Active Summarization in FI</t>
  </si>
  <si>
    <t>Agency Business: F5 336 when Posting with Net Document Type</t>
  </si>
  <si>
    <t>INVOIC: Line-by-line tax is determined incorrectly</t>
  </si>
  <si>
    <t>INVOIC: Billing category is not transferred</t>
  </si>
  <si>
    <t>INVOIC: FD 011 'ISO unit of measure &amp; is not assigned'</t>
  </si>
  <si>
    <t>Withholding tax exemption fields in customer master</t>
  </si>
  <si>
    <t>Badi for Argentina to change wtax code</t>
  </si>
  <si>
    <t>Shortdump in LVV02FG1 due to extension of KNBW</t>
  </si>
  <si>
    <t>Philiphines Legal Change IDWTCERT_PH_1601</t>
  </si>
  <si>
    <t>RFKQST00:- Italy Partial Payment</t>
  </si>
  <si>
    <t>US legal change 2012 - Form changes</t>
  </si>
  <si>
    <t>Changes to FR_WT_DAS2 file</t>
  </si>
  <si>
    <t>IE_RCT_UPDATE contract registration</t>
  </si>
  <si>
    <t>US legal change 2012 - File changes</t>
  </si>
  <si>
    <t>US LC 1099: min check not considered in background execution</t>
  </si>
  <si>
    <t>Corrections to US legal change 2012</t>
  </si>
  <si>
    <t>RF0KQST5 reports withholding tax data incorrect</t>
  </si>
  <si>
    <t>Withholding Tax code text incorrect in list output</t>
  </si>
  <si>
    <t>1099MISC Reporting - Minimum check not working for Box 14</t>
  </si>
  <si>
    <t>Deduction Rate is populated in the payment notification</t>
  </si>
  <si>
    <t>J_1AF016: Incorrect netamount in case of credit memos</t>
  </si>
  <si>
    <t>FBV1/fast entry: VBUND deleted</t>
  </si>
  <si>
    <t>SAPF121: Aktualisierung Coding</t>
  </si>
  <si>
    <t>FB05/autom. difference pstng: Exch. rate type not considered</t>
  </si>
  <si>
    <t>ENJOY/Simulation: Document overview in wrong currency</t>
  </si>
  <si>
    <t>Clearing w/ paymt adv.: Too many items selected &amp; activated</t>
  </si>
  <si>
    <t>Mandates in document display</t>
  </si>
  <si>
    <t>One-time screen: Excluding function code MNDT from outside</t>
  </si>
  <si>
    <t>Clrg w/ payt adv.note:Pstng on acct instead of residual item</t>
  </si>
  <si>
    <t>SEPA: Mandates for one-time documents in FB02 or FBL5N</t>
  </si>
  <si>
    <t>FINT: document number output despite error</t>
  </si>
  <si>
    <t>FINT: BAdI method FI_INT_GROUP has no effect</t>
  </si>
  <si>
    <t>FINT in endless loop (3)</t>
  </si>
  <si>
    <t>RFMAHN01: Legal dunning procedure ##.##.####</t>
  </si>
  <si>
    <t>FBCJ: poor performance and correction of payment amount</t>
  </si>
  <si>
    <t>Message MSINT446: "Line for interest..."</t>
  </si>
  <si>
    <t>Form F150_DUNN_SF: Field "ARCHIVE_INDEX_TAB[]" unknown</t>
  </si>
  <si>
    <t>FINT: Balance when posting / FINTSHOW: Reversal not possible</t>
  </si>
  <si>
    <t>FINT: interest posting without terms of payment</t>
  </si>
  <si>
    <t>F150: PAYMI and PAYMO are not filled for PDF</t>
  </si>
  <si>
    <t>SAPDBBRF: Fiscal Year and Period restriction removed incorr.</t>
  </si>
  <si>
    <t>RFDABL00: *no field text* is displayed</t>
  </si>
  <si>
    <t>RFDSLD00/RFKSLD00: "Search term" is not in standard layout</t>
  </si>
  <si>
    <t>Address data of one-time customers displayed incompletely</t>
  </si>
  <si>
    <t>SAPF130D_PDF: incorrect reply address</t>
  </si>
  <si>
    <t>TXBH2/TXBH3 not updated during a negative posting</t>
  </si>
  <si>
    <t>Billing doc. no. in invoice ref. for down payment clearing</t>
  </si>
  <si>
    <t>Tax amount in BSEG-MWST3 incorrect in down payment clearing</t>
  </si>
  <si>
    <t>Incorrect cursor position in bank details maintenance</t>
  </si>
  <si>
    <t>Bank details: Description for control key is incorrect</t>
  </si>
  <si>
    <t>RFKKVZ00, RFDKVZ00: Error FR 322</t>
  </si>
  <si>
    <t>Number Ranges for SEPA Mandates</t>
  </si>
  <si>
    <t>Extensibility of SEPA mandates for applications</t>
  </si>
  <si>
    <t>SEPA mandates customers: "Mandate is not available"</t>
  </si>
  <si>
    <t>RFDKLI42: Highest dunning level 0 cannot be entered</t>
  </si>
  <si>
    <t>RFDKLI43: Low performance</t>
  </si>
  <si>
    <t>IBAN and bank chains</t>
  </si>
  <si>
    <t>H_T012: Unable to edit personal value list</t>
  </si>
  <si>
    <t>FI13: IBAN is maintained but cannot be displayed</t>
  </si>
  <si>
    <t>XML bank statement: Note to payee is incomplete</t>
  </si>
  <si>
    <t>FF67: Editing the value set</t>
  </si>
  <si>
    <t>Falsche Textübersetzung Datenelement KOART_BDC, Dom. BDCFKOA</t>
  </si>
  <si>
    <t>FEB_BSPROC: Error when using "Read More Items" function</t>
  </si>
  <si>
    <t>Bank Account Statement not inserted in FEBPI for FPS3.</t>
  </si>
  <si>
    <t>Bank statement: Item details for TITO format (Finland)</t>
  </si>
  <si>
    <t>Printing bank statement: Cannot send e-mail</t>
  </si>
  <si>
    <t>RFCASH00: Error in balance totaling and selection</t>
  </si>
  <si>
    <t>FBCJ: Incorrect input help after changing company code</t>
  </si>
  <si>
    <t>FBCJ: Info in MVA or VVA item incorr. for gross down payment</t>
  </si>
  <si>
    <t>FBCJ: No/incorrect auth. check F_BKPF_BUK carried out</t>
  </si>
  <si>
    <t>FBCJ: Display of cash journal source document leads to dump</t>
  </si>
  <si>
    <t>FBCJ: CAJO_DOC2 Problems after resetting number level</t>
  </si>
  <si>
    <t>FBCJ: Various errors with the same document numbers</t>
  </si>
  <si>
    <t>Check advance payment: Message 00 055</t>
  </si>
  <si>
    <t>Entries without SEQNR in check register (table PAYR)</t>
  </si>
  <si>
    <t>PMW: Document check fails for HR payments</t>
  </si>
  <si>
    <t>PMW: DUMP with bfibl02 264, FI_DME_ADMINDATA_FILL</t>
  </si>
  <si>
    <t>FDTA: Cross display Unix/Linux, 4102/4103</t>
  </si>
  <si>
    <t>Reverse documents, cancel checks, archive documents</t>
  </si>
  <si>
    <t>Job F110 does not terminate, SAPFPAYM_SCHEDULE</t>
  </si>
  <si>
    <t>Checks with the PMW and CHECK format: no archiving</t>
  </si>
  <si>
    <t>SEPA: No separation according to company code / &lt;PmtInfId&gt;</t>
  </si>
  <si>
    <t>RFFOD__L: Termination with MOVE_TO_LIT_NOTALLOWED_NODATA</t>
  </si>
  <si>
    <t>SEPA Direct Debit: Proposal run and mandate usage</t>
  </si>
  <si>
    <t>RFFOJP_T: Layout of Payment summary not considered</t>
  </si>
  <si>
    <t>FBZ5: Payee is displayed in duplicate</t>
  </si>
  <si>
    <t>Length of format parameter: Location of schema</t>
  </si>
  <si>
    <t>FRFT_B: Different Exch rate applied for Bank Transfer.</t>
  </si>
  <si>
    <t>F111 payment amounts with different plus/minus signs</t>
  </si>
  <si>
    <t>Number Ranges for SEPA Mandates: Function Module Description</t>
  </si>
  <si>
    <t>PAYRQ: Address data not copied</t>
  </si>
  <si>
    <t>RFFOAVIS_FPAYM: Extend solution in note 1622920 to RFC.</t>
  </si>
  <si>
    <t>Directory traversal in BAI Electronic Bank Statement</t>
  </si>
  <si>
    <t>Issue with Intra-day BAI transactions with split funds.</t>
  </si>
  <si>
    <t>Zero-balance OIM lines: Dump inserting duplicate ACCTHD</t>
  </si>
  <si>
    <t>Reporting HANA: Virtual InfoProvider NewGL/PCA</t>
  </si>
  <si>
    <t>Program changes for using views V_GLPOS_x_CT, V_GLPCA_CT</t>
  </si>
  <si>
    <t>HDBC: Available Applications</t>
  </si>
  <si>
    <t>HDBC: Additional Corrections</t>
  </si>
  <si>
    <t>Wechsel der im ERP führenden Bewertung vorbereiten</t>
  </si>
  <si>
    <t>SE16H and view V_GLPOS_N_CT</t>
  </si>
  <si>
    <t>Documentation of RFIMPNBS Report</t>
  </si>
  <si>
    <t>Line Item Browser: Long runtime because of authority checks</t>
  </si>
  <si>
    <t>SAP HANA database view V_GLPOS_C_CT: Minor corrections</t>
  </si>
  <si>
    <t>Lock waits on table RSSGTPDIR when selecting NewGL data</t>
  </si>
  <si>
    <t>Changes to extend the amount fields in SAPLGUSL</t>
  </si>
  <si>
    <t>SAPF180P: Error message KI 806</t>
  </si>
  <si>
    <t>EXIT_SAPLF048_001: Parameter DOC_HEAD_TAB is incorrect</t>
  </si>
  <si>
    <t>F.50: Ex rate differences w/ fixed assed invoices(int order)</t>
  </si>
  <si>
    <t>SAPF181: Runtime error SAPSQL_ARRAY_INSERT_DUPREC</t>
  </si>
  <si>
    <t>RF048 missing for cross-company code transactions</t>
  </si>
  <si>
    <t>MCA Runadministration does not show all documents</t>
  </si>
  <si>
    <t>Irrelevant Process Types in Customizing</t>
  </si>
  <si>
    <t>Empty BUDAT in table GLE_MCA_DOCREF for IFX runs</t>
  </si>
  <si>
    <t>Account determination for FX position account valuation</t>
  </si>
  <si>
    <t>Exclude Testruns: F4 Help Runid in FBMCA08 and FBMCA03</t>
  </si>
  <si>
    <t>MCA: F4 help Process Categoy misses entry MCA Data Load</t>
  </si>
  <si>
    <t>No values in F4 Help for Process Type when PRCCAT is POS</t>
  </si>
  <si>
    <t>Enter amount in transaction currency in line item 2</t>
  </si>
  <si>
    <t>MCA FBMCA80 - No MCA Documents Shown for MCA Runid</t>
  </si>
  <si>
    <t>MCA FX Restatement: Non Functional Currency not updated</t>
  </si>
  <si>
    <t>Data Load: Target file incomplete without log message</t>
  </si>
  <si>
    <t>FI-GL: Minor performance improvements</t>
  </si>
  <si>
    <t>Double values in TSL in zero-balance clearing items</t>
  </si>
  <si>
    <t>Document splitting: Rounding of quantities</t>
  </si>
  <si>
    <t>Function module FKK_CHECK_CASH_FLOW_ACTIVE does not exist</t>
  </si>
  <si>
    <t>Long runtime in case of error GLT0 002</t>
  </si>
  <si>
    <t>New G/L: Doc splitting for tax items from SD billing doc</t>
  </si>
  <si>
    <t>MSSQLSRV: Bad performance when NewGL table involved</t>
  </si>
  <si>
    <t>HDB: Views for classic and new general ledger</t>
  </si>
  <si>
    <t>Customizing of ledger group: Check too strict (Note 1356295)</t>
  </si>
  <si>
    <t>RFOB5200 issues warning as error</t>
  </si>
  <si>
    <t>FBU3/new general ledger: Incorrect document overview</t>
  </si>
  <si>
    <t>FB03/ALV list: BKTXT ends with "&gt;"</t>
  </si>
  <si>
    <t>FBD9: Termination F5 055 when entering posting key</t>
  </si>
  <si>
    <t>FB08: Document &amp; &amp; is locked by another user (F5 302)</t>
  </si>
  <si>
    <t>FI: Activity authorization check FAGL_AUTH_CHECK</t>
  </si>
  <si>
    <t>FB60: F5 286 not justified during posting</t>
  </si>
  <si>
    <t>FB01/FB05: Various problems with VBUND</t>
  </si>
  <si>
    <t>FBB1 with special G/L indicators</t>
  </si>
  <si>
    <t>FB08: Reversing a document after migration to new GL</t>
  </si>
  <si>
    <t>FB02/FB03: Branch number is displayed incorrectly</t>
  </si>
  <si>
    <t>FBB1 with asset transaction type</t>
  </si>
  <si>
    <t>ENJOY: Message F5 132 for breakdown of templates</t>
  </si>
  <si>
    <t>FBD2: Amount changes for parallel local currency</t>
  </si>
  <si>
    <t>FB01/simulation: Optimum column width not taken into account</t>
  </si>
  <si>
    <t>FB02: XBLNR change not adopted in FAGLBSIS/FAGLBSAS</t>
  </si>
  <si>
    <t>Performance of ADB Move&amp;Merge</t>
  </si>
  <si>
    <t>Variants for Open Posting Periods on ledger level</t>
  </si>
  <si>
    <t>Move and Merge leaves residuals</t>
  </si>
  <si>
    <t>ADB Move and Merge: overflow in Application Log</t>
  </si>
  <si>
    <t>Move Merge not moving entire balance</t>
  </si>
  <si>
    <t>ADB identifies backdated postings automatically</t>
  </si>
  <si>
    <t>Incorrect error message on negative interest</t>
  </si>
  <si>
    <t>FAGLL03: Bal. carryforward postings (GLYEC) not displayed</t>
  </si>
  <si>
    <t>SAPDBSDF: runtime improved when you call FAGL_GET_GLT0</t>
  </si>
  <si>
    <t>FAGLB03: Drilldown cumulated balance for shortened fiscal yr</t>
  </si>
  <si>
    <t>FAGLL03: Treasury (TR-TM) postings not displayed (any more)</t>
  </si>
  <si>
    <t>FAGLL03: Memory not released when choosing "Back" from list</t>
  </si>
  <si>
    <t>FI_DOCUMNT ILM Enablement: Checks for Data Destruction</t>
  </si>
  <si>
    <t>FI Archiving: Suite on HANA Changes</t>
  </si>
  <si>
    <t>RFUMSV10 - time-depend. taxes on sales/purchases grp - auth.</t>
  </si>
  <si>
    <t>Adjustment of the electronic UVA for 2013</t>
  </si>
  <si>
    <t>Adjusting the electronic UstVA for authentication: BC</t>
  </si>
  <si>
    <t>Error F5060 if gl-items with NVV tax and others without tax</t>
  </si>
  <si>
    <t>BAdI for tax reporting data is not called in VF11</t>
  </si>
  <si>
    <t>FB60/MIRO: Always display debit/credit ind. on tax screen</t>
  </si>
  <si>
    <t>BAPI: Sign of BSET-FWBAS wrong in case of self-assessed tax</t>
  </si>
  <si>
    <t>PEO: Differences FMPEBTIL and advance ret. for tax on sales</t>
  </si>
  <si>
    <t>PEO: Only output tax allowed</t>
  </si>
  <si>
    <t>Runtime error COMPUTE_BCD_OVERFLOW in SAPLTAX1</t>
  </si>
  <si>
    <t>PEO: FMPEBADJ with error msg FF 747 due to SAP Note 1692637</t>
  </si>
  <si>
    <t>PEO: S_PRN_53000159 terminates when you hit F4 (dump)</t>
  </si>
  <si>
    <t>Tax data remains initial in parked document</t>
  </si>
  <si>
    <t>RFASLD20: Error message FR204 for EC sales list</t>
  </si>
  <si>
    <t>Direct and indirect tax items using BAPI</t>
  </si>
  <si>
    <t>RFUMSV25: Support of complex tax codes</t>
  </si>
  <si>
    <t>Resetting BSET-TAXPS for AWTYP = RE*</t>
  </si>
  <si>
    <t>PEO: FMPEBTIL and performance</t>
  </si>
  <si>
    <t>RFASLD20: New version number for German CSV file</t>
  </si>
  <si>
    <t>RFUMSV00(Taiwan):New Tax Code 'F' for void GUI</t>
  </si>
  <si>
    <t>RFUMSV00:Wrong XML file for FOTV(NL)</t>
  </si>
  <si>
    <t>Transferred VAT Report:Runtime error,Base Amount Calculation</t>
  </si>
  <si>
    <t>RFIDPL06: Issues when Plants Abroad functionality activated.</t>
  </si>
  <si>
    <t>Switzerland National Bank: Balance of Payments Reporting</t>
  </si>
  <si>
    <t>RFASLD02: Issue with the email and telphone number</t>
  </si>
  <si>
    <t>RFIDITBLIST: Italy Black List declaration Additional</t>
  </si>
  <si>
    <t>FMUP137: Check/BoE Reversal when online payment is active.</t>
  </si>
  <si>
    <t>SAFT-PT: Corrections RSAFT_PT_XML for 2010 (53)</t>
  </si>
  <si>
    <t>RFIDESM340: Multiple Issues for Modelo 340</t>
  </si>
  <si>
    <t>RFUMPT00: Issue with the consideration of discount amount</t>
  </si>
  <si>
    <t>SK_EC_SALES_XML : Correction to DMEE tree</t>
  </si>
  <si>
    <t>VAT Pro-Rata: Incorrect coefficient for asset transactions</t>
  </si>
  <si>
    <t>Switzerland National Bank - Merchanting Scenario</t>
  </si>
  <si>
    <t>SAF-T :Change in table SAFT_PT_TAX_DATA</t>
  </si>
  <si>
    <t>Pro-Rata: Insufficient precision on tax amount calculation</t>
  </si>
  <si>
    <t>RFIDPTFO: Grouping of Documents</t>
  </si>
  <si>
    <t>SAFT-PT: Corrections RSAFT_PT_XML for 2010 (54)</t>
  </si>
  <si>
    <t>VAT Pro-Rata: Error in direct tax posting in adjustment doc</t>
  </si>
  <si>
    <t>SAFT-PT: Corrections RSAFT_PT_XML for 2010 (55)</t>
  </si>
  <si>
    <t>LU eVAT: Changes 2013</t>
  </si>
  <si>
    <t>SAFT-PT: Corrections RSAFT_PT_XML for 2010 (56)</t>
  </si>
  <si>
    <t>RFASLD15(PL): Incorrect Amount in Local Currency</t>
  </si>
  <si>
    <t>RFIDITSR00(FR): Negative Balances not displayed correctly</t>
  </si>
  <si>
    <t>SAFT-PT: Corrections RSAFT_PT_XML for 2010 (57)</t>
  </si>
  <si>
    <t>RFASLD15(CZ): Incorrect Amount in Local Currency</t>
  </si>
  <si>
    <t>SAFT-PT:FI-CA Data Integration for SAFT report</t>
  </si>
  <si>
    <t>SAFT-PT:Additional Corrections for Oss note 1669594 in 606</t>
  </si>
  <si>
    <t>RFUMSV00(CZ):Introduction of new field - Regional tax office</t>
  </si>
  <si>
    <t>RFASLD15(CZ):Introduction of new field - Regional tax office</t>
  </si>
  <si>
    <t>SAFT-PT: Corrections RSAFT_PT_XML for 2010 (58)</t>
  </si>
  <si>
    <t>RFIDITSR00(FR): Trading Partner not in the report output.</t>
  </si>
  <si>
    <t>SAFT-PT: Corrections RSAFT_PT_XML for 2010 (59)</t>
  </si>
  <si>
    <t>Leasing file data getting appended in the same line in file</t>
  </si>
  <si>
    <t>RFIDESM340:PAR_DEF is not a parameter in RFUMSV00</t>
  </si>
  <si>
    <t>SAFT-PT: Corrections RSAFT_PT_XML for 2010 (60)</t>
  </si>
  <si>
    <t>SAFT-PT:FI-CA Data Integration for SAFT report(ver 2)</t>
  </si>
  <si>
    <t>SAFT-PT: Corrections RSAFT_PT_XML for 2010 (61)</t>
  </si>
  <si>
    <t>SAFT-PT: Corrections RSAFT_PT_XML for 2010 (62)</t>
  </si>
  <si>
    <t>Legal Change: SK eVAT Return</t>
  </si>
  <si>
    <t>SAFT-PT:FI-CA Data Integration for SAFT report(ver 3)</t>
  </si>
  <si>
    <t>FAGL_FCV: Duplicate display of postings in the list</t>
  </si>
  <si>
    <t>FAGL_FCV: Trading partner is not displayed</t>
  </si>
  <si>
    <t>SAPF104: Values for 2nd and 3rd local currency not posted</t>
  </si>
  <si>
    <t>SAPF104: Tax amount incorrectly displayed.</t>
  </si>
  <si>
    <t>SAPF101: Postings are missing during splitting of amounts</t>
  </si>
  <si>
    <t>FAGL_FC_TRANS: Rounding difference in translation</t>
  </si>
  <si>
    <t>FAGL_FCV Balance valuation: Problem with ledger group</t>
  </si>
  <si>
    <t>RFBILA00: Error FAGL_LEDGER_CUST023 in classic G/L</t>
  </si>
  <si>
    <t>Valuation/Translation: Validation of company code/ledger</t>
  </si>
  <si>
    <t>FAGL_FC_TRANS: Batch input session in reset run (reset)</t>
  </si>
  <si>
    <t>RFAWVZ40N: SCB indicator from G/L account offsetting lines</t>
  </si>
  <si>
    <t>F107, method 2: Discounting despite existing dunning data</t>
  </si>
  <si>
    <t>newGL allocation: OBJECT_NOT_STRUCTURED - empty document</t>
  </si>
  <si>
    <t>F107, Method 10 langlaufend Ford/Verb bei BUDAT = Stichtag</t>
  </si>
  <si>
    <t>FAGL_FCV: Parallel processing, history, batch input</t>
  </si>
  <si>
    <t>F107, method 10: Values from foreign currency valuation</t>
  </si>
  <si>
    <t>RFSUMB00: Report does not issue the detailed account list</t>
  </si>
  <si>
    <t>FAGLSKF: FAGLSKF_DELETE_DATA_COMP_CODE - selection screen</t>
  </si>
  <si>
    <t>FAGL_104: New BAdI added to the report.</t>
  </si>
  <si>
    <t>F101: Keine Rasterung bei Konzerngruppierung mit Saldo 0</t>
  </si>
  <si>
    <t>FAGL_104: Change of posting texts</t>
  </si>
  <si>
    <t>SAPF103: Invoice Incorrectly Excluded from Posting</t>
  </si>
  <si>
    <t>FAGL_FCV: Rounding difference G/L balance valuation</t>
  </si>
  <si>
    <t>FAGLF101: Valuation run for unassigned ledger group</t>
  </si>
  <si>
    <t>FAGL_FCV: Delta Logic and Partial payments</t>
  </si>
  <si>
    <t>FAGL_FCV: Valuatn of open items according to remaining term</t>
  </si>
  <si>
    <t>FAGL_FC_VAL: Valuation reset and cleared items (delta logic)</t>
  </si>
  <si>
    <t>newGL Allocation: By SKF - CX_SY_ARITHMETIC_OVERFLOW</t>
  </si>
  <si>
    <t>FAGL_FCV: Posting list storage / Central selections</t>
  </si>
  <si>
    <t>RFAWVZ5A: Location of PO box address in report file</t>
  </si>
  <si>
    <t>FAGL_OBJCHECK: Enhancement of functions (1)</t>
  </si>
  <si>
    <t>FAGL_FCV: Error GUSL006 during G/L balance valuation</t>
  </si>
  <si>
    <t>FAGL_OBJCHECK: Enhancement of functions (2)</t>
  </si>
  <si>
    <t>FAGL_FC_VAL: Termination with TABLE_INVALID_INDEX</t>
  </si>
  <si>
    <t>FAGL_FC_TRANS: Incorrect rounding differences</t>
  </si>
  <si>
    <t>Cross-company code and ledger-specific postings</t>
  </si>
  <si>
    <t>Extended summarization of FI documents</t>
  </si>
  <si>
    <t>Error F5 800 during postings from Bank Analyzer</t>
  </si>
  <si>
    <t>F5567 with transfer posting via KB11N at fiscal year change</t>
  </si>
  <si>
    <t>Error FBS_SE140 when deleting a financial statement version</t>
  </si>
  <si>
    <t>Account attribute "TradingPartner" is not updated</t>
  </si>
  <si>
    <t>Distribution FRS: Empty texts in FAGL_011QT (2)</t>
  </si>
  <si>
    <t>Runtime improvement when changing company code data</t>
  </si>
  <si>
    <t>Premature completion of transaction</t>
  </si>
  <si>
    <t>RTI: FI document is not posted</t>
  </si>
  <si>
    <t>Info: Currencies in real-time integration CO with FI</t>
  </si>
  <si>
    <t>FV50: No amount check w/ posting from simulation (II)</t>
  </si>
  <si>
    <t>FBV3: Message KO 104</t>
  </si>
  <si>
    <t>ENJOY: Workflow event executed twice</t>
  </si>
  <si>
    <t>FBV0: Posting despite new release-relevant amounts</t>
  </si>
  <si>
    <t>FAGL_ACTIVATE_OP: Line item management check not sufficient</t>
  </si>
  <si>
    <t>FAGLL03H: Runtime error</t>
  </si>
  <si>
    <t>FI Line Item Browsers</t>
  </si>
  <si>
    <t>EFS: Assignment to nested of-which items</t>
  </si>
  <si>
    <t>RFBELJ10_NACC: Special documents for opening postings</t>
  </si>
  <si>
    <t>EFS: RFC function module for financial statement data</t>
  </si>
  <si>
    <t>RFBELJ10: Line items not displayed</t>
  </si>
  <si>
    <t>eBilanZ: GCD fix mandatory field and color issue</t>
  </si>
  <si>
    <t>EFS: Dynamic selections for SKA1 and SKB1 ineffective</t>
  </si>
  <si>
    <t>EFS: Accounts for item "Accounts Not Relevant" not copied</t>
  </si>
  <si>
    <t>EFS: Accounts that are not relevant not in FSE0_XBRL</t>
  </si>
  <si>
    <t>EFS: Short dump in FSE0_XBRL (currency type)</t>
  </si>
  <si>
    <t>FGI0: Report cannot be executed due to migration</t>
  </si>
  <si>
    <t>Electronic financial statement: Data transfer from FI-SL</t>
  </si>
  <si>
    <t>PRCTR: Perform. problems for purchase orders w/ acct assgmt</t>
  </si>
  <si>
    <t>PRCTR: Additional fields for purchase order object list</t>
  </si>
  <si>
    <t>PRCTR: Incorrect balance sheet transfers</t>
  </si>
  <si>
    <t>PRCTR: Analysis report for material balances</t>
  </si>
  <si>
    <t>PRCTR: Analysis report for purchase orders</t>
  </si>
  <si>
    <t>PRCTR: Incorrect balance sheet posting for materials</t>
  </si>
  <si>
    <t>PRCTR: Incorrect bal. pstg for purch. orders w/ acct assgmt</t>
  </si>
  <si>
    <t>PRCTR: Analysis report for purchase orders II</t>
  </si>
  <si>
    <t>PRCTR: Deadlock in fagl_splinfo</t>
  </si>
  <si>
    <t>PRCTR: Correction report for Fagl_splinfo</t>
  </si>
  <si>
    <t>Unjustified error AIST 009 in reorganizatn transfer posting</t>
  </si>
  <si>
    <t>FAGL_ASSET_MASTERDATA_UPD: Various Errors II</t>
  </si>
  <si>
    <t>Reorganization of Assets: Generate Object List</t>
  </si>
  <si>
    <t>Reorganization of Assets: Selection of Deactivated Assets</t>
  </si>
  <si>
    <t>Objektliste von Anlagen als 2nd Level Objekt</t>
  </si>
  <si>
    <t>Error message 'Status 20 with empty assignment not permited'</t>
  </si>
  <si>
    <t>Short dump ITAB_ILLEGAL_SORT_ORDER when opening a period</t>
  </si>
  <si>
    <t>Error message KI013 during CO posting</t>
  </si>
  <si>
    <t>MESSAGE_TYPE_X during object list generation</t>
  </si>
  <si>
    <t>Error Message e707 incorrectly thrown</t>
  </si>
  <si>
    <t>PRCTR: Object type not determined (FAGL_REORGANIZATION505)</t>
  </si>
  <si>
    <t>PRCTR: Gener. AP/AR - Assign hierarchy for higher-level obj.</t>
  </si>
  <si>
    <t>PRCTR/SEG: FAGL_SPLINFO - incorr. Prctr/segment after reorg</t>
  </si>
  <si>
    <t>PRCTR: Object type not determined (FAGL_REORGANIZATION 505)</t>
  </si>
  <si>
    <t>PRCTR/SEG: Error message FAGL_REORGANIZATION 566</t>
  </si>
  <si>
    <t>PRCTR/SEG: Error messages FAGL_REORGANIZATION 534 and 536</t>
  </si>
  <si>
    <t>PRCTR/SEG: Error message FAGL_REORGANIZATION 566 (II)</t>
  </si>
  <si>
    <t>PRCTR/SEG: AP/AR objects unjustified at first level</t>
  </si>
  <si>
    <t>PRCTR: Obj. class. of first level due to failed splitting</t>
  </si>
  <si>
    <t>PRCTR/SEG: MESSAGE_TYPE_X during generation of AR/AP</t>
  </si>
  <si>
    <t>PRCTR/SEG: FAGL_REORGANIZATION 575 in Reassignment AP / AR</t>
  </si>
  <si>
    <t>PRCTR/SEG: MESSAGE_TYPE_X During Generation of AR / AP (2)</t>
  </si>
  <si>
    <t>PRCTR/SEG: MESSAGE_TYPE_X During Generation of AR / AP (3)</t>
  </si>
  <si>
    <t>Translation routine for CC_OSL is wrong in FAGLFLEXT reports</t>
  </si>
  <si>
    <t>Accounting: SAP HANA access for PCA, SL and new GL reports</t>
  </si>
  <si>
    <t>Dump TSV_TNEW_PAGE_ALLOC_FAILED in FAGLFEXR reports</t>
  </si>
  <si>
    <t>Message RG102 when generating RW with HDB side-by-side</t>
  </si>
  <si>
    <t>Wrong number of assigned reports displayed for RRI in GR53</t>
  </si>
  <si>
    <t>Incorrect code page for reports mailed as HTML files</t>
  </si>
  <si>
    <t>RW: Set line is not displayed</t>
  </si>
  <si>
    <t>RW: Target costs are not displayed</t>
  </si>
  <si>
    <t>Runtime error due to missing currency key</t>
  </si>
  <si>
    <t>FI general ledger: Optimization of performance Note 1382528</t>
  </si>
  <si>
    <t>GI128: Ledger still uses a pooled table</t>
  </si>
  <si>
    <t>Analysis help for DBIF_RSQL_INVALID_RSQL due to overflow</t>
  </si>
  <si>
    <t>FI-SL-SL-I</t>
  </si>
  <si>
    <t>Error during data transfer program with transaction GLU1</t>
  </si>
  <si>
    <t>Excel Upload: Dump MESSAGE_TYPE_X / Error K9806</t>
  </si>
  <si>
    <t>Syntax error in program SAPLGSHC</t>
  </si>
  <si>
    <t>Ergänzungen der Doku</t>
  </si>
  <si>
    <t>IBAN 'valid from' field leads to invalid date in BI</t>
  </si>
  <si>
    <t>BNK: Upload of pain.002.001.03</t>
  </si>
  <si>
    <t>Transaction BNK_BATCH, Report RBNK_PAYM_GRP_N_BATCH</t>
  </si>
  <si>
    <t>BNK_MONI: incorrect "Statement Partially Received" status</t>
  </si>
  <si>
    <t>BNK_MONI: fields WDATE and WEFAE (relevant for bills/ex.)</t>
  </si>
  <si>
    <t>BNK: Improved performance for workflow interface</t>
  </si>
  <si>
    <t>BNK_MONI: LAUFI_O for HCM payments is incorrect</t>
  </si>
  <si>
    <t>BNK_MONI: Batch Is Lost After First Approval</t>
  </si>
  <si>
    <t>BNK_MONI: Display of payment orders</t>
  </si>
  <si>
    <t>Directory traversal in FIN-FSCM-BNK</t>
  </si>
  <si>
    <t>HR checks with BCM without SEQNR, duplicate entries in PAYR</t>
  </si>
  <si>
    <t>BNK: BAdI for the 'Payment Status Report' upload report</t>
  </si>
  <si>
    <t>BNK: Some status files end up in the error directory</t>
  </si>
  <si>
    <t>Incorrect Assignment for Summarization Term from T038</t>
  </si>
  <si>
    <t>SAPSQL_ARRAY_INSERT_DUPREC bei VA32</t>
  </si>
  <si>
    <t>Incorrect Planning Date for Credit Memos with Invoice Ref.</t>
  </si>
  <si>
    <t>FF73: Payment Advice Note Pairs Have Incorrect Pairing</t>
  </si>
  <si>
    <t>Missing status info in F1 help of P2P installment plan</t>
  </si>
  <si>
    <t>Down payments and BoE show double payed amount</t>
  </si>
  <si>
    <t>Edit Receivables: Incorrect Net Due Date Determination</t>
  </si>
  <si>
    <t>Payment Assurance for Bill of Exchange</t>
  </si>
  <si>
    <t>Open amount in Coll. worklist different from detail list</t>
  </si>
  <si>
    <t>UKM_TRANSFER_VECTOR:Transferring sales of previous BP part 2</t>
  </si>
  <si>
    <t>Updating FI liabilities</t>
  </si>
  <si>
    <t>UKM_TRANSFER_ARV: transferred data still present</t>
  </si>
  <si>
    <t>UKM_TRANSFER_VECTOR: dunning date is filled incorrectly</t>
  </si>
  <si>
    <t>Outbound queue UKM_DOCUMENT_PROCESS hangs</t>
  </si>
  <si>
    <t>Credit exposure is sent to XI if credit segment is empty (2)</t>
  </si>
  <si>
    <t>Incorrect Text displayed in the Third currency header column</t>
  </si>
  <si>
    <t>Enhancement for using queries in RFLQ_CASH_FORECAST_MMPO</t>
  </si>
  <si>
    <t>Priority rules in Transaction FLQINFACC</t>
  </si>
  <si>
    <t>Lock for update on tables is missing</t>
  </si>
  <si>
    <t>Liquidity Planner Extensibility Enablement</t>
  </si>
  <si>
    <t>Spelling errors and corrections of documentation</t>
  </si>
  <si>
    <t>Datafeed</t>
  </si>
  <si>
    <t>FIN-FSCM-TRM-BF</t>
  </si>
  <si>
    <t>FIN-FSCM-TRM-BF-MD</t>
  </si>
  <si>
    <t>Market Data Manag.</t>
  </si>
  <si>
    <t>Datafeed for Securities: Notation in Currency Unit</t>
  </si>
  <si>
    <t>Basis spreads Customizing and market data store</t>
  </si>
  <si>
    <t>Basis spreads: Deletion ind. in market data class interface</t>
  </si>
  <si>
    <t>DO NOT RELEASE (SP only) Domäne für BasisSpreadWert</t>
  </si>
  <si>
    <t>Tx: FC17 - Amounts not prepared correctly</t>
  </si>
  <si>
    <t>TBDM : Translation ratio is cut due to different size</t>
  </si>
  <si>
    <t>FIN-FSCM-TRM-TM-TR</t>
  </si>
  <si>
    <t>Transaction Mgmt</t>
  </si>
  <si>
    <t>FWZZ: Enhancing the domain T_SOFTYP for a commodity option</t>
  </si>
  <si>
    <t>BP_CVI: Navigation from business partner to SEPA mandate</t>
  </si>
  <si>
    <t>BP_REL: BP release in EA-FINSERV 600-605 for SAP_ABA 731</t>
  </si>
  <si>
    <t>BP_CVI: FLBPD2 und FLBPC2 Dump CX_FSBP_PARTNER_INCONSISTENT</t>
  </si>
  <si>
    <t>SEPA: Enhancements for FI SEPA navigation from the CVI (BP)</t>
  </si>
  <si>
    <t>BP_XDT: Kurzdump ASSERTION_FAILED bei Fremddatenübernahme</t>
  </si>
  <si>
    <t>BP_CVI: Enhancing the SEPA navigation from customer BP</t>
  </si>
  <si>
    <t>BP_CVI: Release info for navigation from BP to SEPA mandate</t>
  </si>
  <si>
    <t>BP_XDT: short dump UNCAUGHT_EXCEPTION for BDT on subscreen</t>
  </si>
  <si>
    <t>BP_CVI: Corrections for FI-SEPA navigation from CVI to BP</t>
  </si>
  <si>
    <t>Error when reading an XML file</t>
  </si>
  <si>
    <t>Error when reading XML file (I)</t>
  </si>
  <si>
    <t>Field BZUSAGE as a required field</t>
  </si>
  <si>
    <t>FS-CML-NB</t>
  </si>
  <si>
    <t>New Business</t>
  </si>
  <si>
    <t>FS-CML-NB-FIM</t>
  </si>
  <si>
    <t>Financial Mathemat.</t>
  </si>
  <si>
    <t>FIM: Falscher Effektivzins bei negativen Nominalzinsen (2)</t>
  </si>
  <si>
    <t>Incons after transf plan val appropriatn request -&gt; measure</t>
  </si>
  <si>
    <t>Unjustified error AO 249 when changing project ID</t>
  </si>
  <si>
    <t>Fehler AO015 statt Warnung bei Entfernung Buchungskreis</t>
  </si>
  <si>
    <t>TIME_OUT in Reporting, Jahreswechsel oder Hochrollen Plan</t>
  </si>
  <si>
    <t>Detach/Reassign Measures and Appropriation Requests</t>
  </si>
  <si>
    <t>IM reporting: Act/commitment incorr if rep crcy = obj crcy</t>
  </si>
  <si>
    <t>JIT Processing</t>
  </si>
  <si>
    <t>LAMA Maintenance for MES Integration</t>
  </si>
  <si>
    <t>Technical prerequisite for Note 1802447</t>
  </si>
  <si>
    <t>LAMA search help corrections</t>
  </si>
  <si>
    <t>F4: H_MARM/EAMS_SHLP_DMZ_H_MARM not work when MATNR long</t>
  </si>
  <si>
    <t>Technical prerequisite for note 1896945</t>
  </si>
  <si>
    <t>IS-A-SBO</t>
  </si>
  <si>
    <t>Self Billing Outb.</t>
  </si>
  <si>
    <t>IS Aerospace&amp;Defense</t>
  </si>
  <si>
    <t>IS-ADEC-GPD</t>
  </si>
  <si>
    <t>Group.,Pegg.,Distr.</t>
  </si>
  <si>
    <t>Incorrect user name for locked message in GRM5</t>
  </si>
  <si>
    <t>Technical prerequisite for Note 1728394</t>
  </si>
  <si>
    <t>Technical prerequisite for Note 1785319</t>
  </si>
  <si>
    <t>Technical prerequisites in SAP_APPL for corrections in DIMP</t>
  </si>
  <si>
    <t>Common object layer: Logical port for CC service call</t>
  </si>
  <si>
    <t>IS-CWM-MM</t>
  </si>
  <si>
    <t>CWM MM</t>
  </si>
  <si>
    <t>MI04/MI05/MI06: Fields incorrectly available for input</t>
  </si>
  <si>
    <t>Condition code dialog box displayed despite correct code; II</t>
  </si>
  <si>
    <t>IS-DFS-MM-STO</t>
  </si>
  <si>
    <t>Storage Location</t>
  </si>
  <si>
    <t>Performance issue for PO with confirmation lines</t>
  </si>
  <si>
    <t>Error during archiving of measurement documents in DFPS</t>
  </si>
  <si>
    <t>IS-MP-NF</t>
  </si>
  <si>
    <t>Non-Ferrous Metal</t>
  </si>
  <si>
    <t>Core Enhancement Points for note 1824939.</t>
  </si>
  <si>
    <t>Creation of enhancement section WS_REVERSE_GOODS_ISSUE_25</t>
  </si>
  <si>
    <t>VA41/VA42 - Propose Items does not work</t>
  </si>
  <si>
    <t>RM07MARCS - Changes in enhancement Implementation</t>
  </si>
  <si>
    <t>Enh Sect.for IS-OIL Split invoice along with SD diff Invoice</t>
  </si>
  <si>
    <t>IS-OIL-DS-TDP</t>
  </si>
  <si>
    <t>Taxes/duties/permits</t>
  </si>
  <si>
    <t>MB1B/MIGO:Message OB 048 for transfer posting batch to batch</t>
  </si>
  <si>
    <t>Article Mass Maintenance: Upload GTINs from Spreadsheet</t>
  </si>
  <si>
    <t>New parallelization customizing in master data</t>
  </si>
  <si>
    <t>Article Mass Maintenance: Parallel and Asynchronous Save</t>
  </si>
  <si>
    <t>Article Mass Maintenance: Informative Characteristic Values</t>
  </si>
  <si>
    <t>MM41/MM42: Changing sales unit in sales view</t>
  </si>
  <si>
    <t>Distributing deletion flag to BW</t>
  </si>
  <si>
    <t>MM42: Message "This order unit has been used already"</t>
  </si>
  <si>
    <t>Textile Composition Maintenance - Prerequisite 2 (SAP_APPL)</t>
  </si>
  <si>
    <t>Deletion of document assignments not possible</t>
  </si>
  <si>
    <t>Grid maintenance: Positioning incorrect</t>
  </si>
  <si>
    <t>Textile Composition Maintenance - Prerequisite 1 (SAP_APPL)</t>
  </si>
  <si>
    <t>Missing check for whether conversion for UoM exists</t>
  </si>
  <si>
    <t>MM4x: Fehler bei Anzeige abweichend gepflegter OrgEbenen</t>
  </si>
  <si>
    <t>VBG2: Exceptions are not deleted</t>
  </si>
  <si>
    <t>MM43:Incorrect display of assortments via assortments button</t>
  </si>
  <si>
    <t>Duplicate materials-WSL4-with missing material description</t>
  </si>
  <si>
    <t>ASSORTMENT_RECLASS_ARTICLES no update DATAB/DATBI WLK1</t>
  </si>
  <si>
    <t>Listing terminates with error message M3685</t>
  </si>
  <si>
    <t>LIKOND01 IDoc listing in the past: Error WM014</t>
  </si>
  <si>
    <t>Price Catalogue fails with error msg WER159</t>
  </si>
  <si>
    <t>GDS: Dump in Rule Engine OBJECTS_NOT_COMPATIBLE</t>
  </si>
  <si>
    <t>See internal Message Number 0120031469 0001309666 2012</t>
  </si>
  <si>
    <t>SAP Note 1649537 - inconsistent correction instructions</t>
  </si>
  <si>
    <t>Unable to copy default rule engine application</t>
  </si>
  <si>
    <t>WAK5: Not all items of a promotion are displayed</t>
  </si>
  <si>
    <t>Regular vendor not populated for source of supply mass maint</t>
  </si>
  <si>
    <t>Displaying EU4 currencies in price planning view</t>
  </si>
  <si>
    <t>WAK5: Resetting the planned allocation quantities</t>
  </si>
  <si>
    <t>WAK16 Long runtime during activating promotions in parallel</t>
  </si>
  <si>
    <t>WAK15 error message: Enter promotion number - Part II</t>
  </si>
  <si>
    <t>WR04 LOCATION_SELECT_VALAR_BY_RANGE performance</t>
  </si>
  <si>
    <t>Diff. Result for POOL/CLUSTER Tables after DB</t>
  </si>
  <si>
    <t>Hiding LFM1-LISER and LFM1-LIBES in Retail site master</t>
  </si>
  <si>
    <t>IS-R-IFC-AL</t>
  </si>
  <si>
    <t>Assortment List</t>
  </si>
  <si>
    <t>Diff. Result for POOL/CLUSTER Table T439I</t>
  </si>
  <si>
    <t>IS-R-IFC-OUT</t>
  </si>
  <si>
    <t>POS Interface, Outb.</t>
  </si>
  <si>
    <t>Incorrect exchange rates in WPDCUR</t>
  </si>
  <si>
    <t>SO: Wrong Purchase Group picked up by replenishment runs</t>
  </si>
  <si>
    <t>STO creation using IDoc Partner information not copied.</t>
  </si>
  <si>
    <t>Function module for purchase order invoked in wrong sequence</t>
  </si>
  <si>
    <t>SO: Incorrect IDOC processing durring PO creation</t>
  </si>
  <si>
    <t>Store Order consider wrong date for article block status</t>
  </si>
  <si>
    <t>Idoc WGSREQ02, Segment E1EDP05, Field ALCKZ value is ignor</t>
  </si>
  <si>
    <t>'Delivery Complete' indicator not copied to empties</t>
  </si>
  <si>
    <t>Incorrect Sales Value including VAT upon GR</t>
  </si>
  <si>
    <t>Error MR080 issued when Unit of Measure is changed in RWBE</t>
  </si>
  <si>
    <t>WA11: Selection criteria in message processing</t>
  </si>
  <si>
    <t>Ship-to-Party determination during Sales Order generation</t>
  </si>
  <si>
    <t>RFC_CHANGE_ALLOC_ITEM: Parameter FBE_ALLOC_ITEM empty</t>
  </si>
  <si>
    <t>WLB5: Purchase order not getting selected for load build</t>
  </si>
  <si>
    <t>IS-R-PUR-MPO</t>
  </si>
  <si>
    <t>Mass Maintenance PO</t>
  </si>
  <si>
    <t>Performance Issues in WP01</t>
  </si>
  <si>
    <t>WWP1: Special rules assigned to factory calendar</t>
  </si>
  <si>
    <t>ME22n: Incorrect values passed to GTS plug during pricing</t>
  </si>
  <si>
    <t>WRPT-CHCNT not getting increment when setting ELIKZ</t>
  </si>
  <si>
    <t>IS-U</t>
  </si>
  <si>
    <t>Industry-Specific Component Utilities</t>
  </si>
  <si>
    <t>IS-U-CS</t>
  </si>
  <si>
    <t>Customer Service</t>
  </si>
  <si>
    <t>IS-U-CS-CRM</t>
  </si>
  <si>
    <t>Integration CRM</t>
  </si>
  <si>
    <t>IS-U CRM Integration - Replikation von Zählpunkten</t>
  </si>
  <si>
    <t>VL06D: Output message redetermined incorrectly</t>
  </si>
  <si>
    <t>Incomplete BC Set for direct outbound deliveries (2)</t>
  </si>
  <si>
    <t>LM19 is not able to manage project stock</t>
  </si>
  <si>
    <t>SU status display not correct when using user screens</t>
  </si>
  <si>
    <t>LM50/LM51 : duplicate SU could be entered</t>
  </si>
  <si>
    <t>LM50/LM51 : Empty bin count error when project stock</t>
  </si>
  <si>
    <t>Internal SAP BAdI definition in delivery creation</t>
  </si>
  <si>
    <t>Incorrect Error Message VL302 with locked delivery</t>
  </si>
  <si>
    <t>Tied empties subitems without main item in the delivery</t>
  </si>
  <si>
    <t>VL02N: Message VL162 does not display material</t>
  </si>
  <si>
    <t>Outbound del. wi/ incorrect route generated using VL04/VL10*</t>
  </si>
  <si>
    <t>BAPI_OUTB_DELIVERY_CREATE_STO : shipping point not found</t>
  </si>
  <si>
    <t>Fixed quantities are distributed to all batch split items</t>
  </si>
  <si>
    <t>Error ICC_NUMBERING770 when creating deliveries in MIGO</t>
  </si>
  <si>
    <t>Incompleteness error in Vl31N cannot be processed</t>
  </si>
  <si>
    <t>VL31N: Kanban status incorrect on creation of delivery</t>
  </si>
  <si>
    <t>Inbound delivery GR (SC components)ignores by-products</t>
  </si>
  <si>
    <t>Error message VL563 w/ SPED for outbound delivery w/ empties</t>
  </si>
  <si>
    <t>Only GM-relevant inbound deliveries possible from TPVS</t>
  </si>
  <si>
    <t>Error message ME161 dur. batch split f.inbound delivery item</t>
  </si>
  <si>
    <t>LE-SHP-DL-POD</t>
  </si>
  <si>
    <t>Proof Of Delivery</t>
  </si>
  <si>
    <t>POD record not deleted when POD difference withdrawn</t>
  </si>
  <si>
    <t>Cannot navigate from VLPODL/VLPODQ to individual delivery</t>
  </si>
  <si>
    <t>Missing initialization for SIT postings using VLPODQ</t>
  </si>
  <si>
    <t>SIT: Inbound delivery creation with VL31N/VL60 possible</t>
  </si>
  <si>
    <t>VLPOD does not allow scenario change in SiT process (BSTAE)</t>
  </si>
  <si>
    <t>SIT: Reversal w/VLPOD ignores partner profit center (VBUND)</t>
  </si>
  <si>
    <t>wrong update of revenue recognition by SIT goods movement</t>
  </si>
  <si>
    <t>SiT: Incorrect movement type in VLPOD (687/601)</t>
  </si>
  <si>
    <t>Wrong ATP confirmations with summarized requirements</t>
  </si>
  <si>
    <t>VL03N: Telephone and Fax data not displayed for archived del</t>
  </si>
  <si>
    <t>LE-SHP-GF-DS</t>
  </si>
  <si>
    <t>Delivery scheduling</t>
  </si>
  <si>
    <t>VA01/02 : good issue date is wrongly calculated</t>
  </si>
  <si>
    <t>Loading time not considered during scheduling</t>
  </si>
  <si>
    <t>No reference to main item for Free goods - inclusive bonus</t>
  </si>
  <si>
    <t>LE-SHP-GF-RS</t>
  </si>
  <si>
    <t>Route Scheduling</t>
  </si>
  <si>
    <t>Route Schedule browsing optimization in display/edit mode</t>
  </si>
  <si>
    <t>SC order w/ acct. assignment II (non-valuated/no qty update)</t>
  </si>
  <si>
    <t>LE-TRA-IN</t>
  </si>
  <si>
    <t>HU creation error from SHIPMENT_CREATEFORMDATA idoc</t>
  </si>
  <si>
    <t>LE-TRA-TPS</t>
  </si>
  <si>
    <t>Transportation Plann</t>
  </si>
  <si>
    <t>VT61: No message is issued for ALE distribution model.</t>
  </si>
  <si>
    <t>No Tracking Detail at Cross-Delivery HU</t>
  </si>
  <si>
    <t>Partner not added correctly while using XSI_ACTIVE_SAMPLE</t>
  </si>
  <si>
    <t>Inventory clearing possible for all storage types with LI21</t>
  </si>
  <si>
    <t>Locking of preceding documents with Transfer orders</t>
  </si>
  <si>
    <t>Performance issue with Transfer order picking &amp; confirmation</t>
  </si>
  <si>
    <t>Quant GR date issues resulting from HU processing</t>
  </si>
  <si>
    <t>Inconsistent inspection lot after difference clearing</t>
  </si>
  <si>
    <t>LI21 - Unnecessary quant information sent to the BAdI</t>
  </si>
  <si>
    <t>LE-WM and EWM: Prerequisite for using RDS service</t>
  </si>
  <si>
    <t>Posting in bulk bin leads to mixed storage when not allowed</t>
  </si>
  <si>
    <t>L_TO_CONFIRM: too many HUs locked during confirmation</t>
  </si>
  <si>
    <t>Warning message displayed in the background process</t>
  </si>
  <si>
    <t>LPK1/LPK2/LPK3 - Missing authority check on plant</t>
  </si>
  <si>
    <t>WMPP - Short dump with Transfer Requirement creation</t>
  </si>
  <si>
    <t>LE-WM-TFM-SP</t>
  </si>
  <si>
    <t>Stock Postings</t>
  </si>
  <si>
    <t>Incorrect message during posting change in background</t>
  </si>
  <si>
    <t>AB: BAPI_SETTLEMENTREQSLIST_CREATE gives error WS891</t>
  </si>
  <si>
    <t>AB: Document number in mail subject is not set correctly</t>
  </si>
  <si>
    <t>AB: WLF2/WLF3-Tax values are missing from tax disp. screen</t>
  </si>
  <si>
    <t>AB: Not all dynamic data filled at item level</t>
  </si>
  <si>
    <t>AB: Archive object WZR does not process cancelled/parked SR</t>
  </si>
  <si>
    <t>AB: Handling tax number in agency document</t>
  </si>
  <si>
    <t>AB: FI document check in check run</t>
  </si>
  <si>
    <t>AB: Tax departure country not defined in pricing structure</t>
  </si>
  <si>
    <t>AB: Field status group in customer settlements</t>
  </si>
  <si>
    <t>Customizing for Transportation Management integration</t>
  </si>
  <si>
    <t>AB: Check for external tax jurisdiction</t>
  </si>
  <si>
    <t>AB: Posting status icon is not displayed with status K</t>
  </si>
  <si>
    <t>AB: WB21/22/23 Vendor Int'l name/address not displayed</t>
  </si>
  <si>
    <t>AB: Table control layout overwritten by Customizing</t>
  </si>
  <si>
    <t>AB: Missing tax indicator in G/L account</t>
  </si>
  <si>
    <t>AB: Acc determ error with altern. reconc. acc.(Correction)</t>
  </si>
  <si>
    <t>AB:Difference error occurs after implementing note 1771413</t>
  </si>
  <si>
    <t>AB: Need to remove the change done on note 1749926</t>
  </si>
  <si>
    <t>AB: Need to remove the change done on note 1755760</t>
  </si>
  <si>
    <t>AB: No mass prosessing in list output mode</t>
  </si>
  <si>
    <t>AB: Error when calling module WLF_WBRK_SINGLE_READ</t>
  </si>
  <si>
    <t>AB: Inconsistency between Credit/debit ind. and amounts</t>
  </si>
  <si>
    <t>Incorrect message when deleting document index</t>
  </si>
  <si>
    <t>Document index display inactive for SD conditions</t>
  </si>
  <si>
    <t>AB: Incorrect posting status when using paking documents</t>
  </si>
  <si>
    <t>AB: Wrong cursor position in Table Control Items in WZR1</t>
  </si>
  <si>
    <t>AB: Pricing check for text items also</t>
  </si>
  <si>
    <t>AB: Reading archived documents</t>
  </si>
  <si>
    <t>AB: Wrong plus/minus sign for gross posting of remun. list</t>
  </si>
  <si>
    <t>AB: Setup of the table ct_acctx</t>
  </si>
  <si>
    <t>AB: Fieldstatus/Column sorting groups</t>
  </si>
  <si>
    <t>AB:Preliminary correction for postings using clearing acct</t>
  </si>
  <si>
    <t>A short dump when filtering on Billing Category in WBL3</t>
  </si>
  <si>
    <t>AB: Authority check during follow on document creation</t>
  </si>
  <si>
    <t>Correction for IDoc monitor</t>
  </si>
  <si>
    <t>AB: Incoterm fields not positioned correctly on screen</t>
  </si>
  <si>
    <t>Integration TM: No adjustment posting is created</t>
  </si>
  <si>
    <t>AB: SRL posted to FI even if ODN error</t>
  </si>
  <si>
    <t>AB: Incorrect selection of TM documents</t>
  </si>
  <si>
    <t>AB: Total values are not updated during check</t>
  </si>
  <si>
    <t>Accounting Release in Transacktion WLI2</t>
  </si>
  <si>
    <t>AB: Unnecessary new pricing when document is changed</t>
  </si>
  <si>
    <t>AB: Focus is not set correctly during fast entry</t>
  </si>
  <si>
    <t>AB: Loss of data not checked correctly</t>
  </si>
  <si>
    <t>AB: Tax jurisdiction in remuneration lists</t>
  </si>
  <si>
    <t>AB: Setting for not posting taxes</t>
  </si>
  <si>
    <t>AB: Determining business area</t>
  </si>
  <si>
    <t>AB: Posting distribution documents for transportation costs</t>
  </si>
  <si>
    <t>AB: Handling the remuneration list tax</t>
  </si>
  <si>
    <t>VA02/VA03: Inspection data are not displayed correctly</t>
  </si>
  <si>
    <t>Inappropriate goods movement for valuation</t>
  </si>
  <si>
    <t>Runtime error DBIF_RSQL_INVALID_RSQL in returns overview (2)</t>
  </si>
  <si>
    <t>Billing index incorrect for intercompany ARM returns</t>
  </si>
  <si>
    <t>Stock determination with Advanced Returns Management</t>
  </si>
  <si>
    <t>Issues with field 'CMR Rejection Reason' in returns order</t>
  </si>
  <si>
    <t>Surplus delivery created for posting to repair order stock</t>
  </si>
  <si>
    <t>MSR_CRD: irrelevant items appear in the worklist</t>
  </si>
  <si>
    <t>VL09: Reversal not possible due to MSR_INSP_MESSAGES 302 (3)</t>
  </si>
  <si>
    <t>Batch main item incorrectly displayed in tracking overview</t>
  </si>
  <si>
    <t>Invoice verification expected for free of charge rPO</t>
  </si>
  <si>
    <t>Customer descriptions of LFU codes not displayed</t>
  </si>
  <si>
    <t>Advanced Returns Management: Settlement for customer returns</t>
  </si>
  <si>
    <t>Protection against duplicate keys in ARM</t>
  </si>
  <si>
    <t>MSR_TRC_C: Missing Customer Inspection Code and Next LFU</t>
  </si>
  <si>
    <t>Wrong batch number for internal repair order items</t>
  </si>
  <si>
    <t>WIA billing for plants abroad ends up in a dump</t>
  </si>
  <si>
    <t>No replacement/refunding possible in next plant inspection</t>
  </si>
  <si>
    <t>MSR_INSPWH: Incorrect LFU values or loss of data</t>
  </si>
  <si>
    <t>UI Enhancements Advanced Returns Inspection</t>
  </si>
  <si>
    <t>ARM: Incorrect source stock type</t>
  </si>
  <si>
    <t>ARM: invoice creation not possible</t>
  </si>
  <si>
    <t>ARM: Invoice creation not possible</t>
  </si>
  <si>
    <t>F4: Serach help MCHAW not included in MCH1</t>
  </si>
  <si>
    <t>QA11: Classification for batch not updated</t>
  </si>
  <si>
    <t>Display batch determination: No selection criteria displayed</t>
  </si>
  <si>
    <t>Batch check</t>
  </si>
  <si>
    <t>Longtext for error message CZ 314 is missing</t>
  </si>
  <si>
    <t>Parameters in long text of message M7 042 wrong set</t>
  </si>
  <si>
    <t>Incorrect standard entry for batch-related object type</t>
  </si>
  <si>
    <t>RVBOBJTABUPD: Improvement to performance</t>
  </si>
  <si>
    <t>BMBC: Runtime error when selection variant is called</t>
  </si>
  <si>
    <t>LO-BM-BS</t>
  </si>
  <si>
    <t>Batch Status Mgmt.</t>
  </si>
  <si>
    <t>Technical note: QA07 - Stopping batch status change</t>
  </si>
  <si>
    <t>Documentation batches for deliveries lost</t>
  </si>
  <si>
    <t>Short dump VBDBDM_CHVW_WM_BOOK SAPSQL_ARRAY_INSERT_DUPREC</t>
  </si>
  <si>
    <t>COGI: Changing the documentary batch, old batch remains</t>
  </si>
  <si>
    <t>Deleted documentary batches are posted</t>
  </si>
  <si>
    <t>Text for documentary batches is in lower cases</t>
  </si>
  <si>
    <t>LO-BM-DRV</t>
  </si>
  <si>
    <t>Derivation</t>
  </si>
  <si>
    <t>Filling the manufacturing date in COWBHUWE transaction</t>
  </si>
  <si>
    <t>LO-BM-MD</t>
  </si>
  <si>
    <t>Batch Master Data</t>
  </si>
  <si>
    <t>MIGO: Entered expiration date not entered</t>
  </si>
  <si>
    <t>Incorrect batches are shown in Bottom-Up Where Used List</t>
  </si>
  <si>
    <t>Batch where-used list: Return deliveries are not displayed</t>
  </si>
  <si>
    <t>Error message BA235 if archiving cleanup program is executed</t>
  </si>
  <si>
    <t>MB56: Component btches for subcontracting order not exploded</t>
  </si>
  <si>
    <t>LO-CMM</t>
  </si>
  <si>
    <t>Commodity Management</t>
  </si>
  <si>
    <t>Commodity Management: Measurement function modules</t>
  </si>
  <si>
    <t>No revision level change for automatic assignment</t>
  </si>
  <si>
    <t>LO-ELR</t>
  </si>
  <si>
    <t>Electronic Records</t>
  </si>
  <si>
    <t>Table log: "Original data not available"</t>
  </si>
  <si>
    <t>BAPI_ROUTING_CREATE:Incorrect operation ID for suboperations</t>
  </si>
  <si>
    <t>EWB: Error w/selection using change no./prod. resource/tool</t>
  </si>
  <si>
    <t>EWB: Browser DMU with referenced operations + PRT</t>
  </si>
  <si>
    <t>Material View: Tabs does not have name</t>
  </si>
  <si>
    <t>Stock not updated for materials with BOM in EMS.</t>
  </si>
  <si>
    <t>VL09 fails with message HUFUNCTIONS254 for SIT delivery</t>
  </si>
  <si>
    <t>Multiple issues with cross delivery HUs</t>
  </si>
  <si>
    <t>Inbound delivery HUs not updated with GR reversal</t>
  </si>
  <si>
    <t>Duplicate records created for cross delivery HUs</t>
  </si>
  <si>
    <t>Not possible to repack handling units in outbound delivery</t>
  </si>
  <si>
    <t>ME 028 'Field selection not defined' aborts process</t>
  </si>
  <si>
    <t>B1 547 when publishing an RFX award from SAP Sourcing</t>
  </si>
  <si>
    <t>ME 664 when CLM based contract change is published</t>
  </si>
  <si>
    <t>Wave 9 item categories are assigned to account assig. cat.</t>
  </si>
  <si>
    <t>Item Deletion does not happen in SAP ERP contract</t>
  </si>
  <si>
    <t>Delivery type is incorrect when delivery created from TM</t>
  </si>
  <si>
    <t>Revoking the release of a PO: No block transferred to TM</t>
  </si>
  <si>
    <t>Document Flow from SAP TM not displayed for a purchase order</t>
  </si>
  <si>
    <t>PO not sent to SAP TM after changing it to TM relevant</t>
  </si>
  <si>
    <t>Performance issue when starting TM document flow in ERP</t>
  </si>
  <si>
    <t>Change PO to TM relevant PO with follow-on document possible</t>
  </si>
  <si>
    <t>Order scheduling in TM triggered after data entry</t>
  </si>
  <si>
    <t>TM scheduling result is wrong when material isn't available</t>
  </si>
  <si>
    <t>No TM Status data and document flow for free order</t>
  </si>
  <si>
    <t>Credit limit does not block delivery creation in SAP TM</t>
  </si>
  <si>
    <t>Logistics TRM integration: Incorrect exposure amounts</t>
  </si>
  <si>
    <t>Error for the multiple selection of characteristics</t>
  </si>
  <si>
    <t>Disaggregation for key figure view incorrect</t>
  </si>
  <si>
    <t>CO-PA transfer missing</t>
  </si>
  <si>
    <t>Error-Negative quantity not supported for non-stock items.</t>
  </si>
  <si>
    <t>Cu51/ RCSALOTR : incorrect message when routing is locked</t>
  </si>
  <si>
    <t>CX_SY_DYNAMIC_SQL_SYNTAX for CSAP_MAT_BOM_ITEM_SELECT</t>
  </si>
  <si>
    <t>FM CSAP_MAT_BOM_MAINTAIN dumps SAPSQL_ARRAY_INSERT_DUPREC</t>
  </si>
  <si>
    <t>XD01: wrong screen navigation after Customer Hierarchy error</t>
  </si>
  <si>
    <t>Idoc inbound processing does not delete SAPScript texts</t>
  </si>
  <si>
    <t>BAPI_CUSTOMER_GETCONTACTLIST very long processing time</t>
  </si>
  <si>
    <t>DEBMAS: Error F2 141 'Country &amp; is not an EC member'</t>
  </si>
  <si>
    <t>Sequencing for ADR3MAS not working correctly</t>
  </si>
  <si>
    <t>F2042: Confusing error message</t>
  </si>
  <si>
    <t>DEBMAS: Support of 'Tax Number 5'(STCD5)</t>
  </si>
  <si>
    <t>Field STCD5 is not returned from BAPI_CUSTOMER_GETDETAIL2</t>
  </si>
  <si>
    <t>Slow performance of Query_customer_by_element in cl_erp_cust</t>
  </si>
  <si>
    <t>LO-MD-BP-CM-DP</t>
  </si>
  <si>
    <t>Customer master data</t>
  </si>
  <si>
    <t>Maintenance of Consent for Marketing Purposes</t>
  </si>
  <si>
    <t>Data Consent: Various Corrections</t>
  </si>
  <si>
    <t>CVI: Empty errror message raised when IBAN is not found</t>
  </si>
  <si>
    <t>Business Transaction Event 00001420 is not triggered</t>
  </si>
  <si>
    <t>CVI: No support of Tax number 5 field (STCD5)</t>
  </si>
  <si>
    <t>CVI: No support of fields PREPAY_RELEVANT and ASSIGN_TEST</t>
  </si>
  <si>
    <t>Vendor: Support to Brazilian fields and Tax Number 5 (STCD5)</t>
  </si>
  <si>
    <t>Vendor: Inclusion of fields MIN_COMP, TERM_LI and CRC_NUM</t>
  </si>
  <si>
    <t>CREMAS: Support to Brazilian fields and Tax number 5 (STCD5)</t>
  </si>
  <si>
    <t>No duplicity check for taxnumber in batchinput or ALE</t>
  </si>
  <si>
    <t>Vendor Mass change (XK99): Partner Bank Type cleared</t>
  </si>
  <si>
    <t>BP create FI Vendor: System error in table KNVK (F2802)</t>
  </si>
  <si>
    <t>IDOC: Sensitive fields change not working for Street</t>
  </si>
  <si>
    <t>eSOA: dialing code truncated by SupplierERPNotification</t>
  </si>
  <si>
    <t>Incorrect value distribution in variant matrix</t>
  </si>
  <si>
    <t>Quota scale contains all characteristic values</t>
  </si>
  <si>
    <t>LO-MD-MLO</t>
  </si>
  <si>
    <t>Merchandise Lifecycl</t>
  </si>
  <si>
    <t>IMG structure Merchandise Lifecycle Optimization</t>
  </si>
  <si>
    <t>BAPI - short txt: Customer-spec fields cannot be initialized</t>
  </si>
  <si>
    <t>Customizing - Message: Net weight greater than gross weight</t>
  </si>
  <si>
    <t>You cannot switch views when BADI_MATERIAL_CHECK is active</t>
  </si>
  <si>
    <t>Broken link to documentation</t>
  </si>
  <si>
    <t>MM_MATNR: ILM Enablement destruction mode</t>
  </si>
  <si>
    <t>MM_SPSTOCK: ILM-enablement destruction mode</t>
  </si>
  <si>
    <t>Reading storage locations in remote-enabled way</t>
  </si>
  <si>
    <t>Direct input: Incorrect authorization check</t>
  </si>
  <si>
    <t>MM_SPSTOCK: Errors in authorization checks</t>
  </si>
  <si>
    <t>MM_MATNR: Incorrect authorization checks</t>
  </si>
  <si>
    <t>MM50: Incorrect authorization check</t>
  </si>
  <si>
    <t>MM_SPSTOCK: Termination with GETWA_NOT_ASSIGNED</t>
  </si>
  <si>
    <t>Documentation correction</t>
  </si>
  <si>
    <t>LO-MD-PC</t>
  </si>
  <si>
    <t>Product Catalog</t>
  </si>
  <si>
    <t>No prices in BAPI_ADV_MED_GET_LAYOUT</t>
  </si>
  <si>
    <t>LO-MD-PL</t>
  </si>
  <si>
    <t>Plant Master</t>
  </si>
  <si>
    <t>WB02 - Entry of SEPA mandate not possible</t>
  </si>
  <si>
    <t>Promo sale price is overwritten during ERP promotion create</t>
  </si>
  <si>
    <t>Meldung WU 589 bei der Aktionspreisdeaktivierung</t>
  </si>
  <si>
    <t>Offer transfer successful but bonus buy is missing</t>
  </si>
  <si>
    <t>Promo sale price is overwritten during ERP promotion change</t>
  </si>
  <si>
    <t>WRCR: Listing conditions are updated incorrectly</t>
  </si>
  <si>
    <t>Generic article variants listed despite facing = 0</t>
  </si>
  <si>
    <t>WSM9: WLK1 records expired on previous day are not deleted</t>
  </si>
  <si>
    <t>ERP Promotions with generic articles fails during update</t>
  </si>
  <si>
    <t>VKP5 : Pricing items are lost (WV307)</t>
  </si>
  <si>
    <t>Customer-specific function module: Condition incorrect</t>
  </si>
  <si>
    <t>SAPSQL_ARRAY_INSERT_DUPREC for list group 'D'</t>
  </si>
  <si>
    <t>VKP5: Upload Selection Criteria from Spreadsheet</t>
  </si>
  <si>
    <t>Short dump CONVT_OVERFLOW when saving purchase price</t>
  </si>
  <si>
    <t>Systemstatus trotz Löschung aus Objektliste</t>
  </si>
  <si>
    <t>Technical prerequisite for DIMP note 1797799</t>
  </si>
  <si>
    <t>IQ04: Error IUID034 when creating many serial numbers</t>
  </si>
  <si>
    <t>VL31N: Item category determination for IUID subitems</t>
  </si>
  <si>
    <t>UII fields invisible after display of user status</t>
  </si>
  <si>
    <t>WA03/WA08 - Incorrect Planned quantity determination</t>
  </si>
  <si>
    <t>Poor Performance of WF10 after activating MD-EWM</t>
  </si>
  <si>
    <t>Merchandise Distribution triggered incorrectly</t>
  </si>
  <si>
    <t>Reference Data not sent to External WM/EWM</t>
  </si>
  <si>
    <t>Incorrect ATP quantity during Synchronous Delivery Creation</t>
  </si>
  <si>
    <t>Initiator Process Determination for Inbound Delivery</t>
  </si>
  <si>
    <t>POIM creates IDocs for all bills of material (BOMs)</t>
  </si>
  <si>
    <t>POIM IDocs for BOMs: Material master is missing</t>
  </si>
  <si>
    <t>APO-CIF receives putaway time stamp that is not current II</t>
  </si>
  <si>
    <t>Purchase order from CRM order: Description incorr. language</t>
  </si>
  <si>
    <t>No storage loc for inbound del w/contract packager from IDoc</t>
  </si>
  <si>
    <t>Unlimited Overdelivery allowed: no EGR got created</t>
  </si>
  <si>
    <t>Serial Number got status EDEL after a delivery split</t>
  </si>
  <si>
    <t>Error message BORGR117 missing in application log</t>
  </si>
  <si>
    <t>Incorrect purchase order update (EKES) with CARR exception</t>
  </si>
  <si>
    <t>VL602 when replacing an inbound delivery</t>
  </si>
  <si>
    <t>Inbound delivery confirmation deleted despite goods movement</t>
  </si>
  <si>
    <t>Error message BORGR527 for GR confirmation from EWM</t>
  </si>
  <si>
    <t>Confirming batches w/ deletion inicator from EWM: BORGR550</t>
  </si>
  <si>
    <t>Delivery Item quantity doubled for 1-Step Returns STO</t>
  </si>
  <si>
    <t>VL10UC : Confusing 'Sales Document' field label</t>
  </si>
  <si>
    <t>Manual Address incomplete with Transportation Cross-Docking</t>
  </si>
  <si>
    <t>Dump after KMAT switch using dependency object</t>
  </si>
  <si>
    <t>Multiple call of the configuration</t>
  </si>
  <si>
    <t>Variant factors for material variants</t>
  </si>
  <si>
    <t>Performance problem due to processing of preconditions</t>
  </si>
  <si>
    <t>RCUUPDMATVAR keeps database transaction open for long time</t>
  </si>
  <si>
    <t>Incorrect author information for restrictable char.</t>
  </si>
  <si>
    <t>Preset for manuaal object search incomplete</t>
  </si>
  <si>
    <t>Documentation is not displayed completely II</t>
  </si>
  <si>
    <t>Performance problems in BAPI/IDoc</t>
  </si>
  <si>
    <t>CU50: Pushbuttons not displayed for material variants</t>
  </si>
  <si>
    <t>Connecting external configurator</t>
  </si>
  <si>
    <t>Documentation is not displayed completely</t>
  </si>
  <si>
    <t>IDoc/BAPI with characteristic value SPACE II</t>
  </si>
  <si>
    <t>Display problem for function module during value check</t>
  </si>
  <si>
    <t>Inconistent configuration is not locked</t>
  </si>
  <si>
    <t>LO-VC-CPR</t>
  </si>
  <si>
    <t>Configuration Profil</t>
  </si>
  <si>
    <t>CNPMAS: Missing lock during the inbound processing</t>
  </si>
  <si>
    <t>CNPMAS: Lock on material not set</t>
  </si>
  <si>
    <t>LO-VC-DEP</t>
  </si>
  <si>
    <t>Object Dependency</t>
  </si>
  <si>
    <t>Internal error in function DDBX_MATCH_FACT</t>
  </si>
  <si>
    <t>LO-VC-ECO</t>
  </si>
  <si>
    <t>Engineering Config.</t>
  </si>
  <si>
    <t>Instantiation and real fixing</t>
  </si>
  <si>
    <t>CAVC: Termination CX 151 for RFC</t>
  </si>
  <si>
    <t>Quantity specification: Manually entered items</t>
  </si>
  <si>
    <t>Termination ASSERTION_FAILED in the SET processing</t>
  </si>
  <si>
    <t>LOD-TEM</t>
  </si>
  <si>
    <t>Cloud for Travel</t>
  </si>
  <si>
    <t>LOD-TEM-IFI</t>
  </si>
  <si>
    <t>SAP Travel OnDemand: Sales order data is not read</t>
  </si>
  <si>
    <t>Statistical value is too high for Intrastat price variance</t>
  </si>
  <si>
    <t>Intrastat: File in CSV format for Portugal 2013</t>
  </si>
  <si>
    <t>Intrastat MEIS: Statistical value for sched. agrmt is zero</t>
  </si>
  <si>
    <t>MB5OA, MB5TD, and MB5SIT missing from SAP menu</t>
  </si>
  <si>
    <t>MM-IM-GF-AUTH</t>
  </si>
  <si>
    <t>Authorization Check</t>
  </si>
  <si>
    <t>MIGO: Authorization receiving plant during goods issue</t>
  </si>
  <si>
    <t>BAPI: Unloading point overwritten by reservation details</t>
  </si>
  <si>
    <t>MIGO: Date "Last GR" overwritten by stock transport order</t>
  </si>
  <si>
    <t>Partner profit center in MIGO/BAPI not derived again</t>
  </si>
  <si>
    <t>Goods movement for reservation with profitability segment</t>
  </si>
  <si>
    <t>MIGO:Commitment is incorrectly reduced</t>
  </si>
  <si>
    <t>ML81N/MIGO: Tax jurisdiction in the material document</t>
  </si>
  <si>
    <t>MM-IM-GF-CURR</t>
  </si>
  <si>
    <t>Goods Movmts. in For</t>
  </si>
  <si>
    <t>MIGO: Exchange rate differences for goods receipt</t>
  </si>
  <si>
    <t>MM-IM-GF-DLCR</t>
  </si>
  <si>
    <t>Create Delivery from</t>
  </si>
  <si>
    <t>MIGO: New BAdI for partner determination for delivery</t>
  </si>
  <si>
    <t>Enhancement of log table MMINKON_UP</t>
  </si>
  <si>
    <t>MB_CANCEL: Entering a header text for cancellation</t>
  </si>
  <si>
    <t>M7 021 or negative special stock in previous period</t>
  </si>
  <si>
    <t>VL32N : Error VL 699 for deleted purchase order item</t>
  </si>
  <si>
    <t>MB5K: Missing display of MSSA inconsistencies</t>
  </si>
  <si>
    <t>MB5T: Quantities are not displayed correctly</t>
  </si>
  <si>
    <t>MM-IM reports: Switch from MB03 to MIGO</t>
  </si>
  <si>
    <t>MBSTOCKS returns inconsistencies for MSSQ-SQBWE</t>
  </si>
  <si>
    <t>MBCKMDOCS selects all order data from AFKO and AFPO</t>
  </si>
  <si>
    <t>MBHISTS: Sytanx error: Component MBLNR already exists</t>
  </si>
  <si>
    <t>HUCANC: IO304 - Only &amp;2 serial numbers entered instead of &amp;1</t>
  </si>
  <si>
    <t>MB1B: Serial number pop-up incorrectly displayed</t>
  </si>
  <si>
    <t>MM-IM-GF-SPV</t>
  </si>
  <si>
    <t>Valuated Special Sto</t>
  </si>
  <si>
    <t>Timestamp not filled when EBEW/QBEW/OBEW segment is created</t>
  </si>
  <si>
    <t>Goods Issue and Ret.</t>
  </si>
  <si>
    <t>Error CPE_ERP 143 when creating goods issue for delivery</t>
  </si>
  <si>
    <t>MB01 for serialized purchase order: E IO201</t>
  </si>
  <si>
    <t>MIGO: Enhancement of the serial number proposal</t>
  </si>
  <si>
    <t>Message M7838 for return delivery for material document</t>
  </si>
  <si>
    <t>MIGO_DIALOG: Serial numbers not proposed</t>
  </si>
  <si>
    <t>Error IO304 at MvT 103/107 with serial numbers</t>
  </si>
  <si>
    <t>MIGO: Enhancement of serial number proposal for STOs</t>
  </si>
  <si>
    <t>Error IO 231 with movement type 107 and serial numbers</t>
  </si>
  <si>
    <t>GR for purchase order CONVT_NO_NUMBER</t>
  </si>
  <si>
    <t>MAA2: Reference key for document item (BSEG-XREF3)</t>
  </si>
  <si>
    <t>MBST: Error M7022 when cancelling subcontracting</t>
  </si>
  <si>
    <t>MIGO: Error M7 873 during goods receipt for subcontracting</t>
  </si>
  <si>
    <t>BAPI subsequent adjustment BWA 544 error: M7 387</t>
  </si>
  <si>
    <t>MI35: Error message M7 419 for serial no. managed materials</t>
  </si>
  <si>
    <t>MIS5: No update of book values of stock management levels</t>
  </si>
  <si>
    <t>MI07: Error message M7 001 for subcontracting stock</t>
  </si>
  <si>
    <t>MI07: Incorrect serial numbers proposed and updated</t>
  </si>
  <si>
    <t>MI03: Header fields incorrectly available for input</t>
  </si>
  <si>
    <t>MB21: Error message M7001 for table 063F</t>
  </si>
  <si>
    <t>MB25: Jump to reservation is not executed</t>
  </si>
  <si>
    <t>Stock transfer/post.</t>
  </si>
  <si>
    <t>SIT/MMBE: Incorrect receiving valuated SIT stock quantity</t>
  </si>
  <si>
    <t>VLPOD: "Cancel Proof of Delivery" causes incomplete movement</t>
  </si>
  <si>
    <t>VLPOD: Confirm POD w/ conf. control key - w/o confirmation</t>
  </si>
  <si>
    <t>Incorrect update of MSTE/MSTB/MSTQ for batch split</t>
  </si>
  <si>
    <t>VL02N: goods issue with error m7022 for SIT</t>
  </si>
  <si>
    <t>SIT: Cancelation in VLPOD fails with M7328 (EKLA-LWSBB)</t>
  </si>
  <si>
    <t>SiT: M7022 when posting goods receipt (GR) for PO (NBC3)</t>
  </si>
  <si>
    <t>SIT: IO231 for GR from receiving transit with SOBKZ (E/Q)</t>
  </si>
  <si>
    <t>MRF3: Stk transf. bet. plants w/ subcontracting not selected</t>
  </si>
  <si>
    <t>MRF3: Incorrect receipt values due to cancellation movements</t>
  </si>
  <si>
    <t>MRL3: Incorrect result in collective processing</t>
  </si>
  <si>
    <t>MRL5: Amount fields do not match currency</t>
  </si>
  <si>
    <t>MRY1: Inflation accounting only for one company code</t>
  </si>
  <si>
    <t>MRN0: Incorrect change document for price update</t>
  </si>
  <si>
    <t>Balance sheet valuation: Identical select on table MBEW</t>
  </si>
  <si>
    <t>MM-IV-ADB</t>
  </si>
  <si>
    <t>Adobe Document Services in Invoice Verification</t>
  </si>
  <si>
    <t>MM-IV-ADB-PRN</t>
  </si>
  <si>
    <t>Document Output with</t>
  </si>
  <si>
    <t>Missing subject line when adobe form is used to send email</t>
  </si>
  <si>
    <t>MR11: SQL error DBIF_RSQL_INVALID_RSQL for TM selection</t>
  </si>
  <si>
    <t>MR11SHOW: Program termination SAPSQL_ARRAY_INSERT_DUPREC</t>
  </si>
  <si>
    <t>MR11: Quantities and units not filled in FI document</t>
  </si>
  <si>
    <t>MR11: Multiple selection partially not possible</t>
  </si>
  <si>
    <t>MR11: Entry quantity not filled correctly</t>
  </si>
  <si>
    <t>Error 37 166 when generating screen 6310 (SAPLMR1M)</t>
  </si>
  <si>
    <t>EDI:Invoice for canceled service entry sheet</t>
  </si>
  <si>
    <t>MM-IV-INT-PAY</t>
  </si>
  <si>
    <t>Payment</t>
  </si>
  <si>
    <t>MIRO: Cash discount value not correct for net document type</t>
  </si>
  <si>
    <t>MIRO: Corrections for invoice reduction</t>
  </si>
  <si>
    <t>Syntax error in individual include files</t>
  </si>
  <si>
    <t>MIR5: Missing field labels and column headers</t>
  </si>
  <si>
    <t>BAPI: Error FF 759 for direct tax posting and ML</t>
  </si>
  <si>
    <t>BAPI: Negative tax value with BAPI_INCOMINGINVOICE_CREATE1</t>
  </si>
  <si>
    <t>MRKO: FI doc split for consignment/pipeline settlement (2)</t>
  </si>
  <si>
    <t>MRKO: Error message F5 727 despite active FI summarization</t>
  </si>
  <si>
    <t>MIRO: F5703 if you change tax data manually</t>
  </si>
  <si>
    <t>MIRO: Delivery note search and data element documentation</t>
  </si>
  <si>
    <t>MIRO: Error message M8 140 for contract reference</t>
  </si>
  <si>
    <t>MIRO: Posting to stock instead of price difference</t>
  </si>
  <si>
    <t>MIRO: Online function code for BAdIs</t>
  </si>
  <si>
    <t>MIRO: HTML client issues runtime error MESSAGE_TYPE_UNKNOWN.</t>
  </si>
  <si>
    <t>MIRO: ABAP runtime error DATREF_NOT_ASSIGNED for TM ref.</t>
  </si>
  <si>
    <t>MM-IV-LIV-ERS</t>
  </si>
  <si>
    <t>ERS</t>
  </si>
  <si>
    <t>MRRL: Performance improvement</t>
  </si>
  <si>
    <t>MRRL: Indicator for capital goods cannot be changed</t>
  </si>
  <si>
    <t>MIRA: Prepayment data is not available</t>
  </si>
  <si>
    <t>MRBP: Customer-specific conditions are not saved</t>
  </si>
  <si>
    <t>MIR4/MIR6: Background invoice contains incorrect items.</t>
  </si>
  <si>
    <t>MIR4: Error messages for TM reference</t>
  </si>
  <si>
    <t>MIR4: Update termination when selecting delivery note</t>
  </si>
  <si>
    <t>MIRA, MIR7: Error message F5 814 for prepayment document</t>
  </si>
  <si>
    <t>MIR4: Table entry RBCO not deleted</t>
  </si>
  <si>
    <t>MRBR: Authorization object M_RECH_EKG with release</t>
  </si>
  <si>
    <t>Print Preview does not display discount conditions</t>
  </si>
  <si>
    <t>Issue with dunning of RFQ while using Adobe form for print</t>
  </si>
  <si>
    <t>Dunning letter generated with expediter instead of reminder</t>
  </si>
  <si>
    <t>Scales printed incorrectly for discount conditions</t>
  </si>
  <si>
    <t>DL: Sales prices determined unnecessarily</t>
  </si>
  <si>
    <t>Umhängen von TADIR EInträgen</t>
  </si>
  <si>
    <t>Article texts are missing</t>
  </si>
  <si>
    <t>substitution article texts are missing</t>
  </si>
  <si>
    <t>MEPO867: split cost cross company code not allowed</t>
  </si>
  <si>
    <t>MM_EKKO: Data records not deleted from table EIUV</t>
  </si>
  <si>
    <t>MM_EBAN:Change documents of purchase order are also archived</t>
  </si>
  <si>
    <t>Too many Info Record data selected (IS-Retail)</t>
  </si>
  <si>
    <t>BAPI_PO_CHANGE: Incorrect schedule lines when blocking items</t>
  </si>
  <si>
    <t>Message 06540 disappeared for old schedule line logic</t>
  </si>
  <si>
    <t>PM Catalog dump if BADI is inactive</t>
  </si>
  <si>
    <t>No commitment reduction for unplanned acct assgmt in invoice</t>
  </si>
  <si>
    <t>Change of confirmation control key not validated</t>
  </si>
  <si>
    <t>Confirmation qty updated wrongly when using alternate UoM</t>
  </si>
  <si>
    <t>Inbound delivery creation using VL34 results in dump</t>
  </si>
  <si>
    <t>IDoc processing with multiple deliveries results in dump</t>
  </si>
  <si>
    <t>Confirmation disappears after changing the delivery date</t>
  </si>
  <si>
    <t>VL34 result in dump while creating inbound delivery</t>
  </si>
  <si>
    <t>Dump in ME23N when VBELN(Inbound delivery) is alphanumeric</t>
  </si>
  <si>
    <t>ITAB_DUPLICATE_KEY: ME_EKES_SINGLE_READ_ITEM</t>
  </si>
  <si>
    <t>Error CPE_ERP 144 during goods receipt</t>
  </si>
  <si>
    <t>CPE: Error in ME_PRICING_REFRESH</t>
  </si>
  <si>
    <t>No F4 help for CPE formula key in purchase order</t>
  </si>
  <si>
    <t>FBRA: dump when reset clearing between DPR and DP</t>
  </si>
  <si>
    <t>ORDRSP: PO updated partially although parking is active</t>
  </si>
  <si>
    <t>ORDCHG: ME 760 when changing partner data (EKPA) only</t>
  </si>
  <si>
    <t>CCM: plant specific conditions with same validity</t>
  </si>
  <si>
    <t>PR sent to sourcing although it is no longer released</t>
  </si>
  <si>
    <t>PurchaseOrderERPRequest_V1: Reference to contract fails</t>
  </si>
  <si>
    <t>Exception CX_AI_SYSTEM_FAULT caught incorrectly</t>
  </si>
  <si>
    <t>Reversal of returns PO w/ delivery costs SHKZG is incorrect</t>
  </si>
  <si>
    <t>MIRO: Error message M8079 with credit memo for blanket PO</t>
  </si>
  <si>
    <t>Tax code not getting transfered to consignment PO</t>
  </si>
  <si>
    <t>MIRO/MIGO: wrong values proposed for amount and quantity</t>
  </si>
  <si>
    <t>Tax code not getting transfered to consignment SA</t>
  </si>
  <si>
    <t>MM-PUR-GF-KONF</t>
  </si>
  <si>
    <t>BAPI_PO_CREATE1: Update termination with error CU013</t>
  </si>
  <si>
    <t>MM-PUR-GF-MAS</t>
  </si>
  <si>
    <t>Mass change</t>
  </si>
  <si>
    <t>MEMASSIN: Mass maintenance of info records w/invalid VERID</t>
  </si>
  <si>
    <t>Non-stock material components of BOM not printed</t>
  </si>
  <si>
    <t>Change message not generated after processing ORDRSP</t>
  </si>
  <si>
    <t>Incorrect price determined during ERS Settlement process</t>
  </si>
  <si>
    <t>ME1M: Document is reorganized</t>
  </si>
  <si>
    <t>Heading info is not displayed in ABAP list viewer in ME5K</t>
  </si>
  <si>
    <t>ME2L: "To-be-delivered" qty when ELIKZ/LOEKZ is set</t>
  </si>
  <si>
    <t>ME3K- Incorrect vendor description</t>
  </si>
  <si>
    <t>ME2COMP: Component consumption history displayed incorrectly</t>
  </si>
  <si>
    <t>MM-PUR-GF-SI</t>
  </si>
  <si>
    <t>Subitems</t>
  </si>
  <si>
    <t>ME22N - Error 06 835 issued when deleting sub-items.</t>
  </si>
  <si>
    <t>Dump RAISE_EXCEPTION when creating PO with subitems</t>
  </si>
  <si>
    <t>Error 06098 in ME21N after entering Supplying plant input</t>
  </si>
  <si>
    <t>BAPI_PO_CREATE1: DIVISION BY ZERO exception</t>
  </si>
  <si>
    <t>MM-PUR-GF-TAX</t>
  </si>
  <si>
    <t>Tax code derivation called before del. address processing</t>
  </si>
  <si>
    <t>ME21N: Creating purchase orders in parallel</t>
  </si>
  <si>
    <t>MM-PUR-GF-VER</t>
  </si>
  <si>
    <t>Version management</t>
  </si>
  <si>
    <t>ME23N: Program termination when displaying version texts</t>
  </si>
  <si>
    <t>MM-PUR-INT</t>
  </si>
  <si>
    <t>Integration</t>
  </si>
  <si>
    <t>MM-PUR-INT-ESO</t>
  </si>
  <si>
    <t>Integration ESO</t>
  </si>
  <si>
    <t>Heterogeneous behavior when publishing a Master Agreement</t>
  </si>
  <si>
    <t>Outline Purchase Agreements With Vendors</t>
  </si>
  <si>
    <t>BAPI: Cannot delete item even though final delivery is set</t>
  </si>
  <si>
    <t>BAPI: Past condition treated as future condition</t>
  </si>
  <si>
    <t>No tax code determination for third party items</t>
  </si>
  <si>
    <t>SAP QM data not validated when creating outline agreement</t>
  </si>
  <si>
    <t>Mandatory Field check on header not executed</t>
  </si>
  <si>
    <t>Accessibility issues in transactions ME31K/ME32K/ME33K</t>
  </si>
  <si>
    <t>Tax conditions missing in PO with central contract reference</t>
  </si>
  <si>
    <t>Delivery Date Time-Spot incorrecly stored</t>
  </si>
  <si>
    <t>Dump while executing BAPI_SAG_CREATE</t>
  </si>
  <si>
    <t>PR to PO conversion failed in ME59</t>
  </si>
  <si>
    <t>ME59N: Grouping of Purchase Requisitions</t>
  </si>
  <si>
    <t>ME59N: conv. of PRs with different item cat. fails</t>
  </si>
  <si>
    <t>MMPUR_TEMPLATE: wrong data might be displayed</t>
  </si>
  <si>
    <t>ME22N: wrong released quantity / value calculated</t>
  </si>
  <si>
    <t>UNCAUGHT_EXCEPTION when creating a Purchase Order</t>
  </si>
  <si>
    <t>Date determination for document index update</t>
  </si>
  <si>
    <t>ME22N: Missing BEDAT after PO quantity change</t>
  </si>
  <si>
    <t>BAPI_PO_CHANGE copies price from last document</t>
  </si>
  <si>
    <t>BAPI_PO_CREATE1/BAPI_PO_CHANGE - Cannot change partner data</t>
  </si>
  <si>
    <t>MEPO 042 'Please enter delivery date' when deleting an item</t>
  </si>
  <si>
    <t>Error 06 019 'Document does not exist' when creating a PO</t>
  </si>
  <si>
    <t>SOBKZ missing when creating STO using BAPI_PO_CREATE1</t>
  </si>
  <si>
    <t>Profitability Segment not assigned as costing object (CRM)</t>
  </si>
  <si>
    <t>Profitability Segment not adopted from SAP CRM order</t>
  </si>
  <si>
    <t>Output generated even though no data changed using BAPI</t>
  </si>
  <si>
    <t>Accessibility issues in transactions ME21N/ME22N/ME23N</t>
  </si>
  <si>
    <t>Dump CX_SY_CONVERT_NO_NUMBER when displaying a parked PO</t>
  </si>
  <si>
    <t>PO not created from bidding engine</t>
  </si>
  <si>
    <t>06 030 for SAP Sourcing vendor when creating a PO</t>
  </si>
  <si>
    <t>Fields are initial after returning to the selection screen</t>
  </si>
  <si>
    <t>ME51N: SC vendor flag saved for Item category 'U'</t>
  </si>
  <si>
    <t>ME51N: Wrong delivery date calculation in PReq</t>
  </si>
  <si>
    <t>ME57: PO creation is possible for incomplete PReqs</t>
  </si>
  <si>
    <t>No check on mandatory fields for PR creation via Maintenance</t>
  </si>
  <si>
    <t>POSTING_ILLEGAL_STATEMENT in SAPLEBNE</t>
  </si>
  <si>
    <t>BAPI_REQUISITION_CHANGE - Texts are not deleted</t>
  </si>
  <si>
    <t>PR acct. errors not raised via ext. interface (PP, PS, PM)</t>
  </si>
  <si>
    <t>Version data not adopted by BAPI_PR_CREATE</t>
  </si>
  <si>
    <t>BAPI: Negative Price Unit (PEINH) in Purchase Requisition</t>
  </si>
  <si>
    <t>Accessibility issues in transaction ME51N/ME52N/ME53N</t>
  </si>
  <si>
    <t>Overlapping fields in Sourcing View of ME5xN transaction</t>
  </si>
  <si>
    <t>Incorrect warning with different language of vendor</t>
  </si>
  <si>
    <t>CK40N - Costing gives a wrong price of the materials</t>
  </si>
  <si>
    <t>Performance issue while assigning source using RM06BZ10</t>
  </si>
  <si>
    <t>MM-PUR-SQ-QTA</t>
  </si>
  <si>
    <t>Quota Arrangement</t>
  </si>
  <si>
    <t>Quota allocated quantity not updated when deleting PO item</t>
  </si>
  <si>
    <t>Closed requisition is considered by report RM06Q003</t>
  </si>
  <si>
    <t>MM-PUR-SQ-SLI</t>
  </si>
  <si>
    <t>Source List</t>
  </si>
  <si>
    <t>Update error in ME_UPDATE_SOURCES_OF_SUPPLY</t>
  </si>
  <si>
    <t>ME01: not possible to add new lines</t>
  </si>
  <si>
    <t>CNS41/CJV4: Runtime Errors SAPSQL_INVALID_FIELDNAME</t>
  </si>
  <si>
    <t>Extensibility of Shopping Cart models in ERP Shopping Cart.</t>
  </si>
  <si>
    <t>No error message when gl-account is missing</t>
  </si>
  <si>
    <t>Missing parameters in the catalog badi</t>
  </si>
  <si>
    <t>Shopping Cart Material Search Issue with BESKZ</t>
  </si>
  <si>
    <t>Technical problem in catalog during Search</t>
  </si>
  <si>
    <t>Shopping cart can be save with 2 default document types</t>
  </si>
  <si>
    <t>Wrong amount displayed if user setting is set to DCPFM = Y</t>
  </si>
  <si>
    <t>Item longtext from Catalog does not reach Shopping Cart</t>
  </si>
  <si>
    <t>No Error when GL-Account is missing.</t>
  </si>
  <si>
    <t>MM-PUR-VM-CON</t>
  </si>
  <si>
    <t>Conditions</t>
  </si>
  <si>
    <t>Freight vendor not validated against the purchasing org</t>
  </si>
  <si>
    <t>Info record creation resulted in dump after error VK040</t>
  </si>
  <si>
    <t>Info record creation updates date fields incorrectly</t>
  </si>
  <si>
    <t>ME12: Editor text changes will not be saved</t>
  </si>
  <si>
    <t>MEB1: Indicator "BVol.comp. partial settlement" is not set</t>
  </si>
  <si>
    <t>BAPI_ENTRYSHEET_RELEASE with COMMIT WORK</t>
  </si>
  <si>
    <t>Text not copied from catalog in PM</t>
  </si>
  <si>
    <t>Catalog Download Icon available in task list</t>
  </si>
  <si>
    <t>FMMC - Commitment Close Program does not work for Network</t>
  </si>
  <si>
    <t>Follow on note to 1641505</t>
  </si>
  <si>
    <t>Wrong price determined in external service contracts.</t>
  </si>
  <si>
    <t>ME41: System dumps when created from purchase requisition.</t>
  </si>
  <si>
    <t>MM-SRV-ACC</t>
  </si>
  <si>
    <t>Incorrect Commitments for Service Items</t>
  </si>
  <si>
    <t>MAA: ML81N suggests wrong quantity and gross price</t>
  </si>
  <si>
    <t>MIRO is not showing all SES with MAA when one SES is deleted</t>
  </si>
  <si>
    <t>Rouding issue in BAPI_PR_CREATE</t>
  </si>
  <si>
    <t>BAPI:System issues generalised error message SE 117</t>
  </si>
  <si>
    <t>Incorrect update of NAVNW after BAPI_PO_CHANGE in EKKN</t>
  </si>
  <si>
    <t>SRM SUS/ML81N: FI errors during Service Entry Sheet approval</t>
  </si>
  <si>
    <t>RFX Response -&gt; PO Creation - Maximum service oulines issue</t>
  </si>
  <si>
    <t>PurchaseOrderERPRequest_In_V1: error message 06 413 issued</t>
  </si>
  <si>
    <t>CCM: Change fails with the error message SE 371</t>
  </si>
  <si>
    <t>SES created from SRM SUS with wrong Account Assignment</t>
  </si>
  <si>
    <t>CCM: Release order value not updated for PO status changed</t>
  </si>
  <si>
    <t>F6 039: Commitment item does not exist</t>
  </si>
  <si>
    <t>CJ20N: service line changes not updated into SRM SC</t>
  </si>
  <si>
    <t>SRVMAPKEY generated for CCM and Purchase orders</t>
  </si>
  <si>
    <t>System does not issue error message SE 402</t>
  </si>
  <si>
    <t>MM-SRV-GF-CO</t>
  </si>
  <si>
    <t>ME22N/ME23N: Service line level commitments affects limit PO</t>
  </si>
  <si>
    <t>SES could not be posted after Invoice and Subsequent credi</t>
  </si>
  <si>
    <t>User Defined fields not visible in Additional tab of SES</t>
  </si>
  <si>
    <t>ML81N: In Vendor view, PO's are not shown for some vendors</t>
  </si>
  <si>
    <t>PA</t>
  </si>
  <si>
    <t>Personnel Management</t>
  </si>
  <si>
    <t>PA-PM</t>
  </si>
  <si>
    <t>Funds and Position Management</t>
  </si>
  <si>
    <t>PA-PM-CP</t>
  </si>
  <si>
    <t>Commitment/Budget Cr</t>
  </si>
  <si>
    <t>Fehlermeldung FMEF031 bei Obligoerstellung</t>
  </si>
  <si>
    <t>EAM: Program termination - error msg "Conversion error"</t>
  </si>
  <si>
    <t>Preparing implementation of SAP Note 1795638</t>
  </si>
  <si>
    <t>Downport note: SAP Visual Enterprise Integration in EAM</t>
  </si>
  <si>
    <t>EAM Side Panels, Roles and Tagging information</t>
  </si>
  <si>
    <t>Vorbereitung für Hinweis 1717628</t>
  </si>
  <si>
    <t>Unable to change existing Multilingual Texts via IE02 / IL02</t>
  </si>
  <si>
    <t>Full table scan performed on table EQKT</t>
  </si>
  <si>
    <t>PM structure lists - cancelling popup leaves transaction</t>
  </si>
  <si>
    <t>Installation/dismantling ignores status settings</t>
  </si>
  <si>
    <t>IBIP: Cannot change reference location in IL02</t>
  </si>
  <si>
    <t>LAM : F4 help for markers doesn't display all markers</t>
  </si>
  <si>
    <t>Equipment list transaction delivers wrong result</t>
  </si>
  <si>
    <t>Functional location list transaction delivers wrong result</t>
  </si>
  <si>
    <t>IK34 allows creation of measurement documents in future time</t>
  </si>
  <si>
    <t>SOA: Technical object missing in maintenance item</t>
  </si>
  <si>
    <t>Push Button DOKUMENTE auf normalem PM-Auftrag</t>
  </si>
  <si>
    <t>IP 418 not correctly raised for fixed date</t>
  </si>
  <si>
    <t>Message IW478 not raised in Tasklist</t>
  </si>
  <si>
    <t>Missing input parameter check in IP25</t>
  </si>
  <si>
    <t>Double entry of planning data in maint.plan requird</t>
  </si>
  <si>
    <t>MCP: Counter is not automaticaly assigned to cycle</t>
  </si>
  <si>
    <t>IP19 : extra fields appears without checking switch</t>
  </si>
  <si>
    <t>Call horizon is not correctly filled for strategy plans</t>
  </si>
  <si>
    <t>IP11U : offset is not correctly used for start date calc.</t>
  </si>
  <si>
    <t>IA06 : couldn't change the maintenance strategy</t>
  </si>
  <si>
    <t>CA77: User parameters for Documents are not considered</t>
  </si>
  <si>
    <t>IP62: Performance Improvement</t>
  </si>
  <si>
    <t>IA17: Long text truncated when printing task lists</t>
  </si>
  <si>
    <t>IP16 doesn't select all maintenance plans</t>
  </si>
  <si>
    <t>WCM: Program termination I4701 during order processing</t>
  </si>
  <si>
    <t>IW42:Wrong Operation Number is selected in Service selection</t>
  </si>
  <si>
    <t>IW42: Update of confirmations without entries II</t>
  </si>
  <si>
    <t>IW49 / IW37  fetches incorrect results</t>
  </si>
  <si>
    <t>Equipments/functional locations incorr. for operations</t>
  </si>
  <si>
    <t>Technical prerequisite for SAP Note 1827847</t>
  </si>
  <si>
    <t>MAM3.0: Target Value not retrieved in the correct format</t>
  </si>
  <si>
    <t>MAM3.0: Incorrect address change for functional location</t>
  </si>
  <si>
    <t>MAM: Contract data not validated during service order create</t>
  </si>
  <si>
    <t>IW27: Termination with warning message</t>
  </si>
  <si>
    <t>IW23: Causes long text icon is accessible but no long text</t>
  </si>
  <si>
    <t>Runtime error when executing document flow or incorrect docs</t>
  </si>
  <si>
    <t>IW52:Delete Task allowed even with user status set to forbid</t>
  </si>
  <si>
    <t>IW23/53:Sales Order Button displayed in notification display</t>
  </si>
  <si>
    <t>IW52: Extension to note 1815315</t>
  </si>
  <si>
    <t>Notification/order: Paging -&gt; transmission information</t>
  </si>
  <si>
    <t>Notification/order: Action log -&gt; paging info</t>
  </si>
  <si>
    <t>EAM message - Follow-up actions not executed</t>
  </si>
  <si>
    <t>PAM: Prerequisites for SAP Note 1806048</t>
  </si>
  <si>
    <t>EC86: Error message IM 049 during creation of PM order</t>
  </si>
  <si>
    <t>RKKBABS0: Actual parameter incompatible w/ formal parameter</t>
  </si>
  <si>
    <t>History of document assignments to maintenance order</t>
  </si>
  <si>
    <t>IW31: PM activity type not filtered when set as influencing</t>
  </si>
  <si>
    <t>BAPI_ALM_ORDER_MAINTAIN: Default filling of SD data</t>
  </si>
  <si>
    <t>CO02: Required quantity incorrect if Var. size item changed</t>
  </si>
  <si>
    <t>IW32 : Unnecessary save pop-up even though no changes made</t>
  </si>
  <si>
    <t>IW31: Sub operation is not defauting the execution factor</t>
  </si>
  <si>
    <t>IW31/32: Sort field greyed out in general data of component</t>
  </si>
  <si>
    <t>Variable-size calculation is incorrect</t>
  </si>
  <si>
    <t>Basic order view account assignment data message 2054ALE 021</t>
  </si>
  <si>
    <t>EAM order: Initial first long text line in order header</t>
  </si>
  <si>
    <t>BUS2007/BUS2088: Attribute Notification not supplied</t>
  </si>
  <si>
    <t>IW12: Incorrect unit of measure for details of SD documents</t>
  </si>
  <si>
    <t>IW32: No check on WBS element and network activity in order</t>
  </si>
  <si>
    <t>RKKBABS0: Message ISTNLMROLE209 does not exist</t>
  </si>
  <si>
    <t>IP10: Profit center and responsible cost center not filled</t>
  </si>
  <si>
    <t>BAPI_ALM_ORDER_GET_DETAIL: Runtime error CONVT_NO_NUMBER</t>
  </si>
  <si>
    <t>IW31/32: Profit Centre data missing for Header Operation</t>
  </si>
  <si>
    <t>Fehler 'ME083' beim Einbinden Arbeitsplan in PM/CS Auftrag</t>
  </si>
  <si>
    <t>Error 'ME083' when including routing in PM/CS order</t>
  </si>
  <si>
    <t>Planned costs in order with operation acct assgnm incorrect</t>
  </si>
  <si>
    <t>Performance issue when executing report RIARCQM3</t>
  </si>
  <si>
    <t>IW13 does not return a result under specific circumstances</t>
  </si>
  <si>
    <t>No default "Settlement to sales document item"</t>
  </si>
  <si>
    <t>FBV0: Extremely long runtime when posting parked documents</t>
  </si>
  <si>
    <t>OAA order: Operation with actual costs can be deleted</t>
  </si>
  <si>
    <t>OIDH : User could not change the country alone</t>
  </si>
  <si>
    <t>Changes were cancelled</t>
  </si>
  <si>
    <t>PP-ATO</t>
  </si>
  <si>
    <t>Assembly Processing</t>
  </si>
  <si>
    <t>Dump when creating delivery for sales order with assembly.</t>
  </si>
  <si>
    <t>PP-BD-CAP</t>
  </si>
  <si>
    <t>CAPP</t>
  </si>
  <si>
    <t>OPE0 : Where used check during translation</t>
  </si>
  <si>
    <t>CA98: Error CV 539 due to incorrect authorization check.</t>
  </si>
  <si>
    <t>performance problem in CP_EX_PLAN_READ_INTERVAL</t>
  </si>
  <si>
    <t>Usage of the statement "TRANSLATE" in a multilingual system</t>
  </si>
  <si>
    <t>Runtime error for display of work center CR03</t>
  </si>
  <si>
    <t>Incorrect message for LSMW creation of work centers</t>
  </si>
  <si>
    <t>PP_WKC ILM Enablement: Checks for Data Destruction</t>
  </si>
  <si>
    <t>Kanban calculation taking the capacities into account</t>
  </si>
  <si>
    <t>PKMC: DUMP on Additonal Dep.Requirements selection screen</t>
  </si>
  <si>
    <t>Kanban scheduling for ext. procurement analogous to calls</t>
  </si>
  <si>
    <t>Kanban procurement with collective production order</t>
  </si>
  <si>
    <t>Capacity requirements missing in IDoc LOIPRO02</t>
  </si>
  <si>
    <t>Correcting package check errors in package IQSM</t>
  </si>
  <si>
    <t>Filter criteria for order type are not considered</t>
  </si>
  <si>
    <t>Distr. to daily rate for weekly reqmts creates too low qtys</t>
  </si>
  <si>
    <t>MRP-AREA: No reduction of PIR against reservation</t>
  </si>
  <si>
    <t>Missing fixed value "LP" for domain DTART</t>
  </si>
  <si>
    <t>PP-MP-MPS</t>
  </si>
  <si>
    <t>Master Prod. sched.</t>
  </si>
  <si>
    <t>MD45: No planning result on accessing with mrp-areas</t>
  </si>
  <si>
    <t>Error in function module DATE_GET_PERIOD</t>
  </si>
  <si>
    <t>Many selects to the table GRPGA</t>
  </si>
  <si>
    <t>Output of customer name and supplier name too short</t>
  </si>
  <si>
    <t>MD09: Dump with pegged requirement for purchase requisition</t>
  </si>
  <si>
    <t>MD04: Dump GETWA_NOT_ASSIGNED in cross-plant view</t>
  </si>
  <si>
    <t>Shortage for NETPL if factory calendar is too short</t>
  </si>
  <si>
    <t>C202/C203: Short Dump in External Relationship overview</t>
  </si>
  <si>
    <t>C202: Error message CN873 when viewing relationships</t>
  </si>
  <si>
    <t>PP-PI-PMA-XS</t>
  </si>
  <si>
    <t>Xsteps (Execution</t>
  </si>
  <si>
    <t>COR1: Master recipe with Xsteps has not been approved</t>
  </si>
  <si>
    <t>Automatic goods receipt for process material</t>
  </si>
  <si>
    <t>Well test standardization returns wrong values for test</t>
  </si>
  <si>
    <t>Allocation run does not pick the correct well test data</t>
  </si>
  <si>
    <t>Simulation pre-processing does not show all records</t>
  </si>
  <si>
    <t>Missing system messages COIB 014 and COIB 015</t>
  </si>
  <si>
    <t>PP-SFC-DMT</t>
  </si>
  <si>
    <t>Shop Floor Dispatch.</t>
  </si>
  <si>
    <t>OEE integration of ERP production orders and work centers</t>
  </si>
  <si>
    <t>Order split: Error C2 090 during background processing</t>
  </si>
  <si>
    <t>CORUPROC1 / BAPI: Duplicate goods movement records</t>
  </si>
  <si>
    <t>Status DLV even though confirmations are cancelled with GR</t>
  </si>
  <si>
    <t>Single-screen entry: Short dump MESSAGE_TYPE_UNKNOWN</t>
  </si>
  <si>
    <t>Leaving goods movement overview: Batch locks</t>
  </si>
  <si>
    <t>BAPI BAPI_PRODORDCONF_CREATE_TT posts wrong goodsmovments.</t>
  </si>
  <si>
    <t>F4 help for storage location: Dump COMPUTE_BCD_OVERFLOW</t>
  </si>
  <si>
    <t>Automatic goods receipt takes place several times</t>
  </si>
  <si>
    <t>Date of manufacture of batch is overwritten</t>
  </si>
  <si>
    <t>Automatic GR co-products with inspection lot</t>
  </si>
  <si>
    <t>COGI: Runtime error WRITE_TO_OFFSET_TOOLARGE</t>
  </si>
  <si>
    <t>BAPI for default data: Multiple call</t>
  </si>
  <si>
    <t>PP-SFC-EXE-WIP</t>
  </si>
  <si>
    <t>Work-In-Process</t>
  </si>
  <si>
    <t>Create WIP batches: Missing initialization</t>
  </si>
  <si>
    <t>Dump by reset of ATP check of mass processing COHV</t>
  </si>
  <si>
    <t>COIS_SELECT_ORDER_DATA_READ - Order type</t>
  </si>
  <si>
    <t>BAPI: Variant configuration is displayed in dialog</t>
  </si>
  <si>
    <t>Higher-level assembly not copied during manual batch split</t>
  </si>
  <si>
    <t>Partial conversion planned order: Incorrect ATP check</t>
  </si>
  <si>
    <t>CO02: Configuration not copied during manual batch split</t>
  </si>
  <si>
    <t>Revision level for successor for simple discontinuation</t>
  </si>
  <si>
    <t>External procurement: Currency is missing or is incorrect</t>
  </si>
  <si>
    <t>Adding an operation: Control key</t>
  </si>
  <si>
    <t>Order report: F4 sales order item</t>
  </si>
  <si>
    <t>CO_SE_PRODORD_CHANGE: Overlap indicator</t>
  </si>
  <si>
    <t>Collective order: Profit center after addition</t>
  </si>
  <si>
    <t>No automatic selection of routing</t>
  </si>
  <si>
    <t>PP-SFC-PLN-PRT</t>
  </si>
  <si>
    <t>Production Resources</t>
  </si>
  <si>
    <t>CO02: Order release rejected after warning during PRT check</t>
  </si>
  <si>
    <t>(MM)Exchange rate from purchase order not taken into account</t>
  </si>
  <si>
    <t>(MM) Changes to vendor in PReq is not transferred</t>
  </si>
  <si>
    <t>RKANBU01_CASH: Del. items from PReq subsequently posted II</t>
  </si>
  <si>
    <t>CJ30/CJ40: Enable roll up for changes</t>
  </si>
  <si>
    <t>CJB1: Long runtimes despite low number of WBS elements</t>
  </si>
  <si>
    <t>CJV4: ECP changes are not transferred</t>
  </si>
  <si>
    <t>CJV4: ECP from simulation activities is not transferred</t>
  </si>
  <si>
    <t>CNECP_READ: dump when reading cost estimates</t>
  </si>
  <si>
    <t>CJ40: Planning values updated without saving</t>
  </si>
  <si>
    <t>Project planning for several years</t>
  </si>
  <si>
    <t>PS: Capacities are activated for activity element with TECO</t>
  </si>
  <si>
    <t>Workforce Planning: Other Work Centre Icon works incorrectly</t>
  </si>
  <si>
    <t>CMP9 : Dump when running transaction CMP9</t>
  </si>
  <si>
    <t>PS-DOC</t>
  </si>
  <si>
    <t>Deleting activity: Document assignment is not deleted.</t>
  </si>
  <si>
    <t>HF_INTEGRATED_COST_REPORTING: long runtime in huge projects</t>
  </si>
  <si>
    <t>Long runtimes in fumo GET_PS_OBJECTNUMBER (M_PRPOB, ORACLE)</t>
  </si>
  <si>
    <t>Short dump when evaluating archived projects</t>
  </si>
  <si>
    <t>Confirmation cancel. detail view/long text displays original</t>
  </si>
  <si>
    <t>CN46N: missing data for versions</t>
  </si>
  <si>
    <t>CNXXN: Job creates output with 999 characters column width</t>
  </si>
  <si>
    <t>PSIS: Incorrect column title during export to Excel</t>
  </si>
  <si>
    <t>Wrong supply area defaulted when storage location changed</t>
  </si>
  <si>
    <t>PS: Short text incorrect when document created from CN22</t>
  </si>
  <si>
    <t>PS-MAT-PRC</t>
  </si>
  <si>
    <t>Procurement</t>
  </si>
  <si>
    <t>CJ20N: Purchase requisition not generated on releasing WBS</t>
  </si>
  <si>
    <t>Dump while importing data from excel in CNPAWB</t>
  </si>
  <si>
    <t>Billing Block and Billing Date not updated via CNPAWB</t>
  </si>
  <si>
    <t>Billing Date not updated via CNPAWB</t>
  </si>
  <si>
    <t>CNPAWB : Unable to export to excel based on layout</t>
  </si>
  <si>
    <t>Performance improvement for transaction CNE1</t>
  </si>
  <si>
    <t>Changes are not getting saved in CNPAWB transaction.</t>
  </si>
  <si>
    <t>DP91: No credit memo for cancelled costs for ITD billing</t>
  </si>
  <si>
    <t>DP91: RAISE_EXCEPTION when you display a WBS element</t>
  </si>
  <si>
    <t>CustConn PS: Precheck report for archiving PS (Interface)</t>
  </si>
  <si>
    <t>PSARCHPRECHECK: Precheck report for archiving PS objects</t>
  </si>
  <si>
    <t>CNS41: Multiple archived projects not displayed in report</t>
  </si>
  <si>
    <t>CJ20N: longtext not getting updated on change of shorttext</t>
  </si>
  <si>
    <t>CJ20N : No message on Project Save having Network with Loop</t>
  </si>
  <si>
    <t>ACL performance improvements</t>
  </si>
  <si>
    <t>ACL performance improvements - II</t>
  </si>
  <si>
    <t>syntax check erros in the report PSARCHPRECHECK</t>
  </si>
  <si>
    <t>BAPI_BUS2054_CHANGE_MULTI - extensionin not changed</t>
  </si>
  <si>
    <t>BAPI_BUS2054_CREATE_MULTI - extensionin not changed</t>
  </si>
  <si>
    <t>BAPI_BUS2002_ACTELEM_CREATE_M defaults wrong factory cal</t>
  </si>
  <si>
    <t>PS: Dates outside the factory calendar are accepted by bapi</t>
  </si>
  <si>
    <t>Planning method Indicator not copied from project profile</t>
  </si>
  <si>
    <t>BAPI_NETWORK_COMP_CHANGE not updated data</t>
  </si>
  <si>
    <t>BAPI_NETWORK_MAINTAIN : Incorrect vendor (LIFNR) updated</t>
  </si>
  <si>
    <t>More than one AUC created for a WBS on set/reset of status</t>
  </si>
  <si>
    <t>ACL authorizations checks fail for milestones</t>
  </si>
  <si>
    <t>Intermediate Save: Description is not saved</t>
  </si>
  <si>
    <t>Error in CJEX_PRPS_INFO_READ</t>
  </si>
  <si>
    <t>PS: Activity element not copied when including a WBS element</t>
  </si>
  <si>
    <t>Runtime error SAPSQL_ARRAY_INSERT_DUPREC on saving network</t>
  </si>
  <si>
    <t>Purchasing Data not copied from Outline agreement</t>
  </si>
  <si>
    <t>Authorization issues with network activities</t>
  </si>
  <si>
    <t>PS: Network graphics default customizing truncating duration</t>
  </si>
  <si>
    <t>CN21: GOS is not copied to the newly created network</t>
  </si>
  <si>
    <t>Wrong Quantity on service activity using execution factor</t>
  </si>
  <si>
    <t>Sorting of internal buffer</t>
  </si>
  <si>
    <t>CJ20N:Archived sales document causes error in network displ</t>
  </si>
  <si>
    <t>PS-ST-NET-OCM</t>
  </si>
  <si>
    <t>Ord.Change Mgmt.</t>
  </si>
  <si>
    <t>Incorrect activity element number in change steps comparison</t>
  </si>
  <si>
    <t>CJ20N-&gt; Performance while opening a project.</t>
  </si>
  <si>
    <t>Saving Quotation: Error messages are not displayed</t>
  </si>
  <si>
    <t>Dump when creating and deleting a network from templates</t>
  </si>
  <si>
    <t>Not possible to change the tabs of activity details</t>
  </si>
  <si>
    <t>CJ20n: Reservation/Purchase Requisition is set to immediate.</t>
  </si>
  <si>
    <t>In display mode,Long text of network header is not displayed</t>
  </si>
  <si>
    <t>Error CN618 while creating sub network under an activity</t>
  </si>
  <si>
    <t>BAPI_BUS2054_CREATE_MULTI: Creates WBS at level 1</t>
  </si>
  <si>
    <t>Search help for Standard Workbreakdown Structure dumps</t>
  </si>
  <si>
    <t>PS: Documents are created while including standard WBS</t>
  </si>
  <si>
    <t>Performance optimizatoions while reading WBS data</t>
  </si>
  <si>
    <t>CJ02: WBS user field F4 help returns wrong values</t>
  </si>
  <si>
    <t>PS-ST-WBS-TMP</t>
  </si>
  <si>
    <t>Standard Work Breakd</t>
  </si>
  <si>
    <t>CJ20N: Short text of the WBS doesn't show in logon language.</t>
  </si>
  <si>
    <t>PSM-FM-BCS</t>
  </si>
  <si>
    <t>Budget Control System</t>
  </si>
  <si>
    <t>PSM-FM-BCS-AC</t>
  </si>
  <si>
    <t>Availability Control</t>
  </si>
  <si>
    <t>Technical Note</t>
  </si>
  <si>
    <t>Enhancements for BP_CALL_AVC_PRUEFEN</t>
  </si>
  <si>
    <t>PSM-FM-BU</t>
  </si>
  <si>
    <t>Commitment items with negative budget and message BQ2xx</t>
  </si>
  <si>
    <t>PSM-FM-BU-AC</t>
  </si>
  <si>
    <t>Technical note for Former Budgeting and CO</t>
  </si>
  <si>
    <t>Earmarked Funds Journal: No suitable records were found</t>
  </si>
  <si>
    <t>FM Drilldown reports: Suite On Hana enhancement</t>
  </si>
  <si>
    <t>Correct.for interface note for Commit. item extens. TAXITABS</t>
  </si>
  <si>
    <t>Interface note for Commitment item extension</t>
  </si>
  <si>
    <t>Commitment item extension - Index of Commitment Items</t>
  </si>
  <si>
    <t>PSM-FM-PO-DPC-EF</t>
  </si>
  <si>
    <t>Automatic down payment clearing is not called in RWIN</t>
  </si>
  <si>
    <t>Incorrect update of earmarked funds by HR</t>
  </si>
  <si>
    <t>Performance issue running FBRA</t>
  </si>
  <si>
    <t>Reason for decision for val. adjustment approval in workflow</t>
  </si>
  <si>
    <t>RFFMRE01: Unnecessary blank character in "Reference" field</t>
  </si>
  <si>
    <t>FBRA Performance Down Payments referencing Earmarked Funds</t>
  </si>
  <si>
    <t>FBRA down payment:Consumpt. AZAF in earmarked funds wrong</t>
  </si>
  <si>
    <t>FBRA down payment: error message RE164</t>
  </si>
  <si>
    <t>Create earmarked fds w/ ref: Real estate acct assgmt missing</t>
  </si>
  <si>
    <t>MB23 DYNPRO_FIELD_CONVERSION in SAPMM07R</t>
  </si>
  <si>
    <t>Grouped Value Adjustment development for Spain</t>
  </si>
  <si>
    <t>FM_CO_ASS_INPUT_MAINTAIN:Incorrect Commit. Item Validation</t>
  </si>
  <si>
    <t>PSM-FM-UP-CM</t>
  </si>
  <si>
    <t>Funds reser. does not consider valuation type of material</t>
  </si>
  <si>
    <t>BAPI_RESERVATION_CHANGE fails to update Funds Reservation</t>
  </si>
  <si>
    <t>RE072; RFFMRP_MAT_RESERVATION on completed funds reservation</t>
  </si>
  <si>
    <t>RFFMRP_MAT_RESERVATION, RE145 for assets and FMFG271</t>
  </si>
  <si>
    <t>KI235 when creating stock transfer material reservation</t>
  </si>
  <si>
    <t>Missing funded program with material reservation change</t>
  </si>
  <si>
    <t>MB21 GETWA_NOT_ASSIGNED for &lt;l_fm_t_revdata&gt;.</t>
  </si>
  <si>
    <t>FM_DOCUMENT_PAYMENT_BLOC does not exist</t>
  </si>
  <si>
    <t>FMN0: Deactivating the availability check</t>
  </si>
  <si>
    <t>Deleting/changing parked documents</t>
  </si>
  <si>
    <t>FBRA dump occurs for reset of clearing DP-DP request</t>
  </si>
  <si>
    <t>FICUSTOM 108 issued in transaction FBRA for no reason</t>
  </si>
  <si>
    <t>PSM-FM-UP-FI-PU</t>
  </si>
  <si>
    <t>Online Payment Updat</t>
  </si>
  <si>
    <t>Clearing reset for batch input</t>
  </si>
  <si>
    <t>PSM-GPR-FI</t>
  </si>
  <si>
    <t>PPS FI and ERP FI In</t>
  </si>
  <si>
    <t>Overall budget exceeded error not raised while creating PO</t>
  </si>
  <si>
    <t>Error QC600 when calling quality certificates</t>
  </si>
  <si>
    <t>PDF doc. not archived for output w/ fax or external e-mail</t>
  </si>
  <si>
    <t>Texts for units of measure are not output correctly</t>
  </si>
  <si>
    <t>VL01N: Update termination during certificate creation</t>
  </si>
  <si>
    <t>Finding certificate profile for Adobe form</t>
  </si>
  <si>
    <t>QM-CA-RE</t>
  </si>
  <si>
    <t>Certificate Receipt</t>
  </si>
  <si>
    <t>Sending reminder via QC55 by fax: Country code is ignored</t>
  </si>
  <si>
    <t>VL31N: Termination with more than 9999 handling units</t>
  </si>
  <si>
    <t>QA02: Batch cannot be changed for lots in GR blocked stock</t>
  </si>
  <si>
    <t>Display of deleted test equipment in results recording</t>
  </si>
  <si>
    <t>Dump during rebuild of tree QE51N after layout changes</t>
  </si>
  <si>
    <t>QIRF_GET_ALL_DATA_VALUES2 : Formula cannot be calculated</t>
  </si>
  <si>
    <t>Behavior of dialog box within usage decision</t>
  </si>
  <si>
    <t>BAPI_INSPOPER_GETDETAIL : No data for work center</t>
  </si>
  <si>
    <t>Dep. characteristic specifications not determined correctly</t>
  </si>
  <si>
    <t>Notification w/deletion flag is processed again</t>
  </si>
  <si>
    <t>BAPI_GOODSMVT_CREATE - Screen is sent</t>
  </si>
  <si>
    <t>Change documents when maintaining storage data</t>
  </si>
  <si>
    <t>QA11 : Field for person who made changes is filled</t>
  </si>
  <si>
    <t>QA11: Missing component posting after error message</t>
  </si>
  <si>
    <t>Maintainance of selected sets requires transport request</t>
  </si>
  <si>
    <t>Kennzeichnung Verwendung unkritische Programmteile</t>
  </si>
  <si>
    <t>QP02/QP03: Dependent char. specifications are not displayed</t>
  </si>
  <si>
    <t>QP02: Navigation to dependent characteristic specifications</t>
  </si>
  <si>
    <t>QM-QC</t>
  </si>
  <si>
    <t>Quality Control</t>
  </si>
  <si>
    <t>QM-QC-AQC</t>
  </si>
  <si>
    <t>Active Quality Cont.</t>
  </si>
  <si>
    <t>QDL2 : Field "Next Inspection Stage" cannot be set</t>
  </si>
  <si>
    <t>Partner data is deleted when you use multilevel signature</t>
  </si>
  <si>
    <t>DS: Fields for notification completion are not set</t>
  </si>
  <si>
    <t>Error message 06 212 for return delivery from action box</t>
  </si>
  <si>
    <t>Workflow overview missing from object services</t>
  </si>
  <si>
    <t>Error message I0 113 when calling tasks in IQS12</t>
  </si>
  <si>
    <t>Performance problem when determining related notifications</t>
  </si>
  <si>
    <t>SD order partners are lost when creating from notification</t>
  </si>
  <si>
    <t>Error message QB 127 in quality notification</t>
  </si>
  <si>
    <t>Deleted data also pulled for 8D Report</t>
  </si>
  <si>
    <t>Task detail screen not accessible</t>
  </si>
  <si>
    <t>FENUM missing from structures QNQMAMA0 and QNQMASM0</t>
  </si>
  <si>
    <t>Obsolete authorization check in LDB NOTIFICATIONS</t>
  </si>
  <si>
    <t>Checkman</t>
  </si>
  <si>
    <t>RE-FX</t>
  </si>
  <si>
    <t>Flexible Real Estate Management</t>
  </si>
  <si>
    <t>RE-FX-CO</t>
  </si>
  <si>
    <t>Real Estate Controll</t>
  </si>
  <si>
    <t>Error RECAAP007 during settlement to cost collector</t>
  </si>
  <si>
    <t>Global ATP</t>
  </si>
  <si>
    <t>Wrong ATP Results in Goods Movement</t>
  </si>
  <si>
    <t>SCM-APO-EPP</t>
  </si>
  <si>
    <t>Enhanced Product Pla</t>
  </si>
  <si>
    <t>Cross system navigation downport</t>
  </si>
  <si>
    <t>CIF_EMRG_QOUTSCHED does not process any queues</t>
  </si>
  <si>
    <t>/SAPAPO/CIF_TPSCO_INBOUND not yet in queue display at ERP</t>
  </si>
  <si>
    <t>APO@ERP Deployment:Batches should not be transferred</t>
  </si>
  <si>
    <t>DELTAREPORT: Unjustified error 181 for Confirmations</t>
  </si>
  <si>
    <t>DELTAREPORT: unjustified error 181 for confirmations</t>
  </si>
  <si>
    <t>ESP transfer and cumulative delivered quantity (ENHANCEMENT)</t>
  </si>
  <si>
    <t>ESP transfer and cumulative delivered quantity (CIF)</t>
  </si>
  <si>
    <t>Classification sent although 1375815 has been implemented</t>
  </si>
  <si>
    <t>SCM-APO-INT-CPP</t>
  </si>
  <si>
    <t>CIF Error Handling</t>
  </si>
  <si>
    <t>CPP: Technical correction</t>
  </si>
  <si>
    <t>SCM-APO-INT-IMO</t>
  </si>
  <si>
    <t>Integration Model</t>
  </si>
  <si>
    <t>Model activation fails because model processed in parallel</t>
  </si>
  <si>
    <t>INT-PDS: /SAPAPO/CURTO 103 if using parallel sequences</t>
  </si>
  <si>
    <t>INT-PDS: PI-Operations without phases</t>
  </si>
  <si>
    <t>PDS-INT: ABAP Kurzdump bei paralleler Integration von PDS</t>
  </si>
  <si>
    <t>INT-PDS: Incorrect sorting of sequences</t>
  </si>
  <si>
    <t>Configuration for incorrect component in production order</t>
  </si>
  <si>
    <t>INT-PDS: Change transfer does not work correctly</t>
  </si>
  <si>
    <t>SCM-APO-INT-MD-PR</t>
  </si>
  <si>
    <t>Better performance of integration of MRPA specific materials</t>
  </si>
  <si>
    <t>SCM-APO-INT-MDS</t>
  </si>
  <si>
    <t>Integration MRP DS</t>
  </si>
  <si>
    <t>Change sequence of the operation is setting the status wrong</t>
  </si>
  <si>
    <t>MRPDS: For collective order sequence change results an error</t>
  </si>
  <si>
    <t>MRPDS: Doubled input/output nodes error in APO.</t>
  </si>
  <si>
    <t>MRPDS: Error when processing operation in ERP inbound.</t>
  </si>
  <si>
    <t>Sequence exchange of REL operation results into loss of data</t>
  </si>
  <si>
    <t>Subcontracting inbound delivery not pegging relevant in APO</t>
  </si>
  <si>
    <t>Change PO item to statistical is not reflected in APO</t>
  </si>
  <si>
    <t>Delivery date different in R3 and APO due to shelf life</t>
  </si>
  <si>
    <t>PR key completion - Batch value is not sent to APO</t>
  </si>
  <si>
    <t>Wrong confirmed quantity after conversion to order unit</t>
  </si>
  <si>
    <t>Wrong PO item number after key completion</t>
  </si>
  <si>
    <t>Source list integration doubles transportation lanes</t>
  </si>
  <si>
    <t>SCM-APO-INT-RP</t>
  </si>
  <si>
    <t>Requirements Plannin</t>
  </si>
  <si>
    <t>APO-&gt;R3: Incorret Supply area for the components</t>
  </si>
  <si>
    <t>Integration model performance improvement on ERP(ECC) side</t>
  </si>
  <si>
    <t>One-time Ship-to adress in not shown in SCM APO</t>
  </si>
  <si>
    <t>SCM-APO-SNP</t>
  </si>
  <si>
    <t>Supply Network Planning (SNP)</t>
  </si>
  <si>
    <t>SCM-APO-SNP-VMI</t>
  </si>
  <si>
    <t>Vendor-Managed-Inven</t>
  </si>
  <si>
    <t>Consignment VMI Stock Mapping at Customer Location</t>
  </si>
  <si>
    <t>SCM-BAS</t>
  </si>
  <si>
    <t>SCM Basis</t>
  </si>
  <si>
    <t>SCM-BAS-INT</t>
  </si>
  <si>
    <t>Improvement of performance for report RDELBALS</t>
  </si>
  <si>
    <t>FRE_OP_PO_KEY_REORG &amp; FRE_TS_POINTER_REORG -Period too short</t>
  </si>
  <si>
    <t>Check of purchase organization for transportation lane</t>
  </si>
  <si>
    <t>Long runtimes for report FRE_SEND_TSD</t>
  </si>
  <si>
    <t>Handling of consumption references</t>
  </si>
  <si>
    <t>REL_DISMM from FRE_DB_ART_SITE not always correctly update</t>
  </si>
  <si>
    <t>F&amp;R non relevant location product in fre_db_art_site table</t>
  </si>
  <si>
    <t>Incorrect Promotion Sales price transferred to F&amp;R.</t>
  </si>
  <si>
    <t>Performance: FRE_DB_ART_SITE_RELEV_CHECK</t>
  </si>
  <si>
    <t>Long runtime of Orders Delta Transfer</t>
  </si>
  <si>
    <t>Release information (Release Notes) extended</t>
  </si>
  <si>
    <t>FRE02: not all MD2 files are deleted (no error message)</t>
  </si>
  <si>
    <t>FRE_C1: Sales Price inconsistency for reference articles</t>
  </si>
  <si>
    <t>FRE03: No initial transfer of consumption values</t>
  </si>
  <si>
    <t>No DIF creation with promot. when no quant. are announced</t>
  </si>
  <si>
    <t>Duplicate entries in interface table /FRE/BIF_LANE</t>
  </si>
  <si>
    <t>PO item - Schedule lines changes in ERP not updated in F&amp;R</t>
  </si>
  <si>
    <t>RSMIPROACT: Split GR reference not selected</t>
  </si>
  <si>
    <t>ROEMPROACT2: Supplier for batches</t>
  </si>
  <si>
    <t>RSMIPROACT: Add Restricted-use Stock to Quality Stock</t>
  </si>
  <si>
    <t>RSMIPROACT2: Performance fix for zero quantity transfer</t>
  </si>
  <si>
    <t>PROACT reports: Remove zero quantities from application log</t>
  </si>
  <si>
    <t>RSMIPROACT: Performance corrections</t>
  </si>
  <si>
    <t>RSMIPROACT2: Demand not selected</t>
  </si>
  <si>
    <t>Configuration not sent from ERP to APO system during ATP.</t>
  </si>
  <si>
    <t>Deleting Multi-Item Single Delivery Location MISL</t>
  </si>
  <si>
    <t>SAP-internal BAdI in AVAILABILITY_CHECK_CONTROLLER</t>
  </si>
  <si>
    <t>Error V1 045: Enter the document number</t>
  </si>
  <si>
    <t>Display availability for APO-checked materials</t>
  </si>
  <si>
    <t>Performance improvement for transfer of sales orders to APO</t>
  </si>
  <si>
    <t>Rescheduling programs SDV03V01 &amp; SDV03R01 are not supported</t>
  </si>
  <si>
    <t>GR end date is cleared with backorder processing</t>
  </si>
  <si>
    <t>Incorrect user name in change document after BOP run</t>
  </si>
  <si>
    <t>ATP: Stock fr HU storage loctns n in quality inspectn stock</t>
  </si>
  <si>
    <t>VA01/02 : Message MM101 not possible to carry out conversion</t>
  </si>
  <si>
    <t>Documented credit decision: Messages missing in the log</t>
  </si>
  <si>
    <t>BAdI for calculating risk quantity of raw exposure</t>
  </si>
  <si>
    <t>Risk value calculation for raw exposure items</t>
  </si>
  <si>
    <t>BC Set corrections CPE in SAP_APPL and PI_BASIS</t>
  </si>
  <si>
    <t>Tax Infos are not displayed properly.</t>
  </si>
  <si>
    <t>report RSNAST0D: Processing mode 3</t>
  </si>
  <si>
    <t>Performance improvement with prestep for accesses</t>
  </si>
  <si>
    <t>Simplified adjustment of counters in access sequences</t>
  </si>
  <si>
    <t>Header cond. screen:Deleting item total not setting MPROK</t>
  </si>
  <si>
    <t>Export with invalid tax jurisdiction (2)</t>
  </si>
  <si>
    <t>VF07: Authorization default value '49' is missing</t>
  </si>
  <si>
    <t>Needless dialog box during simulation of billing docs (2)</t>
  </si>
  <si>
    <t>POWL - Missing authorization check</t>
  </si>
  <si>
    <t>VF07: Termination ASSIGN_CASTING_ILLEGAL_CAST</t>
  </si>
  <si>
    <t>ILM/IRM for SD_VBRK: No check for option "Data Destruction"</t>
  </si>
  <si>
    <t>S3VBRKAU: Termination ASSIGN_CASTING_ILLEGAL_CAST</t>
  </si>
  <si>
    <t>Smart Form:Stk transfer-purchase ord no. in invoice printout</t>
  </si>
  <si>
    <t>SD Printing: Payment term is not printed</t>
  </si>
  <si>
    <t>SmartForms: Tax rate for Canada in invoice printout</t>
  </si>
  <si>
    <t>UEPOS for the billing of billing plans</t>
  </si>
  <si>
    <t>Function group XV6P contains errors</t>
  </si>
  <si>
    <t>Net value of billing index incorrect after vf11</t>
  </si>
  <si>
    <t>Condition-based down payment also for quotations</t>
  </si>
  <si>
    <t>Rounding for percentage down payment dates</t>
  </si>
  <si>
    <t>Billing doc. cancel. creates VF 533 due to excise invoices</t>
  </si>
  <si>
    <t>Condition-based down payment also for quotations II</t>
  </si>
  <si>
    <t>SD-BIL-IV-IB</t>
  </si>
  <si>
    <t>Intercompany Billing</t>
  </si>
  <si>
    <t>VF022 when intercompany billing is cancelled</t>
  </si>
  <si>
    <t>SD-BIL-IV-PC</t>
  </si>
  <si>
    <t>Payment Cards</t>
  </si>
  <si>
    <t>CVV fields not ready for input</t>
  </si>
  <si>
    <t>VF01/VF02: Error transferring credit card data to FICA</t>
  </si>
  <si>
    <t>DP90: Incorrect unit of measure in debit memo request</t>
  </si>
  <si>
    <t>SDBONT06: Posting to period that is closed during run</t>
  </si>
  <si>
    <t>Disconnect POD indicator from Revenue Recognition</t>
  </si>
  <si>
    <t>VF44 block indicator causing high number of locks</t>
  </si>
  <si>
    <t>VF44 posting failed for customer with credit block</t>
  </si>
  <si>
    <t>Control lines (VBREVK lines) accidentally deleted</t>
  </si>
  <si>
    <t>Mögliche Offenlegung von persistierten Daten in SD-CAS</t>
  </si>
  <si>
    <t>SD-EDI-IM</t>
  </si>
  <si>
    <t>Inbound Messages</t>
  </si>
  <si>
    <t>EDI: Error 00 344 during mass processing</t>
  </si>
  <si>
    <t>EDI: IDocs can no longer be implemented (error 00 344)</t>
  </si>
  <si>
    <t>Italian service: Accounting data for SEZIONE 4</t>
  </si>
  <si>
    <t>Intrastat Italy - Sezione 4: Invoice val. '1' instead of '0'</t>
  </si>
  <si>
    <t>INTRASTAT Austria: Title of e-mail notification</t>
  </si>
  <si>
    <t>Intrastat - Determining the "Region" field</t>
  </si>
  <si>
    <t>RVEXCSPT: Office of exit and office of entry incorrect</t>
  </si>
  <si>
    <t>VEPR: Archived logs are not always selected</t>
  </si>
  <si>
    <t>Text "European Union" in form "Vendor Declaration"</t>
  </si>
  <si>
    <t>Preference verification not displayed in purchase order</t>
  </si>
  <si>
    <t>SD-MD-AM-CMI</t>
  </si>
  <si>
    <t>Cust./mat. info</t>
  </si>
  <si>
    <t>Customer material info: BTE missing changed customer matl</t>
  </si>
  <si>
    <t>VBO2: Missing authorization check for condition type</t>
  </si>
  <si>
    <t>Periodic Claim Creation doesn't consider settlement date</t>
  </si>
  <si>
    <t>VK11: DBIF_RSQL_INVALID_RSQL for non-character-type fields</t>
  </si>
  <si>
    <t>Incorrect values in KONH-VADAT field under Unicode</t>
  </si>
  <si>
    <t>Perf.: IDoc processing for large amt of identical conditions</t>
  </si>
  <si>
    <t>Incorrect account assignment in Funds Management</t>
  </si>
  <si>
    <t>CBAD: Error in item budget</t>
  </si>
  <si>
    <t>Short dump RABAX_STATE when displaying customer in POWL</t>
  </si>
  <si>
    <t>POWL Ind. purchase order: Supplier number instead of name</t>
  </si>
  <si>
    <t>POWL Ind. purchase order: Dump CALL_METHOD_CONFLICT_TYPE</t>
  </si>
  <si>
    <t>CBAD: Error when reduing the header funding</t>
  </si>
  <si>
    <t>Interface note for SD SEPA Direct Debit</t>
  </si>
  <si>
    <t>Sales Order indexing error</t>
  </si>
  <si>
    <t>Warning message instead of error for blocked credit customer</t>
  </si>
  <si>
    <t>Soldto party can not be changed in configurable sales UI</t>
  </si>
  <si>
    <t>LORD: No initialization of active fields</t>
  </si>
  <si>
    <t>LORD: Error in Advanced Returns Management</t>
  </si>
  <si>
    <t>Document flow is not displayed correctly.</t>
  </si>
  <si>
    <t>Module ERP_LORD_REMOVE_ACTIVE_FIELDS is not RFC-enabled</t>
  </si>
  <si>
    <t>SD-SLS-ES</t>
  </si>
  <si>
    <t>Removing blank characters from ChangeStateID</t>
  </si>
  <si>
    <t>Incorrect profit center for account assignment to project</t>
  </si>
  <si>
    <t>Warning for method Complete_Rejection</t>
  </si>
  <si>
    <t>Incorrect enhancement category in BAPE_VBAKX</t>
  </si>
  <si>
    <t>Error V0 104 issued for CHANGE BAPI</t>
  </si>
  <si>
    <t>Delivery and billing deactivated/ Service notification/ VAO5</t>
  </si>
  <si>
    <t>SD-SLS-OA-CCO</t>
  </si>
  <si>
    <t>Customer Contracts</t>
  </si>
  <si>
    <t>Text in dialog box refers to incorrect date</t>
  </si>
  <si>
    <t>Currency changeable in value contract with releases</t>
  </si>
  <si>
    <t>Neg. quantity when creating delivery from scheduling agreem.</t>
  </si>
  <si>
    <t>Change of delivery date in the detail view of schedule line</t>
  </si>
  <si>
    <t>Financial document remains locked when you leave VA01</t>
  </si>
  <si>
    <t>Message V1 212: Incomplete long text, distr.channel missing</t>
  </si>
  <si>
    <t>SD SEPA Dev. DP Improvement</t>
  </si>
  <si>
    <t>Individual purchase order:Different date despite correlation</t>
  </si>
  <si>
    <t>Individual purchase order: Rejection of item is possible</t>
  </si>
  <si>
    <t>Third-party item for product selection remains unconfirmed</t>
  </si>
  <si>
    <t>Sales UI: Exception EXC_HANDLE_MISSING entering condition</t>
  </si>
  <si>
    <t>Relevant vendor purchase organization is not getting updated</t>
  </si>
  <si>
    <t>Vendor replication is not heppening using BBP_VENDOR_SYNC</t>
  </si>
  <si>
    <t>Direct material: G/L account blocked for posting error</t>
  </si>
  <si>
    <t>Unable to order PO because of earmarked fund exceeded error</t>
  </si>
  <si>
    <t>Budget check incorrect for updating the ordered PO</t>
  </si>
  <si>
    <t>Contract: performance issue during the contract transfer</t>
  </si>
  <si>
    <t>Wrong error message during Contract IDOC transfer process</t>
  </si>
  <si>
    <t>Attachment transferred with zero size</t>
  </si>
  <si>
    <t>Issue in contract and PO transfer with service hierarchy</t>
  </si>
  <si>
    <t>Planning file is not updated when shopping cart is rejected</t>
  </si>
  <si>
    <t>Multi line text in PR not transferred in correct format</t>
  </si>
  <si>
    <t>SRM-EBP-POR</t>
  </si>
  <si>
    <t>Local Purchase Order</t>
  </si>
  <si>
    <t>Wrong values in C00I table for JPY currency</t>
  </si>
  <si>
    <t>Update not checked</t>
  </si>
  <si>
    <t>BBP_GET_STATUS_2: Wrong source ind. in case of service PO</t>
  </si>
  <si>
    <t>V1 206 when publishing a Master Agreement from SAP Sourcing</t>
  </si>
  <si>
    <t>TM-BF</t>
  </si>
  <si>
    <t>TM-BF-INT</t>
  </si>
  <si>
    <t>IDoc2eSOA EOIO: Missing application context</t>
  </si>
  <si>
    <t>Intra Settlement posting issue for Cost Center</t>
  </si>
  <si>
    <t>Tax handling</t>
  </si>
  <si>
    <t>Purchase Org Data not mapped correctly in ERP for TM PO's</t>
  </si>
  <si>
    <t>Code refactoring on SD billing item creation</t>
  </si>
  <si>
    <t>FEH not working for Service II_TCM_CFIRSUITEREQ</t>
  </si>
  <si>
    <t>Translation related fix for PDF TM_INVOICE_FORM01</t>
  </si>
  <si>
    <t>TM-FWS-INT</t>
  </si>
  <si>
    <t>Internal Settlement</t>
  </si>
  <si>
    <t>Intra company sender receiver organization change</t>
  </si>
  <si>
    <t>Transaction type 'C' should be considered for order search</t>
  </si>
  <si>
    <t>Exception when document number does not exist</t>
  </si>
  <si>
    <t>WEC-APP-SLS-QUT</t>
  </si>
  <si>
    <t>WEC: Quotation Mgmt.</t>
  </si>
  <si>
    <t>Quotation and inquiry authorization help values missing</t>
  </si>
  <si>
    <t>Login issue using UME with expired or initial user password</t>
  </si>
  <si>
    <t>Missing authorization proposals in technical user role</t>
  </si>
  <si>
    <t>WCEM User can't be unlocked with the activation link</t>
  </si>
  <si>
    <t>Registration in checkout area fails in ERP</t>
  </si>
  <si>
    <t>WEC-APP-UM-CPR</t>
  </si>
  <si>
    <t>WEC: Cust Profile</t>
  </si>
  <si>
    <t>Mapping missing for district field</t>
  </si>
  <si>
    <t>Cash Discount: Issue with tax lines with negligible amount</t>
  </si>
  <si>
    <t>RG3164: Incorrect tax calculation for multiple vendor lines</t>
  </si>
  <si>
    <t>J_1AF016: Special G/L's are not considered for reporting</t>
  </si>
  <si>
    <t>J_1AF205: Issues with zero quantity and other perception.</t>
  </si>
  <si>
    <t>AR WS RG2485:Documents rejected with error 10024</t>
  </si>
  <si>
    <t>AR WS RG2485: Wrong document and VAT amounts in request XML</t>
  </si>
  <si>
    <t>RG2758: Changing hardcoded messages to text elements</t>
  </si>
  <si>
    <t>AR ODN: Print character not determined for CPD vendors</t>
  </si>
  <si>
    <t>AR WS RG2485: Corrections to hardcoding of VAT percentage</t>
  </si>
  <si>
    <t>AR WS RG2904: Corrections to hardcoding of VAT percentage</t>
  </si>
  <si>
    <t>ODN AR : MIRO Document posted without reference number</t>
  </si>
  <si>
    <t>AR WS RG2485: Wrong exempted amount sent in request XML</t>
  </si>
  <si>
    <t>RG2485: Tax number type for one time cust filled from KNA1</t>
  </si>
  <si>
    <t>AR WS RG2904: External date format for issuing date</t>
  </si>
  <si>
    <t>AR WS RG2904: Tax amount is not included in document amount</t>
  </si>
  <si>
    <t>AR WS RG2904: Wrong tax details sent in request XML</t>
  </si>
  <si>
    <t>AR WS RG2904: Partial Rebate Settlements Rejected by AFIP</t>
  </si>
  <si>
    <t>AR WS RG2758:Reset CAE status when connection test fails</t>
  </si>
  <si>
    <t>AR WS RG2904:Non-taxable amount not populated in request XML</t>
  </si>
  <si>
    <t>AEI WS RG2758: Unable to process succesive documents</t>
  </si>
  <si>
    <t>AEI WS Domestic: Unable to process succesive documents</t>
  </si>
  <si>
    <t>AR WS RG2904:Condition classes addition to calculate amounts</t>
  </si>
  <si>
    <t>AR WS Domestic: Unable to reverse an accounting document</t>
  </si>
  <si>
    <t>RG 2904 WS: Invoice rejected due to VAT difference</t>
  </si>
  <si>
    <t>Argentina: RG2485 Documentation Corrections</t>
  </si>
  <si>
    <t>XX-CSC-BE</t>
  </si>
  <si>
    <t>Belgium</t>
  </si>
  <si>
    <t>XX-CSC-BE-FI</t>
  </si>
  <si>
    <t>RFEBBECODA00: Wrong external transactions in the Mulitcash</t>
  </si>
  <si>
    <t>XX-CSC-BG</t>
  </si>
  <si>
    <t>Bulgaria</t>
  </si>
  <si>
    <t>XX-CSC-BG-LO</t>
  </si>
  <si>
    <t>BG ERS: Enable ERS(Evaluated Receipt Settlement) - Bulgaria</t>
  </si>
  <si>
    <t>J_1B_CBT_CONSIST Program - Performance improvement</t>
  </si>
  <si>
    <t>AJUSTE SINIEF 20/12 - New Codes for Origin of Material</t>
  </si>
  <si>
    <t>Material Origin Code available in tax dynamic exceptions tab</t>
  </si>
  <si>
    <t>NF Writer - Mandatory IPI law for Conhecimento</t>
  </si>
  <si>
    <t>Identical select statements on table J_1BTXST3</t>
  </si>
  <si>
    <t>Correction of condition BFI2</t>
  </si>
  <si>
    <t>Tables KONP and A346 are not updated correctly</t>
  </si>
  <si>
    <t>J_1B_CBT_CONSIST: Performance Improvement and Screen Filter</t>
  </si>
  <si>
    <t>Local Date in Cancellation Date of the Nota Fiscal</t>
  </si>
  <si>
    <t>RFFOBR_U: Discount amount field j_1bdmexj-15 is incorrect</t>
  </si>
  <si>
    <t>RFIDBR_BOLETO:Short dump during the transaction F-58,FBZ4</t>
  </si>
  <si>
    <t>RFFOBR_A: Wrong Boleto Rebate Amount in Bradesco File</t>
  </si>
  <si>
    <t>J_1BBR20: FEBRABAN: Text of Error code not displayed</t>
  </si>
  <si>
    <t>RFFOBR_U: Field J_1BDMEAH-H12 should be blank in DME file</t>
  </si>
  <si>
    <t>BR: Febraban Version 8.7 Legal Change</t>
  </si>
  <si>
    <t>MBSU: Allows receiving reversed nota fiscal</t>
  </si>
  <si>
    <t>Condition Value Formulas 342 and 343 only shipped via SP</t>
  </si>
  <si>
    <t>Subcontracting: Allow tax calculation for mvt.542 (return)</t>
  </si>
  <si>
    <t>MR8M - Error when Reversing Documents without Doc. Condition</t>
  </si>
  <si>
    <t>Wrong tax law values in a service nota fiscal</t>
  </si>
  <si>
    <t>MIGO: duplicated notas fiscais registered</t>
  </si>
  <si>
    <t>MIRO: reference nota fiscal not validated for "conhecimento"</t>
  </si>
  <si>
    <t>STO: Calculation error during incoming batch split</t>
  </si>
  <si>
    <t>MIRO: Wrong tax law values in a nota fiscal</t>
  </si>
  <si>
    <t>Enables changing the Material Origin for PO items</t>
  </si>
  <si>
    <t>Prereq. Multiple XML-items for the same Purchase Order Item</t>
  </si>
  <si>
    <t xml:space="preserve">   Checkman errors</t>
  </si>
  <si>
    <t>Send NF-e with batch report - wrong status after RFC-failure</t>
  </si>
  <si>
    <t>Cancel billing document connected to nota fiscal electrônica</t>
  </si>
  <si>
    <t>Extend configuration for Production/Test flag</t>
  </si>
  <si>
    <t>NF-e: Copy Protocol Information only for NF-e without Form</t>
  </si>
  <si>
    <t>NFE: Changing NF type in BAdI does not consider contingency</t>
  </si>
  <si>
    <t>Set Tax Type as Statistical for Specific Scenarios</t>
  </si>
  <si>
    <t>NF-e In: Subcontracting components and RTP are 0 in NF-e</t>
  </si>
  <si>
    <t>NF-e: reason dump in NF-e Cancellation for messaging system</t>
  </si>
  <si>
    <t>NF-e: Reason incompatibility for NF-e Cancellation event</t>
  </si>
  <si>
    <t>NF-e: Cancellation Event status stuck when timestamp empty</t>
  </si>
  <si>
    <t>NF-e Monitor: Cancel Source Document not possible</t>
  </si>
  <si>
    <t>CC-e: Sending overwrites Changing Date, Time &amp; User in NF-e</t>
  </si>
  <si>
    <t>NF-e: Cancellation Synchr. fails after Validation Error</t>
  </si>
  <si>
    <t>NF-e: Cancel material document with serial number</t>
  </si>
  <si>
    <t>Incoming NF-e: Required step 'C' for incomplete access key</t>
  </si>
  <si>
    <t>Incoming CT-e: Issuing Type is reset</t>
  </si>
  <si>
    <t>Interface Change for GRC 10.0 SP 13; Multiple XML Positions</t>
  </si>
  <si>
    <t>Unjustified missing of nota fiscal lines of simul. result</t>
  </si>
  <si>
    <t>PIS-/COFINS-base amount not correct</t>
  </si>
  <si>
    <t>Incoming automation with vendors in zona franca</t>
  </si>
  <si>
    <t>Interface Change for GRC 10.0 SP 13: Subcontracting</t>
  </si>
  <si>
    <t>NF-e in: Corrections for Batch Split and Refresh Taxes</t>
  </si>
  <si>
    <t>Subseq. Adjustment not possible after goods receipt reversal</t>
  </si>
  <si>
    <t>Purchase Order Assignment for PO without Material Number</t>
  </si>
  <si>
    <t>Incoming automation with customers in zona franca</t>
  </si>
  <si>
    <t>ICMS excluded or other base wrong for multiple positions</t>
  </si>
  <si>
    <t>IN86: Errors raised for SVA v3.1.0 related to files 4.3.1-4</t>
  </si>
  <si>
    <t>IN86: Errors raised for SVA v3.1.0 related to file 4.9.5</t>
  </si>
  <si>
    <t>SPED-EFD: Performance improvement for CL_J_1BEFD</t>
  </si>
  <si>
    <t>Modelo 1: IPI tax is wrongly reported for CT-es</t>
  </si>
  <si>
    <t>SPED-EFD: Ato Cotepe 16/2012 - Release of profile C</t>
  </si>
  <si>
    <t>SPED-EFD: Ato Cotepe 53/2012 &amp; 57/2012 - Layout 007 release</t>
  </si>
  <si>
    <t>Modelo 9: Totals by CFOP are incorrectly reported</t>
  </si>
  <si>
    <t>EFD-Contributions: Error activating objects type group ABAP</t>
  </si>
  <si>
    <t>Models: Error activating objects related to type group ABAP</t>
  </si>
  <si>
    <t>IN86: Error activating objects related to type group ABAP</t>
  </si>
  <si>
    <t>SPED-ECD: Register I355 - alternative accounts</t>
  </si>
  <si>
    <t>[J1B_LB07N] Balance Divergence</t>
  </si>
  <si>
    <t>MANAD: Create J1BMANAD Transaction</t>
  </si>
  <si>
    <t>SINTEGRA: nota fiscal total value equals zero on tipo 51</t>
  </si>
  <si>
    <t>IN86: Documents with the same NFNUM are wrongly reported</t>
  </si>
  <si>
    <t>SPED-EFD: D160 - Missing header field</t>
  </si>
  <si>
    <t>IN68: Deactivation of obsolete report</t>
  </si>
  <si>
    <t>SINTEGRA_OLD: Deactivation of obsolete report</t>
  </si>
  <si>
    <t>DNF: Deactivation of obsolete report</t>
  </si>
  <si>
    <t>IN86: Field REF_DOC_MODEL in files 4.3.1/3 wrongly reported</t>
  </si>
  <si>
    <t>CFOP Determination for Services in SD</t>
  </si>
  <si>
    <t>IPI and ICMS Tax Law not correct in Sales Order creation</t>
  </si>
  <si>
    <t>CBT - Rounding error when having big quantities on SD</t>
  </si>
  <si>
    <t>Convenio 100 - Wrong ICMS when using discount conditions</t>
  </si>
  <si>
    <t>XX-CSC-BR-SRM</t>
  </si>
  <si>
    <t>Tax amount is wrong for PO in SRM with PIS/COFINS</t>
  </si>
  <si>
    <t>CT-e: Incoming Complementary ICMS</t>
  </si>
  <si>
    <t>Addition of missing DDIC for CT-e related BAPI</t>
  </si>
  <si>
    <t>Ship from determination for Incoming CT-e</t>
  </si>
  <si>
    <t>CT-e: Jurcode Determination and Conditions Rec. Check Report</t>
  </si>
  <si>
    <t>CT-e LC: BAdI J_1BCTE_IV parameter change</t>
  </si>
  <si>
    <t>CT-e LC: Changes in BAdI documentation</t>
  </si>
  <si>
    <t>CT-e switch class improvements</t>
  </si>
  <si>
    <t>Table types for CT-e resources</t>
  </si>
  <si>
    <t>No messages when Nota Fiscal is created without taxes</t>
  </si>
  <si>
    <t>NF-e reference is missing in CT-e outbound</t>
  </si>
  <si>
    <t>ODN not generated with BAPI/IDoc/FAGL_FCV posting (CN)</t>
  </si>
  <si>
    <t>Missing SKB1 entry for CN01</t>
  </si>
  <si>
    <t>EPIC: Read archived bank communication information</t>
  </si>
  <si>
    <t>EPIC Correction: Cash Flow Category, CCB, BOC, BRS</t>
  </si>
  <si>
    <t>BRS Printing Error</t>
  </si>
  <si>
    <t>Technical note of financial statement report</t>
  </si>
  <si>
    <t>Add fields for Account Document Output PDF structure</t>
  </si>
  <si>
    <t>Bug fix: Generate ODN for clear document without line items</t>
  </si>
  <si>
    <t>CN:Field name modification for "print date" in cashflow(PDF)</t>
  </si>
  <si>
    <t>IDCNDOC:Enable the sorting field customizing for multi-docs</t>
  </si>
  <si>
    <t>CN:Balance amount incorrect for comparison period</t>
  </si>
  <si>
    <t>CN:CI for Cash Flow Report</t>
  </si>
  <si>
    <t>IDCNACCTBLN:Extend account length in PDF</t>
  </si>
  <si>
    <t>CI for Account Balance Report/Aging/GRIR</t>
  </si>
  <si>
    <t>CN:Report incorrect for initial balance import invoice</t>
  </si>
  <si>
    <t>CI for ODN enhancement/Accounting document report</t>
  </si>
  <si>
    <t>CN:ODN gap when executing some t-code with test run mode</t>
  </si>
  <si>
    <t>Bug Fixing of Red-Letter Invoice for small-scale tax payer</t>
  </si>
  <si>
    <t>Add error message when merge failed</t>
  </si>
  <si>
    <t>GTI: Add invoice date in header of billing report</t>
  </si>
  <si>
    <t>Payer Bank Name/Buyer Bank Info. is not correct</t>
  </si>
  <si>
    <t>GTI Homepage Variant Bugs Fixing</t>
  </si>
  <si>
    <t>Total of billing items is incorrect when merge billings</t>
  </si>
  <si>
    <t>Dump if no available number range for NR object 'GTICHINA'</t>
  </si>
  <si>
    <t>Line items error when updating in GT_DLN</t>
  </si>
  <si>
    <t>InterCompany Billing Function</t>
  </si>
  <si>
    <t>Error of transporting IMG settings to other systems</t>
  </si>
  <si>
    <t>Wrong error message of UoM when sent to GT in GT_ULN</t>
  </si>
  <si>
    <t>Add UoM to UoM Desc. field</t>
  </si>
  <si>
    <t>Red-Letter Inv.Notice button won't pop up in GT_ULN</t>
  </si>
  <si>
    <t>UI Outbound can not be changed to output settings</t>
  </si>
  <si>
    <t>Excel inbound files with Beijing template can not be parsed</t>
  </si>
  <si>
    <t>XX-CSC-ES</t>
  </si>
  <si>
    <t>Spain</t>
  </si>
  <si>
    <t>ERS Spain: Incorrect numbering due to multiple purchase org</t>
  </si>
  <si>
    <t>RFIDESM347: BAdI for collecting RE-FX Leasing data</t>
  </si>
  <si>
    <t>XX-CSC-ES-PS</t>
  </si>
  <si>
    <t>Public Sector</t>
  </si>
  <si>
    <t>XX-CSC-ES-PS-FM</t>
  </si>
  <si>
    <t>Document splitting for Spain (Invoice Split Spain) for PSM</t>
  </si>
  <si>
    <t>RU: J3RALFTTAXCALC: Asset not included in TTAX Declaration</t>
  </si>
  <si>
    <t>RU:J_3R_TTAX_CALC:Error due to insertion of identical record</t>
  </si>
  <si>
    <t>Wrong calculation of transport tax w/ rounding</t>
  </si>
  <si>
    <t>Error on calculation of the property NBV after revaluation</t>
  </si>
  <si>
    <t>RU: J_3R_PTAX_DECL: Rounding of string 230 and string 30</t>
  </si>
  <si>
    <t>RU: J_3R_PTAX_DECL: Separate PDF for different Struct. Div.</t>
  </si>
  <si>
    <t>ODE Slovakia LC 2012 : Change in Period control method</t>
  </si>
  <si>
    <t>RU:J_3R_TTAX_CALC: Wrong NBV in case of multiple OKATO codes</t>
  </si>
  <si>
    <t>RU:J_3R_PTAX_DECL: Rounding for tax amount in string 230</t>
  </si>
  <si>
    <t>XX-CSC-FICA</t>
  </si>
  <si>
    <t>Localization FI-CA</t>
  </si>
  <si>
    <t>Checkman Errors</t>
  </si>
  <si>
    <t>Error while using numbering concept 3 for Indonesia</t>
  </si>
  <si>
    <t>ABAP Runtime error in RG1 register extraction &amp; print- J2I6</t>
  </si>
  <si>
    <t>Credit taken value in ST3 section 5</t>
  </si>
  <si>
    <t>Wrong closing balance displayed for RG23C PART2 in - J2I6</t>
  </si>
  <si>
    <t>Duplicate entry generated when printing multiple invoices</t>
  </si>
  <si>
    <t>Excise invoice re-printed without authorization check - J1IP</t>
  </si>
  <si>
    <t>Authorization check for Challan updation Program</t>
  </si>
  <si>
    <t>J1INPRREV: New Transaction for reversing Provision document</t>
  </si>
  <si>
    <t>Increasing validity of CIN-FI specific BC sets</t>
  </si>
  <si>
    <t>J1INPR: Provision Report Enhancement</t>
  </si>
  <si>
    <t>J1INJV for customer documents and base amount correction</t>
  </si>
  <si>
    <t>In J1INQEFILE, some documents not getting reported</t>
  </si>
  <si>
    <t>J1INQEFILE : Quaterly returns picking Service tax documents</t>
  </si>
  <si>
    <t>J1INQEFILE - Wrong documents are getting reported</t>
  </si>
  <si>
    <t>J1INUT posts parked document</t>
  </si>
  <si>
    <t>J1INPR : Provision and Utilization new features</t>
  </si>
  <si>
    <t>J1INCHLN: Surcharge is calculated with different tax rate</t>
  </si>
  <si>
    <t>TAN based exemption for customer postings</t>
  </si>
  <si>
    <t>F-54: DPC is done for different section codes.</t>
  </si>
  <si>
    <t>Legal Change FVU 3.6 : Software Transactions</t>
  </si>
  <si>
    <t>PAN check is happening for 0 tax rate in Downpayment Request</t>
  </si>
  <si>
    <t>Error in J1INEMIS report output</t>
  </si>
  <si>
    <t>J1INPR :  Purchase Order Hyperlink doesn't work as expected</t>
  </si>
  <si>
    <t>J1INQEFILE: Incorrect tax rates are getting reported</t>
  </si>
  <si>
    <t>J1INCHLN: Performance improvement</t>
  </si>
  <si>
    <t>PAN number should not be checked for customer invoices</t>
  </si>
  <si>
    <t>J1INQEFILE:Documents under '195A' section are not reported</t>
  </si>
  <si>
    <t>J1INPR :Service entry sheet Hyperlink doesn't work</t>
  </si>
  <si>
    <t>Incorrect Delivery Class for Table FIWTIN_TAN_EXEM</t>
  </si>
  <si>
    <t>Invoice reduction does not work for Ed+VAT for TAXINJ- MIRO</t>
  </si>
  <si>
    <t>SYSLOG entries created log table for transaction J1IEX: SM21</t>
  </si>
  <si>
    <t>MIRO: Excise wrongly calculated when material is batch split</t>
  </si>
  <si>
    <t>MIRO:Excise not flowing when excise invoice referred in MIGO</t>
  </si>
  <si>
    <t>Capturing EI in J1IEX w.r.t to IBD and STO for import case</t>
  </si>
  <si>
    <t>MIGO Display: Material type changes after posting EI in J1IV</t>
  </si>
  <si>
    <t>Partial amount reversed for asset material in excise- J1IEX</t>
  </si>
  <si>
    <t>Wrong excise values copied to line items in printing of PO</t>
  </si>
  <si>
    <t>J1IG:Wrong excise duty calculation when material batch split</t>
  </si>
  <si>
    <t>Excise invoice Refer to Goods receipt option in background</t>
  </si>
  <si>
    <t>Excise at depot functionality enhancements for J1IG &amp; J1IJ</t>
  </si>
  <si>
    <t>Taxes are not calculated in PO when AED is present- TAXINJ</t>
  </si>
  <si>
    <t>Wrong output displayed for status in report selection- J1IFR</t>
  </si>
  <si>
    <t>Error balance in transaction currency invoice reduction-MIRO</t>
  </si>
  <si>
    <t>Subcontracting issues when same number range maintained-57FC</t>
  </si>
  <si>
    <t>Material-id being displayed along with material description</t>
  </si>
  <si>
    <t>Incorrect excise duties in MIRO for account assigned PO.</t>
  </si>
  <si>
    <t>Gujarat VAT - VAT/CST/LST calculated on GR quantity in MIRO.</t>
  </si>
  <si>
    <t>ECS rate wrongly considered in PO for exceptional materials</t>
  </si>
  <si>
    <t>Wrong excise vendor posting while doing goods receipt- MIGO</t>
  </si>
  <si>
    <t>Cenvat Auto clearing does not happen for CENVAT G/L- F.13</t>
  </si>
  <si>
    <t>Wrong tax calculation while posting credit memo - MIRO</t>
  </si>
  <si>
    <t>Material type not getting updated at depot - JI1G</t>
  </si>
  <si>
    <t>Incorrect closing balance in ER1 report - J_1IER1</t>
  </si>
  <si>
    <t>SQL Injection Correction- Reverted as SP team said it's ok</t>
  </si>
  <si>
    <t>ABAP runtime error when subtotal 6 is used in PO- J1IG</t>
  </si>
  <si>
    <t>Service tax rate not displayed in section 3 of ST3 report</t>
  </si>
  <si>
    <t>Cost center redetermined while outgoing excise invoice-J1IIN</t>
  </si>
  <si>
    <t>Excise qunatity &amp; value not defaulted in refer scenario-MIGO</t>
  </si>
  <si>
    <t>Incorrect material valuation while doing GR in VL60: IS-Auto</t>
  </si>
  <si>
    <t>Error when company code not assigned to purchase org- J1IPUR</t>
  </si>
  <si>
    <t>Error in archiving object J_1I_RG23D in transaction- SARA</t>
  </si>
  <si>
    <t>ECS &amp; SECESS values are not printed for ARE1 &amp; ARE3 form</t>
  </si>
  <si>
    <t>Service tax to be paid on notified exchange rate-Budget 2012</t>
  </si>
  <si>
    <t>Excise duties not prorated in sales return process- J1IH</t>
  </si>
  <si>
    <t>Utilization of negative balance in J2IUN</t>
  </si>
  <si>
    <t>Utilization using G/L balance at profit center wise - J2IUN</t>
  </si>
  <si>
    <t>User control required for warning message 8I-330 in J1IJ</t>
  </si>
  <si>
    <t>Multiple confirmation messages in transaction J1IH</t>
  </si>
  <si>
    <t>Header Address corrections for ARE1 print form- J1IA103</t>
  </si>
  <si>
    <t>Series group defaulted with only first 2 characters- J1IIN</t>
  </si>
  <si>
    <t>Excise Invoice details are not displayed in SD Document flow</t>
  </si>
  <si>
    <t>ODN IT: Overflow in number range object FIN2_IT</t>
  </si>
  <si>
    <t>ODN IT: Enabling ODN for invoices from CRM interface</t>
  </si>
  <si>
    <t>Configurable Message ISJP 660 Invoice cannot be cancelled</t>
  </si>
  <si>
    <t>Cancellation of MIs with Tax Adjustment</t>
  </si>
  <si>
    <t>XX-CSC-JP-FIAA</t>
  </si>
  <si>
    <t>JP : Parallel Valuation for Impairment</t>
  </si>
  <si>
    <t>Ergänzung zum Hinweis 884373 (Kasachstan)</t>
  </si>
  <si>
    <t>Update: Chart of accounts Kazakhstan</t>
  </si>
  <si>
    <t>PE ODN: Incorrect reference number in F-02</t>
  </si>
  <si>
    <t>IDCP does not trigger change doc for the Billing Document</t>
  </si>
  <si>
    <t>IDCP: AEDAT is not updated in VBRK when XBLNR is changed</t>
  </si>
  <si>
    <t>NEW Internal Invoice for Poland - technical note</t>
  </si>
  <si>
    <t>NEW Internal Invoice for Poland</t>
  </si>
  <si>
    <t>Poland FIFO valuation RFIDPL19 - LDRGRP issue in batch</t>
  </si>
  <si>
    <t>PL:Incorrect printing of invoices using Program RVADINPLDP</t>
  </si>
  <si>
    <t>DP PL: wrong account posting (correction for note 1582841)II</t>
  </si>
  <si>
    <t>PL Downpayment: Rounding issue in 100 % downpayment invoice</t>
  </si>
  <si>
    <t>Poland Downpayment Clearing Document</t>
  </si>
  <si>
    <t>PT OBD: BAdI method for changing tcode and cprog for cancel</t>
  </si>
  <si>
    <t>Billing document number gaps with Portuguese number ranges</t>
  </si>
  <si>
    <t>Digital Signature: Gross amount is incorrectly calculated</t>
  </si>
  <si>
    <t>Structure definition of Archiving SIPT - PT</t>
  </si>
  <si>
    <t>SIPT: error SIPT302 during creation FI document</t>
  </si>
  <si>
    <t>PT: Digital Signature in Intercompany processes</t>
  </si>
  <si>
    <t>Digital Signature PT : Validation for prefix in Self-billing</t>
  </si>
  <si>
    <t>RAIDPT02(Map32): wrong value in Column 12 and short dump</t>
  </si>
  <si>
    <t>RAIDPT02: Related Buildings and lands not reported together</t>
  </si>
  <si>
    <t>PT: Mapa 32 Correction for Note 1745389</t>
  </si>
  <si>
    <t>PT: Mapa 32 Column 5 Revaluation issue.</t>
  </si>
  <si>
    <t>PT: Mapa 32 Revert for note 1694977</t>
  </si>
  <si>
    <t>PT: Mapa 32 SNC ABAT investment asset (INVS) issue</t>
  </si>
  <si>
    <t>PT:Mapas Fiscais-Form 32 Column 6 correction for Scrap value</t>
  </si>
  <si>
    <t>Mapa 32 ABAT: Column 12 is wrong for Low value assets</t>
  </si>
  <si>
    <t>PT: Mapas Fiscais - Form 32 SNC column 5 is wrong</t>
  </si>
  <si>
    <t>PT: Mapas Fiscais- Form 32 Column 6 Correction for Vehicle</t>
  </si>
  <si>
    <t>PT: Mapas Fiscais - Form 32, 31 SNC Column 11 Correction</t>
  </si>
  <si>
    <t>Form32: Changes in columns 10,12 for purchased used assets</t>
  </si>
  <si>
    <t>PT: Mapas Fiscais - The data is not saved in V_IDPT_A021</t>
  </si>
  <si>
    <t>PT: Mapas Fiscais - Form 32 column 15 Correction</t>
  </si>
  <si>
    <t>XX-CSC-RS</t>
  </si>
  <si>
    <t>Serbia</t>
  </si>
  <si>
    <t>Serbien : Prüfung der Steuercodes für Einmalkunden</t>
  </si>
  <si>
    <t>Maint of Russian codes and names for UoM, cntry &amp; Currency</t>
  </si>
  <si>
    <t>Market prices for inventory surplus</t>
  </si>
  <si>
    <t>INV-18 Deficiency shown in surplus column</t>
  </si>
  <si>
    <t>Corrections in cash flow statement</t>
  </si>
  <si>
    <t>J_3RFVATMM (Custom Union): 328.00 form fix for PDF/XML</t>
  </si>
  <si>
    <t>Print forms MX-1, MX-3, TORG-13: OKEI codes</t>
  </si>
  <si>
    <t>J_3rfum26: Document could not be posted due to splitting</t>
  </si>
  <si>
    <t>Sales/Purchase Ledger: XBLNR reference</t>
  </si>
  <si>
    <t>Cash Journal corrections</t>
  </si>
  <si>
    <t>Sales/Purchase Ledger: splitting on 2nd currency</t>
  </si>
  <si>
    <t>Purchase Ledger: zero payment amount for 0% taxes</t>
  </si>
  <si>
    <t>Incorrect rounding of quantity value in INV-3</t>
  </si>
  <si>
    <t>Corrections for fixed assets inventory (INV-1)</t>
  </si>
  <si>
    <t>J_3RF_NKS_TAX:Performance,J_3RF_NKS_STARTUP:Down-Payments</t>
  </si>
  <si>
    <t>J_3RF_CLEARING: optimization</t>
  </si>
  <si>
    <t>J_3rfum26: Shifted year for separate VAT accounting</t>
  </si>
  <si>
    <t>Wrong header in transport tax 2012 declaration</t>
  </si>
  <si>
    <t>Material forms (M-11, M-15): spaces missed in header fields</t>
  </si>
  <si>
    <t>J3RTAXREP - Hierarchy serialization</t>
  </si>
  <si>
    <t>Sales/Purchase Ledger: ALV header, outgoing down payments</t>
  </si>
  <si>
    <t>Form M-2. PDF-layout corrections</t>
  </si>
  <si>
    <t>No Mandatory Vendor Line Item option</t>
  </si>
  <si>
    <t>Electronic VAT Invoices (Russia) - archiving infostructure</t>
  </si>
  <si>
    <t>Short dump TABLE_INVALID_INDEX in SPLIT_DP_INVOICE</t>
  </si>
  <si>
    <t>Transfer pricing corrections for EhP6 SP</t>
  </si>
  <si>
    <t>Purchase Ledger: down payments reference</t>
  </si>
  <si>
    <t>J_3rfum26: New tax document for reversed one</t>
  </si>
  <si>
    <t>Sales/Purchase Ledger: corrections with 0% secondary events</t>
  </si>
  <si>
    <t>Customizing Form 4 works incorrect</t>
  </si>
  <si>
    <t>Technical note: J_3RFCASH15 BAdI adjusting screen method</t>
  </si>
  <si>
    <t>J_3RFFORM4: clearing docs for advances are not found</t>
  </si>
  <si>
    <t>J_3RF_BINDING_FI_WITH_DI:Oper.type, reversals, output, locks</t>
  </si>
  <si>
    <t>J_3RS_CCD: pricing procedure</t>
  </si>
  <si>
    <t>Form M-2. Unit of measure</t>
  </si>
  <si>
    <t>Property Tax declaration issues</t>
  </si>
  <si>
    <t>J_3rfum26: Wrong debit/credit for secondary event docs("N")</t>
  </si>
  <si>
    <t>Wrong amount with partial clearing of advance in Cash Flow</t>
  </si>
  <si>
    <t>Advance Report AO-1</t>
  </si>
  <si>
    <t>RFUMSV50: Partial Down payment clearing</t>
  </si>
  <si>
    <t>Electronic VAT Invoices (Russia) - signature file</t>
  </si>
  <si>
    <t>J3RTAXREP - Fixes for potential problems</t>
  </si>
  <si>
    <t>Wrong logic of KPP code retrieving in EHP6</t>
  </si>
  <si>
    <t>J_3rfum26: Wrong debit/credit sign posting from ALV</t>
  </si>
  <si>
    <t>Form INV-18 Parmater Depreciation area is missing</t>
  </si>
  <si>
    <t>J_3RF_VAT_ANALYSIS: Invoice w/many tax codes w/same account</t>
  </si>
  <si>
    <t>J_3RFVATMM (Custom Union): KZ XML form 320.00 sheetGroup fix</t>
  </si>
  <si>
    <t>RFUMSV50: Wrong value date (BSEG-VALUT) in tax document</t>
  </si>
  <si>
    <t>INV-3-interactive form: Item totals are missing</t>
  </si>
  <si>
    <t>Transfer Pricing correction for EhP6 (2nd part)</t>
  </si>
  <si>
    <t>Technical note: J_3RFVATMM remove extra fields from SELECT</t>
  </si>
  <si>
    <t>Cash Flow doesn't show amount for invoices</t>
  </si>
  <si>
    <t>programm J_3RF_DEPRBONUS: Error SG102</t>
  </si>
  <si>
    <t>Privilege laws for russian transport tax (phase 1)</t>
  </si>
  <si>
    <t>J_3RF_RATE_CALC: downpayments selection by ZUONR</t>
  </si>
  <si>
    <t>Taxpayer loc. and coeff rounding in Ru trans tax decl 2012</t>
  </si>
  <si>
    <t>VAT in AuC: chekman EHP7</t>
  </si>
  <si>
    <t>J_3RF_MB7: technical note</t>
  </si>
  <si>
    <t>KO-4 form: Wrong page subtotals</t>
  </si>
  <si>
    <t>J_3rfum26: Clearing for separate VAT documents</t>
  </si>
  <si>
    <t>XML generation in Russian transport tax decl 2012 errors</t>
  </si>
  <si>
    <t>Processing time-dep. country-specific asset master data</t>
  </si>
  <si>
    <t>Sales/Purchase Ledger: external date, old extracts</t>
  </si>
  <si>
    <t>J3RTAXREP - XML export interfaces modification</t>
  </si>
  <si>
    <t>Form OS-6 Table 7 Section 2: Header is printed twice</t>
  </si>
  <si>
    <t>Automatic Account Determination: error /CCIS/CCISCORRESP 101</t>
  </si>
  <si>
    <t>VAT Invoice Journal: INN/KPP for one-time accounts</t>
  </si>
  <si>
    <t>Property and Transport tax reports: wrong error descriptions</t>
  </si>
  <si>
    <t>INV-17 correction</t>
  </si>
  <si>
    <t>J_3RSSEPINCVAT: shifted fiscal year is not supported</t>
  </si>
  <si>
    <t>J_3RF_CLEARING: residual payments are not processed</t>
  </si>
  <si>
    <t>J_3RFVATMM (Custom Union): 328.00 form rounding</t>
  </si>
  <si>
    <t>J_3RCREV: no clearing in different fiscal year</t>
  </si>
  <si>
    <t>Sales Ledger: labels are missing in ALV</t>
  </si>
  <si>
    <t>J_3RSINVOICE Wrong calculations if Contract number is empy</t>
  </si>
  <si>
    <t>Invoice Journal (RU): Operation type codes</t>
  </si>
  <si>
    <t>Sales Ledger: incorrect partner name for opera = '-'</t>
  </si>
  <si>
    <t>Cashflow statement: incorrect ledger is used for calculation</t>
  </si>
  <si>
    <t>Technical note. Checkman errors.</t>
  </si>
  <si>
    <t>J3RTAXREP - Performance optimizations in XML generation</t>
  </si>
  <si>
    <t>Invoice Journal: Electronic invoice improvements</t>
  </si>
  <si>
    <t>XML generation in Russian transport tax decl 2012 errors 2</t>
  </si>
  <si>
    <t>Transfer Pricing errors correction</t>
  </si>
  <si>
    <t>Documentation for Transfer Pricing</t>
  </si>
  <si>
    <t>Invoice Journal: Incorrect data in print form</t>
  </si>
  <si>
    <t>Error message to run program J_3R_TTAX_DECL</t>
  </si>
  <si>
    <t>R/3 links and fixes</t>
  </si>
  <si>
    <t>Business Functions FIN_LOC_CI_33 and  FIN_LOC_CI_35</t>
  </si>
  <si>
    <t>VAT Invoice forms output</t>
  </si>
  <si>
    <t>checkman</t>
  </si>
  <si>
    <t>Contract accounting improvement</t>
  </si>
  <si>
    <t>XML generator system documentation</t>
  </si>
  <si>
    <t>Missing authorization check in Export VAT analysis report</t>
  </si>
  <si>
    <t>J_3RMOBVED: ACCTIT Table</t>
  </si>
  <si>
    <t>Print forms M-4, TORG-1, TORG-2: OKEI codes</t>
  </si>
  <si>
    <t>No messages in case of error in form TORG13</t>
  </si>
  <si>
    <t>Forms TORG-1 and TORG-2: storage location name is cut off</t>
  </si>
  <si>
    <t>TORG-12 form: zero amounts</t>
  </si>
  <si>
    <t>WayBill form (RU): form texts correction</t>
  </si>
  <si>
    <t>Forms TORG-1, TORG-2: incorrect items</t>
  </si>
  <si>
    <t>TORG-12 form: zero VAT amounts</t>
  </si>
  <si>
    <t>M-15 form output (RU): PDF archiving</t>
  </si>
  <si>
    <t>OKEI codes on the form M-11 for reservation document</t>
  </si>
  <si>
    <t>TORG-12 form: Total quantity</t>
  </si>
  <si>
    <t>XX-CSC-SA-FI</t>
  </si>
  <si>
    <t>Vendor withholding tax certificate for Saudi Arabia (KSA)</t>
  </si>
  <si>
    <t>Fixed asset depr. for KSA</t>
  </si>
  <si>
    <t>Functions of Application Log</t>
  </si>
  <si>
    <t>J_1HDTAX : Incorrect business area populated</t>
  </si>
  <si>
    <t>j_1hdtax : Incorrect Header Text</t>
  </si>
  <si>
    <t>TH:Authorization check for users/plants inefficient-J_1HSTCD</t>
  </si>
  <si>
    <t>TH: Incorrect/duplicate data in Stock card report - J_1HSTCD</t>
  </si>
  <si>
    <t>IDCP TR : Printing issue after due to storage mode</t>
  </si>
  <si>
    <t>IDCP TR : Printing issue in delivery doc due to storage mode</t>
  </si>
  <si>
    <t>FM: CHECK_IF_TAX_CALCULATION : g_message holding old value</t>
  </si>
  <si>
    <t>XX-PROJ-CDP</t>
  </si>
  <si>
    <t>SAP Custom Development Projects (see note 689050)</t>
  </si>
  <si>
    <t>XX-PROJ-CDP-010</t>
  </si>
  <si>
    <t>Custom Development Project 010</t>
  </si>
  <si>
    <t>XX-PROJ-CDP-010-R/3</t>
  </si>
  <si>
    <t>Multi Res.Sched. R/3</t>
  </si>
  <si>
    <t>Dump due to split deletion</t>
  </si>
  <si>
    <t>FPRL_LIST: 'Err msg BSEG-LNRAN does not exist SAPMF05A 0304'</t>
  </si>
  <si>
    <t>FPRL_LIST: Falscher Partnerbanktyp im Pfändungsbeleg</t>
  </si>
  <si>
    <t>FPIA: Performance in FINTAP</t>
  </si>
  <si>
    <t>FKKBIX: Error FKKVT_NOT_EXISTS 007 for transfer of BITs</t>
  </si>
  <si>
    <t>FSTST_ACCESS_CHECK displays pricing procedure ZBVO;incorrect</t>
  </si>
  <si>
    <t>XX-TRANSL-PL</t>
  </si>
  <si>
    <t>Translation Poland</t>
  </si>
  <si>
    <t>Correction of Polish translations in TPAUM</t>
  </si>
  <si>
    <t>COPA derivation with invalid cost center</t>
  </si>
  <si>
    <t>Field "Partner Functional Area" missing in coding block</t>
  </si>
  <si>
    <t>Partner functions in KNVP are note replicated to CRM in IS/M</t>
  </si>
  <si>
    <t>Downport: SEPA-Mandatsfeld in GV - SAP_APPL</t>
  </si>
  <si>
    <t>BP SYN: 2 business partners cant have same payment</t>
  </si>
  <si>
    <t>BC-CCM</t>
  </si>
  <si>
    <t>BC-CCM-TAN</t>
  </si>
  <si>
    <t>Transaction TAANA fo</t>
  </si>
  <si>
    <t>TAANA: Virtual fields for table EKPO</t>
  </si>
  <si>
    <t>DRB: Archived purchased order is not displayed</t>
  </si>
  <si>
    <t>DRB: SAPSQL_IN_ITAB_ILLEGAL_OPTION</t>
  </si>
  <si>
    <t>SAP AS: Archive Explorer for MM_EBAN does not display data</t>
  </si>
  <si>
    <t>Texts are missing with hierarchy extraction</t>
  </si>
  <si>
    <t>DataSource 0CO_PC_PCP_30: Exploding raw material cost est.</t>
  </si>
  <si>
    <t>DataSource 0CO_PC_PCP_30: Missing fields in BW</t>
  </si>
  <si>
    <t>Fields HWAE2, HWAE3 blank in 0FI_AP_3/30 &amp; 0FI_AR_3/30</t>
  </si>
  <si>
    <t>Performance issue with datasource 0FI_AP_51 in full load</t>
  </si>
  <si>
    <t>0FI_GL_4:Data Sources released for ODP data replication API</t>
  </si>
  <si>
    <t>0FI_TX_4: Incorrect base amount with EU code 5</t>
  </si>
  <si>
    <t>Records fetched for incorrect BUKRS given in the selection</t>
  </si>
  <si>
    <t>0FI_GL_40: Field LDGRP empty in general ledger view</t>
  </si>
  <si>
    <t>Additional selection gets duplicated in 0FI_*_4 extractors</t>
  </si>
  <si>
    <t>3EC_PCA_3: TIMESTAMP not filled (2)</t>
  </si>
  <si>
    <t>Extraction's status is red for an incorrect BUKRS selection</t>
  </si>
  <si>
    <t>Incorrect update MCVBEL-VSMNG_L (VI)</t>
  </si>
  <si>
    <t>Dump during hierarchy extraction: CALL_FUNCTION_PARM_MISSING</t>
  </si>
  <si>
    <t>2LIS_06_INV - Incorrect entry in AREWR and AREWW</t>
  </si>
  <si>
    <t>BWVORG wrong when posting against multiple document types</t>
  </si>
  <si>
    <t>OLI3BW: BWVORG error for external supplying plants</t>
  </si>
  <si>
    <t>0PM_PRM_PLCS_1: Planned costs are too high for service</t>
  </si>
  <si>
    <t>Parameter check in extractor 0EQUIPMENT_HIER</t>
  </si>
  <si>
    <t>0NOTIFICATN_ATTR - Delta field characteristic wrong</t>
  </si>
  <si>
    <t>BWE_IFLOT 0FUNCT_LOC_ATTR field conflict LGWID PPSID</t>
  </si>
  <si>
    <t>Data source 0PM_DISMNTL - packaging issues</t>
  </si>
  <si>
    <t>SELECTSORT issue in PM BW extraction</t>
  </si>
  <si>
    <t>Delta mechanism for 0PM_ORDER_ATTR</t>
  </si>
  <si>
    <t>No delta extraction happening in 2LIS_04_P_ARBPL_20.</t>
  </si>
  <si>
    <t>BW-BCT-SD-SLS</t>
  </si>
  <si>
    <t>Object dependency when distributing characteristics</t>
  </si>
  <si>
    <t>DRFOUT: Address change of Vendors results in deletion</t>
  </si>
  <si>
    <t>DRFOUT: Un-processed change pointers entries are created</t>
  </si>
  <si>
    <t>DRFOUT PMPL change mode short dump when handling new article</t>
  </si>
  <si>
    <t>DRFOUT PMAT change mode for added and deleted article UOM</t>
  </si>
  <si>
    <t>Incorrect output of transferred location hierarchies</t>
  </si>
  <si>
    <t>Document not saved during sales order Create with reference</t>
  </si>
  <si>
    <t>Lock entries generated during class existance check</t>
  </si>
  <si>
    <t>WS application deleted after running report DMS_KPRO_CONVERT</t>
  </si>
  <si>
    <t>Print original in Thumbnail view is not working correctly</t>
  </si>
  <si>
    <t>Document description cannot be deleted anymore</t>
  </si>
  <si>
    <t>PLMWUI: Dump due to missing Message ID &amp; Message Number</t>
  </si>
  <si>
    <t>DMS: Problem when saving additional classes</t>
  </si>
  <si>
    <t>BAPI_DOCUMENT_GETDETAIL2:Inherited chatacteristics</t>
  </si>
  <si>
    <t>DMS:Assigning of authorisations in ACL tab</t>
  </si>
  <si>
    <t>DMS: Error while processing Number Assignment type 6</t>
  </si>
  <si>
    <t>DIR description not shown in classification details</t>
  </si>
  <si>
    <t>Enhancement of message in PDF conversion</t>
  </si>
  <si>
    <t>Top Down Error in VEG 7.0</t>
  </si>
  <si>
    <t>Passing URL directly to SAP Visual Enterprise Viewer</t>
  </si>
  <si>
    <t>Multiple jobs created converting same document ( DIR)</t>
  </si>
  <si>
    <t>Check man Errors for PDF Conversion</t>
  </si>
  <si>
    <t>System is not picking Active version of checked in file</t>
  </si>
  <si>
    <t>Incorrect original is being fetched for the application type</t>
  </si>
  <si>
    <t>Drawing file conversion for Single file</t>
  </si>
  <si>
    <t>Multiple jobs created executing an ASM using batch job</t>
  </si>
  <si>
    <t>Wrong Error message on executing DMS_CONV01</t>
  </si>
  <si>
    <t>Customer specific tagging based on document hierarchy</t>
  </si>
  <si>
    <t>No spool log available for the batch job VEG_CNV_BATCHJOB</t>
  </si>
  <si>
    <t>Registered Entry is not deleting on batch job fail</t>
  </si>
  <si>
    <t>Lock in KSSKX table when opening doc directly from CV04N</t>
  </si>
  <si>
    <t>DMS: Inconsistent behavior while transferring IDocs</t>
  </si>
  <si>
    <t>Error during document search from CVI2 transaction</t>
  </si>
  <si>
    <t>DMS: Long Text erased while navigating from Obj Links tab</t>
  </si>
  <si>
    <t>DMS: EHP5 onwards Digital Signatures logs are not displayed</t>
  </si>
  <si>
    <t>DIRs not matching status search criteria not removed</t>
  </si>
  <si>
    <t>CV04N: Inconsistent date format while filtering results</t>
  </si>
  <si>
    <t>CV04N: Performance issues when doing status based search</t>
  </si>
  <si>
    <t>Currency conv. in SEUCJ1BN_40 for J_1BNFSTX-TAX_DIFFERENCE</t>
  </si>
  <si>
    <t>Correction of get waers routine : Note : 827516</t>
  </si>
  <si>
    <t>Net value wrong during repricing for schedule agreement</t>
  </si>
  <si>
    <t>FTWP: Blank entry exists under File Directories tab</t>
  </si>
  <si>
    <t>FTWE1 - Export-Funktionen inaktiv</t>
  </si>
  <si>
    <t>FTW1A: Wrong/missing texts for profit center/cost center</t>
  </si>
  <si>
    <t>General corrections for Side Panel for Public Sector</t>
  </si>
  <si>
    <t>MDG: XSD validation errors for business partner SOA service</t>
  </si>
  <si>
    <t>ERP customer: Required field check is always executed</t>
  </si>
  <si>
    <t>Check mandatory partner functions</t>
  </si>
  <si>
    <t>Different result for pool/cluster tables after DB migration</t>
  </si>
  <si>
    <t>Functional area (long) is not replicated in case of CCTR</t>
  </si>
  <si>
    <t>CCTR change of text is not reflected in FI system</t>
  </si>
  <si>
    <t>POBOX value does not get replicated via COMPANY MDGF inbound</t>
  </si>
  <si>
    <t>CA-QIE</t>
  </si>
  <si>
    <t>Changes to inspection lots after changes to insp. documents</t>
  </si>
  <si>
    <t>Integration of insp. lots ext.insp. in MD04 and ATP (Part I)</t>
  </si>
  <si>
    <t>CATS: Long text issue while updating with zero hours.</t>
  </si>
  <si>
    <t>No negative values check in BAPI_CATIMESHEETMGR_CHANGE</t>
  </si>
  <si>
    <t>CATS_APPR_LITE:Prevention of reset for posted data in MM-SRV</t>
  </si>
  <si>
    <t>Dump when Saving Timesheet with long text</t>
  </si>
  <si>
    <t>CA-TS-CO</t>
  </si>
  <si>
    <t>Integr.Controlling</t>
  </si>
  <si>
    <t>CAT7: Error ERP_CO_OLC_E 003 with OLC service order</t>
  </si>
  <si>
    <t>CA-TS-MM</t>
  </si>
  <si>
    <t>Integr.Ext.Services</t>
  </si>
  <si>
    <t>Missing authorization for service PO's in TCode CATM</t>
  </si>
  <si>
    <t>CA-VE</t>
  </si>
  <si>
    <t>SAP Visual Enterprise</t>
  </si>
  <si>
    <t>CA-VE-VEG</t>
  </si>
  <si>
    <t>SAP Visual Enterpris</t>
  </si>
  <si>
    <t>description of DMS_PDFCONV</t>
  </si>
  <si>
    <t>Dump in SE16N</t>
  </si>
  <si>
    <t>Technical corrections for COGM</t>
  </si>
  <si>
    <t>CO_TOTL_AO: Archiving totals records for reconciliation obj.</t>
  </si>
  <si>
    <t>CO-OM tools: errors for aggregate function in SE16H</t>
  </si>
  <si>
    <t>Group maint.: Assigning groups with suffix in std hierarchy</t>
  </si>
  <si>
    <t>CO-OM tools: selection fields restricted to 45 characters</t>
  </si>
  <si>
    <t>CO-OM tools: the "Group" input field is not transferred</t>
  </si>
  <si>
    <t>Templ. allocation: termination in K_GET_COMPUTATION_W_ACTIVE</t>
  </si>
  <si>
    <t>Business processes: user-defined checks are not called</t>
  </si>
  <si>
    <t>Cost Center Acctg</t>
  </si>
  <si>
    <t>K_COSTCENTERS_SELECT does not deliver all relev cost centers</t>
  </si>
  <si>
    <t>OKEON: Storing processing date in user parameters</t>
  </si>
  <si>
    <t>Enhancement category CSKST is inconsistent</t>
  </si>
  <si>
    <t>KB61 Searches with Statiscal posting does not work</t>
  </si>
  <si>
    <t>KBxxN display with EXIT_SAPLKBER_002 is incorrect Update</t>
  </si>
  <si>
    <t>Allocations: corrections to analysis report RKCORR97_UPD</t>
  </si>
  <si>
    <t>ALLOCATION: enhancement for iteration analysis</t>
  </si>
  <si>
    <t>Tax Reduction Act: KSB5/KOB5 still displays data</t>
  </si>
  <si>
    <t>Msg "CO update locked" when creating forecast of revenue</t>
  </si>
  <si>
    <t>KAEP: adjustment of screen width</t>
  </si>
  <si>
    <t>Report with RESP_FLAG displays no data</t>
  </si>
  <si>
    <t>KAEP_ACC: Termination when '*' is entered</t>
  </si>
  <si>
    <t>KAEP: line item reporting with SAP HANA - dump in KSBPN</t>
  </si>
  <si>
    <t>KOB2N and KSB5N missing in SAP menu</t>
  </si>
  <si>
    <t>Incorrect error for internal order collective processing</t>
  </si>
  <si>
    <t>Availability control is incorrect after CJ34/CJ35/CJ36</t>
  </si>
  <si>
    <t>No availability control for travel expenses</t>
  </si>
  <si>
    <t>No avail. control or incorrect assigned values after payroll</t>
  </si>
  <si>
    <t>Errors IW172/BP760/BP621 unjustified when creating ntwk/acty</t>
  </si>
  <si>
    <t>No AVC update when using dialog FI_REVERSE_DOCUMENT</t>
  </si>
  <si>
    <t>Valuated project stock: incorrect assigned value after CJBN</t>
  </si>
  <si>
    <t>RKANBU01 does not edit any purchase orders</t>
  </si>
  <si>
    <t>Endless loop in include LKED2F30 when reading data</t>
  </si>
  <si>
    <t>Account-based profitability analysis with Accelerated CO-PA</t>
  </si>
  <si>
    <t>KE28A: background jobs execution improvement.</t>
  </si>
  <si>
    <t>CPAE: Error message 000 (0K)</t>
  </si>
  <si>
    <t>KE28: variant text is incorrectly proposed</t>
  </si>
  <si>
    <t>KE28: week option doesn't work</t>
  </si>
  <si>
    <t>KE28A,KE28: improvement of internal key generation</t>
  </si>
  <si>
    <t>Missing authorization check in CO-PA</t>
  </si>
  <si>
    <t>Possible modification/disclosure of persisted data in CO-PA</t>
  </si>
  <si>
    <t>Code injection vulnerability in CO-PA</t>
  </si>
  <si>
    <t>KE28L Erweiterungen</t>
  </si>
  <si>
    <t>KEB0N, KE28L, KEHA: "Subscreen not found" error message</t>
  </si>
  <si>
    <t>KE24: Archived line items not found</t>
  </si>
  <si>
    <t>KEAT: Cost of merchandise sold in SD is too low</t>
  </si>
  <si>
    <t>Error message KE567 when assigning characteristic group</t>
  </si>
  <si>
    <t>KEAT: goods issue is not determined for SIT process</t>
  </si>
  <si>
    <t>Characteristics are lost in MIRO</t>
  </si>
  <si>
    <t>KEA0: SYSTEM_CLASSCONSTRUCTOR_FAILED</t>
  </si>
  <si>
    <t>ALE: COPA_AWSYS not filled in line item</t>
  </si>
  <si>
    <t>Special Cases When Calling Module MLCCS_SCALE_UPDOWN</t>
  </si>
  <si>
    <t>KO88: incorrect level or lower level distribution</t>
  </si>
  <si>
    <t>FCML: Online update reporting table</t>
  </si>
  <si>
    <t>Error C+617 during MIRO or settlement approval</t>
  </si>
  <si>
    <t>ERP Accelerators: Price Dfference Blance on HANA</t>
  </si>
  <si>
    <t>ERP accelerator for selection: Optimizing the package size</t>
  </si>
  <si>
    <t>Performance for goods receipt for subcontract order</t>
  </si>
  <si>
    <t>CO_ML_SPL: Not all periods are archived</t>
  </si>
  <si>
    <t>Unjustified negative price if ending inventory qty zero (2)</t>
  </si>
  <si>
    <t>KE27: Unjustified error message C+ 723</t>
  </si>
  <si>
    <t>Internal error C+099 for order settlement</t>
  </si>
  <si>
    <t>Updating price limiter quantity for vendor billing document</t>
  </si>
  <si>
    <t>SIT: CCSPC with intercompany/profit center delta profits (2)</t>
  </si>
  <si>
    <t>FCML: values from order settlements missing in reporting</t>
  </si>
  <si>
    <t>CKMPRPN: Marking possible although authorization is missing</t>
  </si>
  <si>
    <t>FCML: Online update reporting table II</t>
  </si>
  <si>
    <t>Enable ALV Fullscreen in transaction MLCCSPD</t>
  </si>
  <si>
    <t>Check Manager (CheckMan)</t>
  </si>
  <si>
    <t>CKMLCP, CKMI: new parameter P_HDB "SAP HANA DB Used"</t>
  </si>
  <si>
    <t>MR21: dump for sales order stock price change</t>
  </si>
  <si>
    <t>MR21: adoption of standard price despite valid cost estimate</t>
  </si>
  <si>
    <t>KKBC: call of line items not possible - message KB420 (2)</t>
  </si>
  <si>
    <t>Overhead applicatn of orders despite debit/cr. indicator = L</t>
  </si>
  <si>
    <t>IAOM: Company code not determined in cProject</t>
  </si>
  <si>
    <t>CO-PC-OBJ-ORD</t>
  </si>
  <si>
    <t>ProductCost by Order</t>
  </si>
  <si>
    <t>Message KD537/KD213 in settlement</t>
  </si>
  <si>
    <t>KO88/CO88: settlement for closed prior period, CK122</t>
  </si>
  <si>
    <t>Rework for product costing: duplicate overheads</t>
  </si>
  <si>
    <t>Easy Cost Planning: dump due to exception FAILED</t>
  </si>
  <si>
    <t>Reference costing: material component revaluated</t>
  </si>
  <si>
    <t>Cost estimate: Parameter effectivity applied incorrectly</t>
  </si>
  <si>
    <t>No correlated schedule lines created when uploading CRM doc</t>
  </si>
  <si>
    <t>Toolbox Ext. Billing Szenario: CRM_ANLYSE_SERVICE_DOC_DMR</t>
  </si>
  <si>
    <t>Removing rejection in CRM has no effect in ERP DMR 2</t>
  </si>
  <si>
    <t>Individual queue with a partner number as a suffix</t>
  </si>
  <si>
    <t>Performance problems during CRM initial load</t>
  </si>
  <si>
    <t>Business partner after delivery is incorrect in billing.</t>
  </si>
  <si>
    <t>Sales orders in oil and gas solution remains locked.</t>
  </si>
  <si>
    <t>Create purchase order w/ CO scenario mass-object controlling</t>
  </si>
  <si>
    <t>Incorrect UOM being passed into Material Reservation</t>
  </si>
  <si>
    <t>Planned revenue recognition, lean periodic billing process</t>
  </si>
  <si>
    <t>Service confirmation: document flow incorrect</t>
  </si>
  <si>
    <t>Duplicated entries in SDIMA PARTNERFUNCTION head comparison</t>
  </si>
  <si>
    <t>Transaction CRMM_BUPA_SEND does not send BANK details</t>
  </si>
  <si>
    <t>Basic txt and int.note not uploaded to ERP from CRM-ERP corr</t>
  </si>
  <si>
    <t>Object partner data is not in sync with functional location</t>
  </si>
  <si>
    <t>Performance problems reading IT_STXL table</t>
  </si>
  <si>
    <t>Result set of select statement is not sorted</t>
  </si>
  <si>
    <t>Notification can be saved despite missing mandatory partners</t>
  </si>
  <si>
    <t>Short Dump: CX_SY_CONVERSION_NO_NUMBER for INT values</t>
  </si>
  <si>
    <t>CS-CM-KB</t>
  </si>
  <si>
    <t>Knowledge Base</t>
  </si>
  <si>
    <t>Solution Database returns incorrect result</t>
  </si>
  <si>
    <t>Checking allowed object types for Ibase categ. in IB51</t>
  </si>
  <si>
    <t>No equipment in VA02 in batch input mode</t>
  </si>
  <si>
    <t>SELECTSORT</t>
  </si>
  <si>
    <t>Missing whitelist check in FI-LC, EC-CS, and EC-EIS</t>
  </si>
  <si>
    <t>Methodenwechsel bei Quotenkonsolidierung</t>
  </si>
  <si>
    <t>Kapitalkonsolidierung: Fehlerhafte Abschreibung in Folgejahr</t>
  </si>
  <si>
    <t>Undeletable investment activity</t>
  </si>
  <si>
    <t>Interactive Excel displays invalid values for subassignments</t>
  </si>
  <si>
    <t>AFD Upload from Offline DE possible even for closed period</t>
  </si>
  <si>
    <t>EC-EIS: Hierarchiepflege mit Intervall und Klammerung</t>
  </si>
  <si>
    <t>Error message K7 225 for fixed values of global variables</t>
  </si>
  <si>
    <t>Wrong texts in report header for select option variables</t>
  </si>
  <si>
    <t>Message 00 264 during re-execution of a drilldown report</t>
  </si>
  <si>
    <t>Termination DATA_LENGTH_0 in routine HEADER_FOOTER_INSERT</t>
  </si>
  <si>
    <t>Read upon each nav. step: Incorr. vals for crcy w/o dec. pl.</t>
  </si>
  <si>
    <t>Bilanz-/GuV-Struktur - Hierarchie nicht auswählbar</t>
  </si>
  <si>
    <t>No error message for locked partner profit center</t>
  </si>
  <si>
    <t>Elimination profit center in New G/L as of EHP3 (II)</t>
  </si>
  <si>
    <t>1KEL: Obsolete Berechtigungsprüfung K_PCAR_REP</t>
  </si>
  <si>
    <t>1KEK/RCOPCA49: Incorrect memory ID for controlling area</t>
  </si>
  <si>
    <t>0KE7: Field "Region" cannot be selected for time-dependency</t>
  </si>
  <si>
    <t>1KE4: User parameter for order type not filled</t>
  </si>
  <si>
    <t>KE51/KE52 Activating PCtrs without segments with the new GL</t>
  </si>
  <si>
    <t>EC-PCA-PLN</t>
  </si>
  <si>
    <t>Planning Data</t>
  </si>
  <si>
    <t>1KE0 - validity of the cost center</t>
  </si>
  <si>
    <t>Leading zeros of specification ID are displayed</t>
  </si>
  <si>
    <t>Error during flexible hazardous substance putaway check</t>
  </si>
  <si>
    <t>Portal: Unable to create an entry with After-Event Recording</t>
  </si>
  <si>
    <t>EP-PCT-MAN-MW</t>
  </si>
  <si>
    <t>BP for Mainten. Work</t>
  </si>
  <si>
    <t>Dump in GET_SPECIAL_DATA_WITH_INDEX while fetching long text</t>
  </si>
  <si>
    <t>Invalid date error for format ddmmyyyy in ISR_CONVERT_INPUT</t>
  </si>
  <si>
    <t>MMPUR_CONF 001 when accepting ORDRSP in Portal</t>
  </si>
  <si>
    <t>CPPR: Wrong PR is displayed</t>
  </si>
  <si>
    <t>Harmonized Buyer Role: frontend language is not being used</t>
  </si>
  <si>
    <t>Portal: Vend. Material change truncated when accepting it</t>
  </si>
  <si>
    <t>SPPR: Second checkout from catalog results in 403 error</t>
  </si>
  <si>
    <t>PR item number not displayed in POWL list output</t>
  </si>
  <si>
    <t>Message AY 182 for customer-defined master data fields</t>
  </si>
  <si>
    <t>RAALTD01 - Incorrect insurable values</t>
  </si>
  <si>
    <t>Mass data change - Indicator ANLA-HAS_TDDP is deleted</t>
  </si>
  <si>
    <t>Incorrect partner asset during tranfer w/ special retirement</t>
  </si>
  <si>
    <t>Changeover to phase that does not aut.calculate depreciation</t>
  </si>
  <si>
    <t>RAHERK02 - Column header in ALV list</t>
  </si>
  <si>
    <t>AW01N - retirement simulation</t>
  </si>
  <si>
    <t>Reporting: Incorrect totals for summary report</t>
  </si>
  <si>
    <t>Reporting - determination of standard hierarchy area</t>
  </si>
  <si>
    <t>RASIMU02 - Display of net book value incl. revaluation</t>
  </si>
  <si>
    <t>Reporting: Short dump OBJECT_NOT_STRUCTURED</t>
  </si>
  <si>
    <t>RASIMU_ALV01 - APC transactions for the year</t>
  </si>
  <si>
    <t>Summary report: Incorrect depreciations posted</t>
  </si>
  <si>
    <t>FI-AA-SVA</t>
  </si>
  <si>
    <t>Specific Valuations</t>
  </si>
  <si>
    <t>RAINZU10N: no postings in foreign currency</t>
  </si>
  <si>
    <t>TCK: ERP606 SOH -&gt; SLIN_CALFB -&gt; SAPMF05R</t>
  </si>
  <si>
    <t>Correction of SAP Note 1782615</t>
  </si>
  <si>
    <t>FCRD: no sorting for DB SELECT statements</t>
  </si>
  <si>
    <t>Transaktionswährungsumstellung: Dauerbelege</t>
  </si>
  <si>
    <t>FB02/GOS: Lock is lost</t>
  </si>
  <si>
    <t>FBD3: Change button despite missing authorization for FBD2</t>
  </si>
  <si>
    <t>ENJOY: Error from 'OPEN_FI_PERFORM_00001025_E'</t>
  </si>
  <si>
    <t>MIR7: Manual reason for late payment is overwritten</t>
  </si>
  <si>
    <t>FB05: Down payment request with payment amount</t>
  </si>
  <si>
    <t>FB13: Document is not locked</t>
  </si>
  <si>
    <t>CD clearing: Different amount in general ledger/entry view</t>
  </si>
  <si>
    <t>ME2DP/FPDP_CREATE: Deleted and statistical items</t>
  </si>
  <si>
    <t>FB05/Initial Screen: Company Code Is not Reset</t>
  </si>
  <si>
    <t>FB75: Process BTE 1100 when changing transaction</t>
  </si>
  <si>
    <t>F110: Profit Center in the Bill of Exchange Payment Request</t>
  </si>
  <si>
    <t>F110: SEPA sequence type in payment data</t>
  </si>
  <si>
    <t>F110: SEPA mandate - checking date of signature</t>
  </si>
  <si>
    <t>SEPA:Direct debit pre-notifications + IDoc/EDI/In-House Cash</t>
  </si>
  <si>
    <t>SEPA: Direct debit pre-notificatns and payt medium schedulng</t>
  </si>
  <si>
    <t>FBZP bank accounts (alternative): Incomplete documentation</t>
  </si>
  <si>
    <t>Payment Program Terminates with Dump After X399</t>
  </si>
  <si>
    <t>F110: Payment reference in payment data items</t>
  </si>
  <si>
    <t>F110: SEPA mandate for alternative payer from CML documents</t>
  </si>
  <si>
    <t>SEPA mandates: Interface change between CRM and FI-AR</t>
  </si>
  <si>
    <t>SEPA: BAdI for adjusting lead days not executed</t>
  </si>
  <si>
    <t>SEPA: Individual calendar is not found</t>
  </si>
  <si>
    <t>F110: Incorrect due date for extended individual payment</t>
  </si>
  <si>
    <t>F110/SEPA: One-off mandate identified as already used</t>
  </si>
  <si>
    <t>F110: Error during bank determination (house bank)</t>
  </si>
  <si>
    <t>F110/FBZ0: Error during enhanced bank determination</t>
  </si>
  <si>
    <t>F110: Due date intervals cannot be entered</t>
  </si>
  <si>
    <t>Collective note -  RF Creditor Reference</t>
  </si>
  <si>
    <t>CH_EZAG: Transactions 12, 32 and 38 in Foreign Payments</t>
  </si>
  <si>
    <t>Italy CUP/CIG codes not picked from header text</t>
  </si>
  <si>
    <t>RFEBNORDIC: Wrong total amount for more than 9 SEQ segments</t>
  </si>
  <si>
    <t>DMEE: FI_XML_CT: KIDNO field is not getting filled correctly</t>
  </si>
  <si>
    <t>RFIDNO_BK_STOP:Payments not classified properly</t>
  </si>
  <si>
    <t>DK_PAYMUL_DOMESTIC:Wrong currency populated for foriegn paym</t>
  </si>
  <si>
    <t>DMEE: FR_ETEBAC_VRT-DOM: Note to Payee Information</t>
  </si>
  <si>
    <t>RFFOGB_T: RTI Changes for RFFOGB_T for AIB format</t>
  </si>
  <si>
    <t>RFFOJP_T:File created in server even when program terminates</t>
  </si>
  <si>
    <t>RFFOBE_D - Invoice Information in DME file not refreshed</t>
  </si>
  <si>
    <t>RFFOJP_L: Account Holder name not populating in DME file</t>
  </si>
  <si>
    <t>Anzahlungsverrechnung bei Wareneingangsbuchungen</t>
  </si>
  <si>
    <t>Split as per Notes 1497092/1670486 for Italian Company Codes</t>
  </si>
  <si>
    <t>REBZZ Incorrect after auto. Down Payment Clearing from MM</t>
  </si>
  <si>
    <t>SAP Note 1729732 Is still too Restrictive</t>
  </si>
  <si>
    <t>Error F5 735 with Tax Rate Difference and Material Ledger</t>
  </si>
  <si>
    <t>Agency business + external document number assignment in FI</t>
  </si>
  <si>
    <t>BAdI "FI_LZBKZ_LANDL_DERIVE": CpD Data not Available</t>
  </si>
  <si>
    <t>MIRO: Clearing Down Payments with NVV Input Tax</t>
  </si>
  <si>
    <t>F5 691 when Posting Goods Receipt with Down Payment Clearing</t>
  </si>
  <si>
    <t>Authorization object F_BNKA_MAO is missing in SU24</t>
  </si>
  <si>
    <t>Change confirmation possible without authorization</t>
  </si>
  <si>
    <t>Report RFKABL00/RFDABL00: using select-option for date</t>
  </si>
  <si>
    <t>SEPA: FI_APAR_SEPA_CONV: Minor adjustments to function</t>
  </si>
  <si>
    <t>BADI for Indian Legal change.</t>
  </si>
  <si>
    <t>FBR2: copying from documents with extended withholding tax</t>
  </si>
  <si>
    <t>RFKQST00 - documents with zero tax amounts not reported</t>
  </si>
  <si>
    <t>FR_WT_DAS2 :France legal change 2012</t>
  </si>
  <si>
    <t>Adobe forms for 1099 MISC and MISC1- US LC 2012</t>
  </si>
  <si>
    <t>Adobe forms for 1099 MISC and MISC1 - US LC 2012</t>
  </si>
  <si>
    <t>RFKQST00 - VAT amount, Gross amt and totals  wrong in output</t>
  </si>
  <si>
    <t>Incorrect Currency Conversion for Payment Notification</t>
  </si>
  <si>
    <t>RFIDYYWT Indonesia - Amount wrong in DMEE file</t>
  </si>
  <si>
    <t>RFKQST00 - WHT type not considered from selection screen</t>
  </si>
  <si>
    <t>RFIDYYWT:Issues with US reporting</t>
  </si>
  <si>
    <t>IE RCT Tax Registration Number Check for Vendor/Company</t>
  </si>
  <si>
    <t>RFKQST00 :Tax Number(STCD1)is not displayed for Spain</t>
  </si>
  <si>
    <t>Ireland RCT : Error in Contract Registration file</t>
  </si>
  <si>
    <t>FBV1/FBV2/FBV3: Menu 'Environment' not available</t>
  </si>
  <si>
    <t>FI-AP-IS</t>
  </si>
  <si>
    <t>Transfer Pricing Additional Documentation</t>
  </si>
  <si>
    <t>Number Ranges for SEPA Mandates - bug fix - 001</t>
  </si>
  <si>
    <t>FB08: program termination with CALL_FUNCTION_PARM_UNKNOWN</t>
  </si>
  <si>
    <t>FB08: AWTYP and AWKEY incorrect if document w/ AWTYP 'IDOC'</t>
  </si>
  <si>
    <t>Payment advice notes: no field BUZEI in fast entry</t>
  </si>
  <si>
    <t>POSTING_INTERFACE_CLEARING: simulation freezes</t>
  </si>
  <si>
    <t>FINTSHOW: reprint always uses original form</t>
  </si>
  <si>
    <t>Fixed amounts for interest</t>
  </si>
  <si>
    <t>Fixed amounts for interest: Customizing</t>
  </si>
  <si>
    <t>RFDZIS00_PDF: runtime error TABLE_INVALID_INDEX</t>
  </si>
  <si>
    <t>Fixed amounts for interest (2)</t>
  </si>
  <si>
    <t>RFDSLD00/RFKSLD00: "Currency" not in standard layout</t>
  </si>
  <si>
    <t>RFDABL00/RFKABL00: IBAN changes are not always complete</t>
  </si>
  <si>
    <t>FBL1N/FBL5N: Incorrect header for print from ALV Grid</t>
  </si>
  <si>
    <t>FAGL_S_RFDSLD00_LIST1/FOAP_S_RFKSLD00_LIST1 cannot be enhan.</t>
  </si>
  <si>
    <t>SELECTSORT in package FIN_FSSC_FS_INT</t>
  </si>
  <si>
    <t>FBZG Incorrect document selection for individual posting</t>
  </si>
  <si>
    <t>F5 735 when posting to FI-CA</t>
  </si>
  <si>
    <t>AC interface: Splitting down payment requests in FI</t>
  </si>
  <si>
    <t>VF46: error F5 735 for revenue recognition cancellation</t>
  </si>
  <si>
    <t>Error F5 693 for transfer of cust. invoice with pymnt card</t>
  </si>
  <si>
    <t>SEPA mandate for customers: Payment reversal</t>
  </si>
  <si>
    <t>VAT ID for non-EU countries</t>
  </si>
  <si>
    <t>SEPA mandates customers: Contract ID and Type</t>
  </si>
  <si>
    <t>FI_APAR_SEPA_CONV: Duplicate mandates are created</t>
  </si>
  <si>
    <t>FSEPA_M1: dump PARTNER_MISSING for blank customer</t>
  </si>
  <si>
    <t>SEPA mandates customers: Wrong Contract Type displayed</t>
  </si>
  <si>
    <t>SEPA mandates customers: Terminology change</t>
  </si>
  <si>
    <t>FI-AR-AR-W</t>
  </si>
  <si>
    <t>ENJOY: No simulation despite corrected validation error</t>
  </si>
  <si>
    <t>FBV0: F5 102 when posting directly to branch</t>
  </si>
  <si>
    <t>FINSTA/REMADV: Documents not found using XBLNR</t>
  </si>
  <si>
    <t>Bank stmnt: "yellow" instead of "green" for posting on acct</t>
  </si>
  <si>
    <t>FEB_BSPROC: Incorrect balance after data medium assignment</t>
  </si>
  <si>
    <t>Bank statement: Application log updated incorrectly</t>
  </si>
  <si>
    <t>FBCJ: Cash journal for ALE distribution and withholding tax</t>
  </si>
  <si>
    <t>FBCJ/receipt printout: Print indicator is not set</t>
  </si>
  <si>
    <t>Preliminary program DTA terminates: REGUH-RBETR is zero</t>
  </si>
  <si>
    <t>View V_T070: navigation to FB99</t>
  </si>
  <si>
    <t>Missing characters in note to payee I</t>
  </si>
  <si>
    <t>Klasse CL_IM_DMEE_XML_BADI_01:Final,keine Vererbung möglich</t>
  </si>
  <si>
    <t>RFFOD__L: File contains ampersands due to SAP Note 1697336</t>
  </si>
  <si>
    <t>PMW DTAZV: File contains ampersand due to SAP Note 1719976</t>
  </si>
  <si>
    <t>F8BX: Error during determination of payment method</t>
  </si>
  <si>
    <t>FIBLFFP: SEPA mandate is not found</t>
  </si>
  <si>
    <t>SEPA/IHC: Sequence type of a new mandate in the IHC/B2B</t>
  </si>
  <si>
    <t>Zero-Balance Open Items: Date not populated in reversals</t>
  </si>
  <si>
    <t>Zero-Balance Open Items: Runtime error after MESSAGE_STOP</t>
  </si>
  <si>
    <t>Zero-Balance Open Items: Material Document not reversed</t>
  </si>
  <si>
    <t>Dynamic call to avoid dump for PSM Side Panels</t>
  </si>
  <si>
    <t>HDBC: Performance</t>
  </si>
  <si>
    <t>FAGLL03H: Wrong text for field ABPER</t>
  </si>
  <si>
    <t>Minor corrections HDB views</t>
  </si>
  <si>
    <t>V_GLPOS_N_CT does not return any data</t>
  </si>
  <si>
    <t>FB03: General ledger view displays amount "0"</t>
  </si>
  <si>
    <t>Directory traversal in Financials</t>
  </si>
  <si>
    <t>Potential disclosure of persisted data in Financials</t>
  </si>
  <si>
    <t>FIUT_180_APAR: OI with clearing date in distribution table</t>
  </si>
  <si>
    <t>Field MCA Key without active Business Function FIN_GL_MCA</t>
  </si>
  <si>
    <t>Cannot determine functional currency</t>
  </si>
  <si>
    <t>MCA FX Restatement for MAR Accounts Fails Due to Customizing</t>
  </si>
  <si>
    <t>MCA Reversal: Text Symbol STH too small</t>
  </si>
  <si>
    <t>Deletion in T001 if Customizing maintenance of doc.splitting</t>
  </si>
  <si>
    <t>Reversal not possible due to missing account assignment</t>
  </si>
  <si>
    <t>Customiz. cumulative entry of plan. data: New GL deactivated</t>
  </si>
  <si>
    <t>Document splitting: No aggregation for quantities</t>
  </si>
  <si>
    <t>Transfer from HCM to FI-GL (new): BALANCE_CCODE</t>
  </si>
  <si>
    <t>FAGL_GET_GLT0: Entries with identical keys in ET_GLT0</t>
  </si>
  <si>
    <t>Warning when "positioning" in Customizing for new G/L</t>
  </si>
  <si>
    <t>FAGL_FILL_COST_ELEM: Additional select-options needed</t>
  </si>
  <si>
    <t>Es ist nicht möglich das Ergebnisobjekt zu setzen</t>
  </si>
  <si>
    <t>FB05: Unnecessary RDF lines</t>
  </si>
  <si>
    <t>No special periods in general ledger simulation</t>
  </si>
  <si>
    <t>SAPF124: Output amount not correct for currency</t>
  </si>
  <si>
    <t>ENJOY: Posting/completely despite validation error VI</t>
  </si>
  <si>
    <t>SAPF120: Source code block for manual tax items</t>
  </si>
  <si>
    <t>ENJOY: Message from OPEN_FI_PERFORM_00001020_E</t>
  </si>
  <si>
    <t>ENJOY: Incorrect display of decimal place in simulation</t>
  </si>
  <si>
    <t>ENJOY: Cursor positioning after FS 214</t>
  </si>
  <si>
    <t>FI: CALL TRANSACTION for FB03L does not work (II)</t>
  </si>
  <si>
    <t>FB03: Error OA 280 during reversal</t>
  </si>
  <si>
    <t>Ledger group not ready for input after validation</t>
  </si>
  <si>
    <t>SAPF080: Error ED 266 during modification with Assistant</t>
  </si>
  <si>
    <t>FBRA: Err FAGL_MIG 083 for migration w/o document splitting</t>
  </si>
  <si>
    <t>FB02: Branch number displayed as '****'</t>
  </si>
  <si>
    <t>FB01/fast entry: TABLE_INVALID_INDEX for asterisk</t>
  </si>
  <si>
    <t>FB03: BAdI for additional authorization checks</t>
  </si>
  <si>
    <t>Currency transl. with long exchange rate/conv. exit/prefixes</t>
  </si>
  <si>
    <t>FAGLB03: Values of bal. carryfwd postings are not available</t>
  </si>
  <si>
    <t>FAGLL03: Bal. carryforward postngs (GLYEC) for profit accts</t>
  </si>
  <si>
    <t>OLC: Operation does not display on print list of FI Doc</t>
  </si>
  <si>
    <t>FAGLB03: FBCB postings not displayed for cumul. balance (2)</t>
  </si>
  <si>
    <t>FAGLL03: 'Cost element' not used as account when RRI called</t>
  </si>
  <si>
    <t>FAGLB03: FBCB postings not displayed for bal. carryforward</t>
  </si>
  <si>
    <t>FAGLB03: 'Select Carryfwd. Postings' - No items specified</t>
  </si>
  <si>
    <t>FAGLB03 - Parameter FAGL_MIG_FAGLL03 in drilldown</t>
  </si>
  <si>
    <t>FAGLL03: Message MSITEM 125 issued several times</t>
  </si>
  <si>
    <t>RFUSVJ10: Termination with message FR 256</t>
  </si>
  <si>
    <t>RFUMSV25: Supplement corrections for SAP Note 1814044</t>
  </si>
  <si>
    <t>MIRO: manual rate is overwritten when BTE 2051 is active</t>
  </si>
  <si>
    <t>MR8M: Tax/base from cancelled document not transferred</t>
  </si>
  <si>
    <t>ZM Mass data: processing sequence in file name</t>
  </si>
  <si>
    <t>G/L account &amp; requires valid tax code FS214</t>
  </si>
  <si>
    <t>VATDATE: Date missing in leading company code</t>
  </si>
  <si>
    <t>PEO: Direct tax items with PEO account assignment</t>
  </si>
  <si>
    <t>RFUMSV10: Tax total for split documents from HR</t>
  </si>
  <si>
    <t>F110 bricht ab mit Saldofehler</t>
  </si>
  <si>
    <t>Direct tax items always with BSET-TXJLV = D</t>
  </si>
  <si>
    <t>PEO: FMPEBTIL and minor differences</t>
  </si>
  <si>
    <t>Czech Republic - VAT 2010 xml file encoding is not UTF-8</t>
  </si>
  <si>
    <t>RFIDPL15:Issues with calendar periods and Archive parameters</t>
  </si>
  <si>
    <t>RFIDMXFORMAT29: Incorrect Foreign Vendor Tax Number</t>
  </si>
  <si>
    <t>RFUVXX00: Error in XML file</t>
  </si>
  <si>
    <t>RFIDESM347:Multiple Issues with Model 347</t>
  </si>
  <si>
    <t>RFASLD11B:Multiple Issues with Model 349</t>
  </si>
  <si>
    <t>SAFT-PT: Self Billing solution</t>
  </si>
  <si>
    <t>RFIDITSR00(FR):Display of Vendor Credit Memo in XML file</t>
  </si>
  <si>
    <t>RFIDATAFS Version 3.24</t>
  </si>
  <si>
    <t>Legal Change: Portugal public sectors</t>
  </si>
  <si>
    <t>Archival solution in report RFIDTRWEKO</t>
  </si>
  <si>
    <t>SAFT-PT: Corrections RSAFT_PT_XML for 2010 (63)</t>
  </si>
  <si>
    <t>RFUSVB10 - Issue in case of large negative amounts</t>
  </si>
  <si>
    <t>RFASLD15(PL)Incorrect Amount,if a document has multiple line</t>
  </si>
  <si>
    <t>RFASLD11B: Issue with Credit memo and pro-rate</t>
  </si>
  <si>
    <t>RPFISKEVAT: Issue with VAT Registration number</t>
  </si>
  <si>
    <t>SAFT-PT: Corrections RSAFT_PT_XML for 2010 (64)</t>
  </si>
  <si>
    <t>RFIDPTPSXML: New legal change 2013 for POCISS sector</t>
  </si>
  <si>
    <t>FAGL_FC_VALUATION: additional acc. assignments incorrect (2)</t>
  </si>
  <si>
    <t>RFAWVZ40N: Selection parameters: Posting date/entry date</t>
  </si>
  <si>
    <t>JVA Integration Recovery Indicatr in the case of FAGL_FC_VAL</t>
  </si>
  <si>
    <t>Currency valuation/translation: Transfer additional fields</t>
  </si>
  <si>
    <t>RFBNUM00N: Duplicate numbers when checking buffer</t>
  </si>
  <si>
    <t>FAGL_YEC_POSTINGS_EHP4: Performance improvement</t>
  </si>
  <si>
    <t>FAGL_FCV: Buchungsliste zeigt falsche Belegnummern</t>
  </si>
  <si>
    <t>RFAWVZ5P: Specify complete path</t>
  </si>
  <si>
    <t>FBL3N: Report interface</t>
  </si>
  <si>
    <t>FAGL_FC_VAL: fehlender Saldenstorno bei Deltalogik</t>
  </si>
  <si>
    <t>SAPF101: Laufzeitfehler COMPUTE_BCD_OVERFLOW</t>
  </si>
  <si>
    <t>FAGL_ML_ADJUST_INITIAL: Currency type reconciled with FI</t>
  </si>
  <si>
    <t>F107, method 10: Additional information for transfer in FI</t>
  </si>
  <si>
    <t>RFWERE00: Long runtime</t>
  </si>
  <si>
    <t>FAGL_DR_PROVISION: Cannot decrease the percentage in BAdI.</t>
  </si>
  <si>
    <t>RFSUMB00: Short Dump GETWA_NOT_ASSIGNED in ALV display.</t>
  </si>
  <si>
    <t>RFAWVZ40N: LZB-Kennzeichen Zahlung in Sachkontengegenzeilen</t>
  </si>
  <si>
    <t>FAGL_FCV - Account determination: Error message FR257</t>
  </si>
  <si>
    <t>Balance carry fwd: program changes for balance sheet a/c sel</t>
  </si>
  <si>
    <t>FAGL_FC_VAL: Texts "New Difference" and "Old Difference"</t>
  </si>
  <si>
    <t>F107: Error FAGL_POST_SERVICE012, BI session without errors</t>
  </si>
  <si>
    <t>FAGL_YEC_POSTINGS_EHP4: Incorrect balances from REA to PLCA</t>
  </si>
  <si>
    <t>FAGL_FC_VALUATION: Text Symbol 016 missing</t>
  </si>
  <si>
    <t>ODN functions moved</t>
  </si>
  <si>
    <t>F5869 for postings from loans management</t>
  </si>
  <si>
    <t>Deriving default tax codes for postings from HR</t>
  </si>
  <si>
    <t>Error F5 899 during goods receipt posting</t>
  </si>
  <si>
    <t>FI ALE: Performance improvement reading distribution model</t>
  </si>
  <si>
    <t>FAGLAL3: Balance when creating IDoc to transfer totals</t>
  </si>
  <si>
    <t>FI ALE FAGLDT01: Error with IDocs from transaction FPG1</t>
  </si>
  <si>
    <t>FIDCC1/FIDCC2: Error F1 315 for G/L accts managed externally</t>
  </si>
  <si>
    <t>Recovery indicator in real-time integration</t>
  </si>
  <si>
    <t>ENJOY: Validation/substitution for visible area only</t>
  </si>
  <si>
    <t>FAGL_ACTIVATE_OP:Switch even though open items already exist</t>
  </si>
  <si>
    <t>FAGL_ACTIVATE_OP: Msg. F5 808 value date is req. field (2)</t>
  </si>
  <si>
    <t>FAGL_CHECK_AUTHORITY_SUM_TABLE: Incorrect authority check</t>
  </si>
  <si>
    <t>Note 1028374: Program RFSBWA00</t>
  </si>
  <si>
    <t>RFBILA00: Summary Report</t>
  </si>
  <si>
    <t>FS10N: report-report interface</t>
  </si>
  <si>
    <t>FI Line Item Browsers: Corrections</t>
  </si>
  <si>
    <t>Line Item Browsers: Performance with Navigation</t>
  </si>
  <si>
    <t>AIS: Export to Private File: File Inconsistent</t>
  </si>
  <si>
    <t>AIS: Sequence Error in Query Account Analysis G/L Account</t>
  </si>
  <si>
    <t>EFS GCD: Multiple selection for tuples</t>
  </si>
  <si>
    <t>Needless /SAPF15/-fields in field catalog of FBL+N trans.</t>
  </si>
  <si>
    <t>Electronic finan. statement: Error in graduated total calc.</t>
  </si>
  <si>
    <t>EFS: Error FAGL_GCD_MAINTENANCE 045 in GCD2_XBRL</t>
  </si>
  <si>
    <t>Check class /KYK/CL_CHK_S_ALR_87012277 missing</t>
  </si>
  <si>
    <t>EFS: Missing item "Profit/loss carried forward"</t>
  </si>
  <si>
    <t>Virtual InfoProvider for general ledger view shows no data</t>
  </si>
  <si>
    <t>Performance improvement V_GLPOS_N_CT</t>
  </si>
  <si>
    <t>SAP HANA view generatn w/o flds _COUNTER, _FISCPER, _BUZEI3</t>
  </si>
  <si>
    <t>FGI0: Due to Migration, not all data may be selected</t>
  </si>
  <si>
    <t>RFBILA10: further selections</t>
  </si>
  <si>
    <t>Performance: FAGL_MIG_RPITEMS_CRESPLIT</t>
  </si>
  <si>
    <t>Deadlocks with FAGL_MIG_SUBSEQ_POST when executed II</t>
  </si>
  <si>
    <t>Migration: FAGL3KEH or 3KEH before migration date</t>
  </si>
  <si>
    <t>Deselect operation does not affect sub-nodes</t>
  </si>
  <si>
    <t>PRCTR: Performance improvement for purchase orders</t>
  </si>
  <si>
    <t>PRCTR: Performance improvement for purchase orders II</t>
  </si>
  <si>
    <t>Reorganization incorrectly uses default account assignment</t>
  </si>
  <si>
    <t>PRCTR: Incorrect balance sheet posting for materials II</t>
  </si>
  <si>
    <t>PRCTR: Item categories of POs with account assignment</t>
  </si>
  <si>
    <t>PRCTR: Adjustments on the GR/IR account</t>
  </si>
  <si>
    <t>PRCTR: Adjustments on the GR/IR account II</t>
  </si>
  <si>
    <t>PRCTR: Additional local currencies for purchase orders</t>
  </si>
  <si>
    <t>PRCTR: Check of transfer of billing documents</t>
  </si>
  <si>
    <t>PRCTR: GR/IR account without document splitting</t>
  </si>
  <si>
    <t>Error message cancels job processing during SO reassignment</t>
  </si>
  <si>
    <t>PRCTR: Delivery costs</t>
  </si>
  <si>
    <t>PRCTR: Incorrect profitability segment in sales document</t>
  </si>
  <si>
    <t>PRCTR: Analysis report for material and purchase order</t>
  </si>
  <si>
    <t>PRCTR: Posting to old profit center</t>
  </si>
  <si>
    <t>PRCTR: Dump DBIF_RSQL_INVALID_RSQL for SO acct assgmt change</t>
  </si>
  <si>
    <t>PRCTR: Performance when reassigning sales documents</t>
  </si>
  <si>
    <t>No sorting when using DB SELECT statements</t>
  </si>
  <si>
    <t>ASSERTION_FAILED during object generation</t>
  </si>
  <si>
    <t>ASSERTION_FAILED during object generation II.</t>
  </si>
  <si>
    <t>PRCTR: Status during selection of CO objects</t>
  </si>
  <si>
    <t>PRCTR/SEG: MESSAGE_TYPE_X during generation of AP/AR (4)</t>
  </si>
  <si>
    <t>PRCTR: Error FAGL_REORGANIZATION545 During Reassignment II</t>
  </si>
  <si>
    <t>PRCTR/SEG: Error message FAGL_REORGANIZATION 566 (III)</t>
  </si>
  <si>
    <t>Special Purpose Ledg</t>
  </si>
  <si>
    <t>GCP1: Periods can be entered in descending order</t>
  </si>
  <si>
    <t>RFBILA10: Version information in header line</t>
  </si>
  <si>
    <t>Currencies not derived for FAGLFLEXR reports</t>
  </si>
  <si>
    <t>SET_NOT_FOUND</t>
  </si>
  <si>
    <t>RW: Performance improvements for HANA</t>
  </si>
  <si>
    <t>Dump SAPSQL_INVALID_FIELDNAME in GB01 or GB11</t>
  </si>
  <si>
    <t>GD20: Memory consumption too high</t>
  </si>
  <si>
    <t>RGGD2300: Incomplete selection criteria for DRCRK</t>
  </si>
  <si>
    <t>GS03 completeness check for account group incorrect</t>
  </si>
  <si>
    <t>FI-SL-VSR</t>
  </si>
  <si>
    <t>Validation, Subst.</t>
  </si>
  <si>
    <t>GCT9/GCT0: 'Delete from request' generates runtime error</t>
  </si>
  <si>
    <t>RPRAPA00: Update/change also if inactive employees</t>
  </si>
  <si>
    <t>RPR_AIRP_LRS_TO_FI: Profitcenterableitung</t>
  </si>
  <si>
    <t>EDX: Support for Invoice List in EDX_LIST report</t>
  </si>
  <si>
    <t>EDX: Outbound transformation with wrong attachment parameter</t>
  </si>
  <si>
    <t>EDX: ABAP Dump while trying to write into the file system</t>
  </si>
  <si>
    <t>EDX: Better status handling</t>
  </si>
  <si>
    <t>EDX: Filter non BCONS output messages</t>
  </si>
  <si>
    <t>FIN-FSCM-BD</t>
  </si>
  <si>
    <t>Biller Direct</t>
  </si>
  <si>
    <t>FIN-FSCM-BD-AR</t>
  </si>
  <si>
    <t>Accounts Receivables</t>
  </si>
  <si>
    <t>Redundant Entries in T_INVOICES During Invoice Selection</t>
  </si>
  <si>
    <t>BNK_MONI: Bank account number of payee is too short</t>
  </si>
  <si>
    <t>Payment Advice Document from Transaction FDTA for BCM File</t>
  </si>
  <si>
    <t>Datum bei Report RBNK_PAYM_SCHEDULE und TA BNK_BATCH</t>
  </si>
  <si>
    <t>FTE_BSM: Performance for accounts w/o line item management</t>
  </si>
  <si>
    <t>FMM: Cash_forecast_mm_relevant Evaluates T036Q Incorrectly</t>
  </si>
  <si>
    <t>Different level for payment lock for special G/L trans.</t>
  </si>
  <si>
    <t>VA32: Termination in CASH_FORECAST_SD_ORDER_UPD_3</t>
  </si>
  <si>
    <t>FF63: Distribution Function Does Not Identify Too Small Amts</t>
  </si>
  <si>
    <t>FDM_P2P_AUTO_CONFIRM: Performance</t>
  </si>
  <si>
    <t>Error Creating Resubmissions at Customer Level</t>
  </si>
  <si>
    <t>Forderungen bearbeiten: Probleme mit Bildschirmauflösung</t>
  </si>
  <si>
    <t>UKM_TRANSFER_VECTOR Credit control area is empty</t>
  </si>
  <si>
    <t>Freigabe eines Auftrags aus DCD nicht möglich</t>
  </si>
  <si>
    <t>BADI FDM_AR_DISP_COMPLETE: case GUID not available</t>
  </si>
  <si>
    <t>FSCM: Runtime error in transaction FDM_COLL_SEND_ITEM</t>
  </si>
  <si>
    <t>Automatic substitution of the business area</t>
  </si>
  <si>
    <t>Liquiditätspositionen aus gerichteten Belegketten</t>
  </si>
  <si>
    <t>Incorrect selection in RFLQ_CASH_FORECAST_FIN</t>
  </si>
  <si>
    <t>RFLQ_BALANCE_CF: Liqudity item not shown in the result</t>
  </si>
  <si>
    <t>Authorization check for FLQINFACC, FLQC7, FLQLQR &amp; FLQLGRP</t>
  </si>
  <si>
    <t>Fix for "Error message when run CCR report"</t>
  </si>
  <si>
    <t>Error in Finding Final Info Item in FLQF1</t>
  </si>
  <si>
    <t>FLQT1: Incorrect KWBTR update in FLQITEMMA</t>
  </si>
  <si>
    <t>FLQAC/D/L:Incorrect paying co.code in inter company transfer</t>
  </si>
  <si>
    <t>Conversion of pool or cluster tables into transparent tables</t>
  </si>
  <si>
    <t>Cancel function in scenario administration</t>
  </si>
  <si>
    <t>ZKF: corrections to existing SAP_APPL code</t>
  </si>
  <si>
    <t>FC17 negative values</t>
  </si>
  <si>
    <t>Missing authorization check in Market Data Upload</t>
  </si>
  <si>
    <t>BP_CVI: Various corrections for the CVI SEPA navigation</t>
  </si>
  <si>
    <t>BP_CVI: partner roles not correct for grouping change</t>
  </si>
  <si>
    <t>BP_CVI: Terminatn msg SEPA 009 when assigning mandate to BP</t>
  </si>
  <si>
    <t>BP_CVI: errors in creation of BP from cust./vend.: req. chck</t>
  </si>
  <si>
    <t>BP_CVI: DI and partner roles - entry ##1 not in KNA1/LFA1</t>
  </si>
  <si>
    <t>BP_CVI: Wechsel des Vertriebsbereichs nicht möglich</t>
  </si>
  <si>
    <t>New entries for table IMA_SELOPT possible</t>
  </si>
  <si>
    <t>Inconsistencies in IMZO after RAIMDELE execution</t>
  </si>
  <si>
    <t>IMCCP1/IMCRC1/IMCOC1/IMCCV1: Fehlende Kons.prfg. Parent-Pos.</t>
  </si>
  <si>
    <t>IS-A-SUS</t>
  </si>
  <si>
    <t>Supersession</t>
  </si>
  <si>
    <t>Incorrect Error Message in trans. GRM4 - Message GRPG114</t>
  </si>
  <si>
    <t>GPD605+: Archiving - settlement prof. setting disconsidered</t>
  </si>
  <si>
    <t>IS-ADEC-MEB</t>
  </si>
  <si>
    <t>Maintenance Event Bu</t>
  </si>
  <si>
    <t>PM_MPLAN : operation was carried out on a handle error</t>
  </si>
  <si>
    <t>Technical prerequisite for Note 1854905</t>
  </si>
  <si>
    <t>Technical prerequisite for Note 1822856</t>
  </si>
  <si>
    <t>IS-CWM-WM</t>
  </si>
  <si>
    <t>CWM WM</t>
  </si>
  <si>
    <t>IS-CWM Korrektur Screen-Fehler SAPML03T</t>
  </si>
  <si>
    <t>IS-M-PLM</t>
  </si>
  <si>
    <t>Product Lifecycle</t>
  </si>
  <si>
    <t>Potentially unsorted result set of SQL-Select</t>
  </si>
  <si>
    <t>IS-MP-LE</t>
  </si>
  <si>
    <t>LT01 screen(0101) enhanced for mill WM specific functions</t>
  </si>
  <si>
    <t>Technical prerequisite for SAP Note 1849567</t>
  </si>
  <si>
    <t>IS-OIL-DS-TSW</t>
  </si>
  <si>
    <t>Traders/Schedul. WB</t>
  </si>
  <si>
    <t>Text elements missing for TSW tabs in purchase order</t>
  </si>
  <si>
    <t>Missing adjustment of currency fields</t>
  </si>
  <si>
    <t>Incorrect deletion of vendors assigned to EAN II</t>
  </si>
  <si>
    <t>MM46: Too many fields displayed</t>
  </si>
  <si>
    <t>Deviations on layout module level are deleted</t>
  </si>
  <si>
    <t>MATERIAL_UPDATE_LOGISTIC_DATA: Incorrect change documents</t>
  </si>
  <si>
    <t>Pre-imp. steps f SAP Notes 1812681 and 1812012 w/ sys supp.</t>
  </si>
  <si>
    <t>WSM4L: Not including supplying sites in listing</t>
  </si>
  <si>
    <t>listing via general assortments: price checks</t>
  </si>
  <si>
    <t>Documentation for field WLK1-NEGAT is incorrect</t>
  </si>
  <si>
    <t>WSOA transactions and LEAVE TO TRANSACTION in background</t>
  </si>
  <si>
    <t>WSO2/WSO5:Creating listing conditions that begin in the past</t>
  </si>
  <si>
    <t>WSO2 with assignment start date in the past</t>
  </si>
  <si>
    <t>Creating listing conditions in the past</t>
  </si>
  <si>
    <t>Incorrect packaging when article segments are created</t>
  </si>
  <si>
    <t>Wrong listing results MATERIAL_MAINT_LISTING_CHECK std funct</t>
  </si>
  <si>
    <t>Error in lean data handling for GDS rule engine</t>
  </si>
  <si>
    <t>Dump while writing Rule-Engine-app. to transport</t>
  </si>
  <si>
    <t>Exception not caught</t>
  </si>
  <si>
    <t>BAPI_PROMO_CREATE: fehlerhaftes Handling</t>
  </si>
  <si>
    <t>Transactions WBTE and WBTI are obsolete</t>
  </si>
  <si>
    <t>Termination maintaining supplying site for material group</t>
  </si>
  <si>
    <t>Doppelte Einträge in Sicht Lieferbetriebe (WB02)</t>
  </si>
  <si>
    <t>WB02: Error when making entries in table WRF3</t>
  </si>
  <si>
    <t>segment number incorrect when logging error message</t>
  </si>
  <si>
    <t>IS-R-IFC-PI</t>
  </si>
  <si>
    <t>Interface: Phys. Inv</t>
  </si>
  <si>
    <t>Add sorting of internal tables in physical inventory</t>
  </si>
  <si>
    <t>Store Order: External orders item number not set, using IDOC</t>
  </si>
  <si>
    <t>IS-R-LG-GR</t>
  </si>
  <si>
    <t>MIGO does not find the correct Storage Location</t>
  </si>
  <si>
    <t>MW 134 while creating allocation rule using WA21</t>
  </si>
  <si>
    <t>Request date not editable once notification is created</t>
  </si>
  <si>
    <t>WA11: Multiple processing possible simultaneously.</t>
  </si>
  <si>
    <t>WA01: No check on confirmation/request date</t>
  </si>
  <si>
    <t>WA54: Internal error: command could not be executed</t>
  </si>
  <si>
    <t>IS-R-PUR-PER</t>
  </si>
  <si>
    <t>Perishables Planning</t>
  </si>
  <si>
    <t>WDFR: Incorrect currencies when you enter price</t>
  </si>
  <si>
    <t>selection parameter purchase organization not considered</t>
  </si>
  <si>
    <t>WWP1: Error WM 262 if unselect some criteria e.g plant</t>
  </si>
  <si>
    <t>WPO1 is considering the held PO for deletion.</t>
  </si>
  <si>
    <t>MRP1 : Incorrect update of forecast value from external data</t>
  </si>
  <si>
    <t>WRP1: Mutilple requisition created for same article/site.</t>
  </si>
  <si>
    <t>WRP1: Cross-distribution-chain article status not checked.</t>
  </si>
  <si>
    <t>IS-R-PUR-VMI</t>
  </si>
  <si>
    <t>Vendor Managed Inv.</t>
  </si>
  <si>
    <t>PO number not copied from ORDCHG IDOC to sales order</t>
  </si>
  <si>
    <t>PROACT IDOCS, information message displayed as error</t>
  </si>
  <si>
    <t>Performance issues in Vendor Management Inventory</t>
  </si>
  <si>
    <t>BOM header not distributed to Decentral WMS.</t>
  </si>
  <si>
    <t>Delivery item not distributed to Decentral WMS.</t>
  </si>
  <si>
    <t>Extended Warehouse</t>
  </si>
  <si>
    <t>Batch split items and invoice before goods issue</t>
  </si>
  <si>
    <t>Kit-to-order header not distributed to EWM</t>
  </si>
  <si>
    <t>No invoice before goods issue for billing relevancy L</t>
  </si>
  <si>
    <t>TO confirmation fails with Storage Unit verification error</t>
  </si>
  <si>
    <t>LRF1 : Lock not released when changing the warehouse ID</t>
  </si>
  <si>
    <t>LM05 : Confirm destination screen with verification</t>
  </si>
  <si>
    <t>LM30 does not work in decentral scenario</t>
  </si>
  <si>
    <t>Difference quantity field not cleared</t>
  </si>
  <si>
    <t>LM05 : Confirmation with difference does not work</t>
  </si>
  <si>
    <t>VL03N - Unable to display quality certificate for delivery</t>
  </si>
  <si>
    <t>Transfer request: Documentation batches not saved</t>
  </si>
  <si>
    <t>Delivery with cons. issue items is relevant for distribution</t>
  </si>
  <si>
    <t>VL04: Valuation of Special Stock missing for LOG_MM_SIT</t>
  </si>
  <si>
    <t>Foreign trade data for replenishment delivery from TM</t>
  </si>
  <si>
    <t>No route determination in BAPI_OUTB_DELIVERY_CREATENOREF</t>
  </si>
  <si>
    <t>By-products in inbound delivery SC components ignored II</t>
  </si>
  <si>
    <t>VLA315 when posting goods receipt for inbound delivery(MIGO)</t>
  </si>
  <si>
    <t>VL699 when posting by-products via inbound delivery</t>
  </si>
  <si>
    <t>Unexpected delivery split in VL31N</t>
  </si>
  <si>
    <t>LIPS-LGPLA not determined for split items (WM)</t>
  </si>
  <si>
    <t>SiT: Problems with packaging (HUs) for valuated SiT</t>
  </si>
  <si>
    <t>VL10: Incorrect delivery date determination for STO</t>
  </si>
  <si>
    <t>VL10B/VL10D: Incorrect delivery group for structured items</t>
  </si>
  <si>
    <t>VL10: Incorrect delivery date determination for STO (2)</t>
  </si>
  <si>
    <t>Inbound deliveries w/ deletion indicator can't be archived 2</t>
  </si>
  <si>
    <t>DespatchedDeliveryNotification_In_V1: Batch data</t>
  </si>
  <si>
    <t>Shipment Int. Inb.: missing mapping for MoT in IDoc2ESOA</t>
  </si>
  <si>
    <t>ERP TM: stage times and loading times are filled wrong</t>
  </si>
  <si>
    <t>Performance improvement for GI parallel processing</t>
  </si>
  <si>
    <t>GR reversal for delivery w/o PO reference: Doc flow issue</t>
  </si>
  <si>
    <t>SAP Note 1780263 does not work for split deliveries</t>
  </si>
  <si>
    <t>VL09 for subcontractor fill-up w/ HUs causes HUFUNCTIONS254</t>
  </si>
  <si>
    <t>VL35_S: background job ended by error message VO 049 /VO 051</t>
  </si>
  <si>
    <t>TO can be created when inventory active for quants in bulk</t>
  </si>
  <si>
    <t>VLMOVE can lead to mixed storage in warehouse</t>
  </si>
  <si>
    <t>Blocked Bulk bin not unblocked with cancelled transfer order</t>
  </si>
  <si>
    <t>Wrong assignment of pick HUs for cross deliveries TO</t>
  </si>
  <si>
    <t>Posting change notice created with zero quantity</t>
  </si>
  <si>
    <t>WMPP - Performance issue with WM staging</t>
  </si>
  <si>
    <t>WMPP - Performance issue with cancellation of WM Staging</t>
  </si>
  <si>
    <t>Confirmation of VAS TO results in update termination</t>
  </si>
  <si>
    <t>AB: ABD Fails Posting Due to Check for Statistical Entries</t>
  </si>
  <si>
    <t>AB: Missing Plant IDs/Profit Center on FI posting of ABD doc</t>
  </si>
  <si>
    <t>Cancellation flag is reset in a settelment request list</t>
  </si>
  <si>
    <t>Pogram RWLFNAST_AF ignores 'Fixed Value Date'</t>
  </si>
  <si>
    <t>Incorrect values when settling muliple expenses</t>
  </si>
  <si>
    <t>AB: Display of FI documents incomplete in some cases</t>
  </si>
  <si>
    <t>AB: Transfer of partner object number</t>
  </si>
  <si>
    <t>Integration TM: Program termination with cx_wzre_fatal_error</t>
  </si>
  <si>
    <t>AB: Transaction WBLR0 missing in menu due to wrong switch</t>
  </si>
  <si>
    <t>AB: Expense provision and settlement document from GTM</t>
  </si>
  <si>
    <t>AB: Error in company code determ. in cross comp. posting</t>
  </si>
  <si>
    <t>AB: Checking whether a user exit is active</t>
  </si>
  <si>
    <t>AB: Reading of master data does not check the buffer</t>
  </si>
  <si>
    <t>AB: Reading of payment type occurs too often</t>
  </si>
  <si>
    <t>AB: Check for expired currencies has poor performance</t>
  </si>
  <si>
    <t>AB: The fiscal year is determined too often</t>
  </si>
  <si>
    <t>AB: Wrong Posting Status Cancellation of Cancel Docs</t>
  </si>
  <si>
    <t>AB: Info record data not buffered in an optimal way</t>
  </si>
  <si>
    <t>AB: Error WS 101 in creation of cross company doc. via API</t>
  </si>
  <si>
    <t>AB: Error WS 800 in Customer Settlement on open document</t>
  </si>
  <si>
    <t>Posting date is cleared in posting list creation</t>
  </si>
  <si>
    <t>AB: Header Details menu option does not work for WZR1</t>
  </si>
  <si>
    <t>AB: Zero Quantity not supported for WDTYP 'B' or 'H'</t>
  </si>
  <si>
    <t>AB: Customer hierarchy not determined in pricing</t>
  </si>
  <si>
    <t>AB: VAT ID in generation of the follow-on documents</t>
  </si>
  <si>
    <t>AB: Unnecessary account determination for invoice list</t>
  </si>
  <si>
    <t>Adding sorting in select statement</t>
  </si>
  <si>
    <t>AB: Incorrect partner data during NAST processing</t>
  </si>
  <si>
    <t>AB: Error FF 787 occurs with FI release</t>
  </si>
  <si>
    <t>AB: Balance via item category</t>
  </si>
  <si>
    <t>TM Integration: scheduling agreement does not work</t>
  </si>
  <si>
    <t>LO-AB-IFW</t>
  </si>
  <si>
    <t>Invoice Forecasting</t>
  </si>
  <si>
    <t>Dump when executing transaction IFW_FORECAST</t>
  </si>
  <si>
    <t>AB: You cannot copy several documents</t>
  </si>
  <si>
    <t>AB: Missing fields in structure KOMZRKE</t>
  </si>
  <si>
    <t>AB: Debit payment key is incorrectly checked</t>
  </si>
  <si>
    <t>Verbuchungsabbruch nach Änderung VKHM aus MM42</t>
  </si>
  <si>
    <t>Repair process using valuated stock</t>
  </si>
  <si>
    <t>returns order: delete rejection recreates the whole process</t>
  </si>
  <si>
    <t>MSR_IRD: Incorrect item/quantity proposal</t>
  </si>
  <si>
    <t>Inspection not reopened after deletion of delivery</t>
  </si>
  <si>
    <t>Returns overview: field 'Created On' is empty (II)</t>
  </si>
  <si>
    <t>Multiple issues with batch managed material</t>
  </si>
  <si>
    <t>Fast entry for confirmed inspection items must be disallowed</t>
  </si>
  <si>
    <t>VL09 creates new goods issue for SDF delivery</t>
  </si>
  <si>
    <t>Messages raised incorrectly during material inspection</t>
  </si>
  <si>
    <t>Wrong display of button 'Display Ship-To Address'</t>
  </si>
  <si>
    <t>Batch classification not copied</t>
  </si>
  <si>
    <t>Batch determination: Incorrect batches are determined</t>
  </si>
  <si>
    <t>RVBOBJTABUPD: Performance issue when TOBJ_D_INDEX update</t>
  </si>
  <si>
    <t>Material short text only displayed internally</t>
  </si>
  <si>
    <t>MIGO_GR No control of requd char for ducument batches</t>
  </si>
  <si>
    <t>Documentation batches for the subcontractor delivery</t>
  </si>
  <si>
    <t>MIGO: Pop up for valuation type appears for docu. batch</t>
  </si>
  <si>
    <t>ITAB_ILLEGAL_SORT_ORDER SAPLVBDOCUBATCH_DM</t>
  </si>
  <si>
    <t>Posting documentary batch deletes batch master fields</t>
  </si>
  <si>
    <t>Incorrect quantities for documentary batches after deletion</t>
  </si>
  <si>
    <t>Derivation fails because of empty sender fields</t>
  </si>
  <si>
    <t>DVCO: Attributes can be edited even though auth. is missing</t>
  </si>
  <si>
    <t>CORK: Too many sender batches are determined</t>
  </si>
  <si>
    <t>Derivation for subcontract order: too many senders</t>
  </si>
  <si>
    <t>MSC2N: Batch master data cannot be changed</t>
  </si>
  <si>
    <t>LO-BM-UOM</t>
  </si>
  <si>
    <t>Batch-Specific Units</t>
  </si>
  <si>
    <t>MMBE After changing UoM wrong data by reservation</t>
  </si>
  <si>
    <t>Bottom up: Delivery displayed instead of order</t>
  </si>
  <si>
    <t>Recursive batches displayed incorrectly</t>
  </si>
  <si>
    <t>CEWB: Classification is lost</t>
  </si>
  <si>
    <t>Error message when custom fields are added in display</t>
  </si>
  <si>
    <t>LO-GT-CHB</t>
  </si>
  <si>
    <t>Charge Back</t>
  </si>
  <si>
    <t>Missing texts in the chargeback</t>
  </si>
  <si>
    <t>LO-GT-TC</t>
  </si>
  <si>
    <t>Trading Contract</t>
  </si>
  <si>
    <t>No Edit Mode for Pricing and Payment Events</t>
  </si>
  <si>
    <t>Deleted entry in HU history</t>
  </si>
  <si>
    <t>HU03 : output data displayed in EDIT mode</t>
  </si>
  <si>
    <t>Special stock partner not set for HU</t>
  </si>
  <si>
    <t>Packing data not displayed correctly after goods receipt</t>
  </si>
  <si>
    <t>HUMO : filtering issue when choosing HU status</t>
  </si>
  <si>
    <t>Serial Numbers missing in material document</t>
  </si>
  <si>
    <t>Incomplete check for duplicated HU header segments in IDOC</t>
  </si>
  <si>
    <t>HUPAST incorrectly updating delivery item for packaging mat.</t>
  </si>
  <si>
    <t>Result set of SQL SELECT might be returned unsorted</t>
  </si>
  <si>
    <t>Missing calls for BADI BADI_LO_TM_SHP</t>
  </si>
  <si>
    <t>Wrong time zone assigned to delivery date in SAP TM</t>
  </si>
  <si>
    <t>Purchase Order gets no control key</t>
  </si>
  <si>
    <t>Wrong delivery time used in order scheduling</t>
  </si>
  <si>
    <t>Material data in availability control not correct</t>
  </si>
  <si>
    <t>TM scheduling: Short text missing in avail. control screen</t>
  </si>
  <si>
    <t>TM OrderIntegration: error when Dlv net amount zero</t>
  </si>
  <si>
    <t>LITRMS: No exposure with mode 'Send Complete Document View'</t>
  </si>
  <si>
    <t>Exposure Quantity wrong for POs in TA LITRMS</t>
  </si>
  <si>
    <t>Raw exposure created for adjustment condition type with 0%</t>
  </si>
  <si>
    <t>Overflow short dump when saving logistic document</t>
  </si>
  <si>
    <t>Mögliche Offenlegung von persistierten Daten in MAP</t>
  </si>
  <si>
    <t>CSKB: Multi-level copy - Incorrect status</t>
  </si>
  <si>
    <t>CSKB :ERROR 'GETWA_NOT_ASSIGNED' during material replacement</t>
  </si>
  <si>
    <t>CS20 No batch input data for screen SAPLCSDI 0825</t>
  </si>
  <si>
    <t>CS14: header information is not transferred to the file</t>
  </si>
  <si>
    <t>CS02: Update termination during BOM deletion (29 106)</t>
  </si>
  <si>
    <t>Cs15: Functional location is shown incorrectly</t>
  </si>
  <si>
    <t>Parallel editing of customer order &amp; fixing the same in CSKB</t>
  </si>
  <si>
    <t>Sales order &amp; the position doesn't appear in the msg 29 791.</t>
  </si>
  <si>
    <t>Subitem indicator is not cleared after deleting all subitems</t>
  </si>
  <si>
    <t>LO-MD-BOM : Directory traversal vulnerability</t>
  </si>
  <si>
    <t>Missing authorization check in LO-MD-BP</t>
  </si>
  <si>
    <t>Interface Note: SEPA mandates for customers (ERP)</t>
  </si>
  <si>
    <t>SEPA mandates data exchange with ERP: See note 1828238</t>
  </si>
  <si>
    <t>Flash API - Incorrect sales area authorisation check</t>
  </si>
  <si>
    <t>Runtime error while compiling MF02DI00 or MF02KFI0</t>
  </si>
  <si>
    <t>Result set of an SQL-Select Statement may not be sorted</t>
  </si>
  <si>
    <t>Refresh responsible persons for packages</t>
  </si>
  <si>
    <t>Updating only credit card data raises an error</t>
  </si>
  <si>
    <t>Error 'No unique jurisdiction code' raised - 2</t>
  </si>
  <si>
    <t>Customer/Vendor Communication data deleted</t>
  </si>
  <si>
    <t>All customer locked when no customer number is provided</t>
  </si>
  <si>
    <t>to enhance VMDS_EI_VMD_CENTRAL_DATA with numeric fields</t>
  </si>
  <si>
    <t>CREMAS: Error F2 141 'Country &amp; is not an EC member'</t>
  </si>
  <si>
    <t>CREMAS: Partner function not deleted</t>
  </si>
  <si>
    <t>RFBIDEG0: ABAP Runtime Error READ_REPORT_LINE_TOO_LONG</t>
  </si>
  <si>
    <t>Lack use access for package OPS_SE_BPS and OPS_SE</t>
  </si>
  <si>
    <t>SAP internal BAdI in Salesorder trans. for addit. screens</t>
  </si>
  <si>
    <t>Base material group cannot be found</t>
  </si>
  <si>
    <t>Displaying the variant matrix in the sales order</t>
  </si>
  <si>
    <t>BAPI_MATERIAL_SAVEDATA &amp; no plant-dependent field selection</t>
  </si>
  <si>
    <t>MMBE: Performance problems if too many batches exist</t>
  </si>
  <si>
    <t>Termination of changes with message MLCCS 368</t>
  </si>
  <si>
    <t>MM_SPSTOCK: Messages are logged in the program</t>
  </si>
  <si>
    <t>New enhancement sections in MARA_CHANGE_CHECK</t>
  </si>
  <si>
    <t>RMDATIND: Incorrect error gravity in log</t>
  </si>
  <si>
    <t>Batch-specific conversion not only for batches</t>
  </si>
  <si>
    <t>Jump from MMBE displays too many results</t>
  </si>
  <si>
    <t>BAPI: MBEW-VMSAV or MBEWH-SALKV not changed</t>
  </si>
  <si>
    <t>Incorrect transaction code in message WN 234</t>
  </si>
  <si>
    <t>Information dialog box in report RWWKLASS</t>
  </si>
  <si>
    <t>WB30: Incorrect orientation of columns</t>
  </si>
  <si>
    <t>WSM4L: Incorrect change documents are evaluated</t>
  </si>
  <si>
    <t>Missing MABW entries</t>
  </si>
  <si>
    <t>WLK1_CHECK terminates strongly with an error message</t>
  </si>
  <si>
    <t>Code-Injection-Schwachstelle in LO-MD-RA / IS-R-BD-LST</t>
  </si>
  <si>
    <t>WSOA1, WSOA2, WSOA3:Program termination for transaction call</t>
  </si>
  <si>
    <t>Sales price calculation: KZINI in condition access</t>
  </si>
  <si>
    <t>VKP calc.: Restricted mass changes (PVGRD, KZPBL)</t>
  </si>
  <si>
    <t>Global Trade Contract: Error WV068 for creation w/ reference</t>
  </si>
  <si>
    <t>Message V0104 when displaying call object from IP16</t>
  </si>
  <si>
    <t>SERNR deleted fr.purchasing document,unsuitable batch update</t>
  </si>
  <si>
    <t>IW52: Notification cannot be changed due to error IUID 034</t>
  </si>
  <si>
    <t>IUID: eSOA registration - ActionCode not transferred</t>
  </si>
  <si>
    <t>UII field is empty although equipment has UII</t>
  </si>
  <si>
    <t>IUID: Process information not transferred to BAdI</t>
  </si>
  <si>
    <t>Dump in WA11 - RWSNASTV, due to large no of object keys</t>
  </si>
  <si>
    <t>Strategy not called in dialog when quantity is changed</t>
  </si>
  <si>
    <t>WF10 Locks STO of irrelevant articles</t>
  </si>
  <si>
    <t>WF10: Effect of daylight time switch on STO selection.</t>
  </si>
  <si>
    <t>Goods receipt for inb. del. with full prod. and tied empties</t>
  </si>
  <si>
    <t>No deliveries created in WF60 for flow through method</t>
  </si>
  <si>
    <t>SLS under-delivery: GR distribution from outbound delivery</t>
  </si>
  <si>
    <t>Procurement status not set Complete</t>
  </si>
  <si>
    <t>Product Data Management</t>
  </si>
  <si>
    <t>CC04: Error -&gt; no status defined for class type EFF</t>
  </si>
  <si>
    <t>APO data transfer resets ATP status</t>
  </si>
  <si>
    <t>F5201, F5286, M7021, KI806 in EWM inbound queue (SMQ2)</t>
  </si>
  <si>
    <t>Problem with delivery replication in EWM</t>
  </si>
  <si>
    <t>SPED does not update foreign trade data from STO in delivery</t>
  </si>
  <si>
    <t>Inbound delivery replication to EWM does not sent EXIDV</t>
  </si>
  <si>
    <t>M7328 after reverse quantity from EWM (GR-based IV)</t>
  </si>
  <si>
    <t>Country of origin is not transferred to EWM</t>
  </si>
  <si>
    <t>ROD/AFS transfer posting from EWM is not posted in ERP</t>
  </si>
  <si>
    <t>PO item can be deleted after GR in EWM, M7036 for difference</t>
  </si>
  <si>
    <t>Rounding problems for confirmation from EWM II</t>
  </si>
  <si>
    <t>VL41 for inbound delivery does not work with batch split</t>
  </si>
  <si>
    <t>VL60: PO determination does not find purchasing documents</t>
  </si>
  <si>
    <t>Transactions VL06I* displays delivery with deletion flag</t>
  </si>
  <si>
    <t>BORGR572 when changing a delivery item in VL60/BORGR</t>
  </si>
  <si>
    <t>EWM: generation of delivery item for packaging material</t>
  </si>
  <si>
    <t>Wrong Sales Order Item Number transferred to CRM</t>
  </si>
  <si>
    <t>Over delivery after quantity change in CRM</t>
  </si>
  <si>
    <t>VL10UC: Error Message if Delivery has already been converted</t>
  </si>
  <si>
    <t>Failure of batch split items update in ERP</t>
  </si>
  <si>
    <t>Creation of delivery from CRM : Wrong Material description</t>
  </si>
  <si>
    <t>HU deleted after post goods receipt for a customer return</t>
  </si>
  <si>
    <t>Incoterms not copied from outbound to inbound delivery</t>
  </si>
  <si>
    <t>Supplier Cross-Docking: CD Document Flow missing</t>
  </si>
  <si>
    <t>Delivery split occurs during CDOD processing</t>
  </si>
  <si>
    <t>LO-SRS</t>
  </si>
  <si>
    <t>SAP Retail Store</t>
  </si>
  <si>
    <t>LO-SRS-IM</t>
  </si>
  <si>
    <t>Structured article component stock incorrect, Inventory look</t>
  </si>
  <si>
    <t>Incorr. value descriptions w/call of VC_I_GET_CONFIGURATION</t>
  </si>
  <si>
    <t>Object characteristics with predefined values</t>
  </si>
  <si>
    <t>CU50 Runtime DUMP ASSERTION_FAILED</t>
  </si>
  <si>
    <t>Sorting characteristic values</t>
  </si>
  <si>
    <t>BAPI/IDoc: CU111 for language-independent settings for value</t>
  </si>
  <si>
    <t>LO-VC-CLN</t>
  </si>
  <si>
    <t>Class Nodes</t>
  </si>
  <si>
    <t>Incorrect inconsistency in case of no specilatisation</t>
  </si>
  <si>
    <t>Unnecessary update of order BOM</t>
  </si>
  <si>
    <t>CU51: Creation of new object management records</t>
  </si>
  <si>
    <t>Cannot delete long text of dependency</t>
  </si>
  <si>
    <t>Manually changed quantity of specified class node</t>
  </si>
  <si>
    <t>Manually deleted class positions</t>
  </si>
  <si>
    <t>Incorrect items in SD document</t>
  </si>
  <si>
    <t>Manual specification is lost</t>
  </si>
  <si>
    <t>Select Options in the Extraction report</t>
  </si>
  <si>
    <t>MDM_CLNT_EXTR: Credit Control Data for Customers</t>
  </si>
  <si>
    <t>MB transactions: Restricted maintenance/discontinuation</t>
  </si>
  <si>
    <t>MIGO: Date "Last GR" during stock transport (Cross-company)</t>
  </si>
  <si>
    <t>QA11: Stock inconsistency after status change in stock</t>
  </si>
  <si>
    <t>Plant deleted in account assignment block (COBL-WERKS)</t>
  </si>
  <si>
    <t>Function area is not rederivated</t>
  </si>
  <si>
    <t>MM-IM-GF-CUST</t>
  </si>
  <si>
    <t>IM Customizing</t>
  </si>
  <si>
    <t>OMJJ: error CZ287 prevents deletion of invalid entries</t>
  </si>
  <si>
    <t>SAPL0MB8: Text symbol 005 not defined</t>
  </si>
  <si>
    <t>OX18: T001K deleted if valuation level = company code</t>
  </si>
  <si>
    <t>Optimizing error prevention mechanism from SAP Note 1776835</t>
  </si>
  <si>
    <t>Correction w/ report MBMSSACOS no longer possible as of EHP5</t>
  </si>
  <si>
    <t>VL02N: Error M7 300 during goods issue not justified</t>
  </si>
  <si>
    <t>MAA : Error M7 189 in transaction MB02</t>
  </si>
  <si>
    <t>Performance improvement for note 1779429</t>
  </si>
  <si>
    <t>MB52: Increased runtime when using ERP accelerator</t>
  </si>
  <si>
    <t>ERP accelerator for transaction MB52 (2)</t>
  </si>
  <si>
    <t>MB5B: Incorrect results for special stock type W</t>
  </si>
  <si>
    <t>RM07MMFI: Connection to SchedMan (Schedule Manager - FCC)</t>
  </si>
  <si>
    <t>MB5K: Result quantity to large if material ledger is active</t>
  </si>
  <si>
    <t>MIGO: Field XBLNR_MKPF not filled in MM document item</t>
  </si>
  <si>
    <t>Item selection on MIGO with ref. to Inbound delivery</t>
  </si>
  <si>
    <t>IO 231 for 109 WE with SOBKZ E/Q in quality or blocked stock</t>
  </si>
  <si>
    <t>M7001:Check table XEKPO: Entry does not exist</t>
  </si>
  <si>
    <t>OMA: Subsequent adjustment updates PO history incorrectly</t>
  </si>
  <si>
    <t>MIGO: OM timely consumption and third party PO</t>
  </si>
  <si>
    <t>Incons. physical inventory count date counting via BAPI/IDoc</t>
  </si>
  <si>
    <t>MI04: Physical inventory doc can be counted w/o barcode</t>
  </si>
  <si>
    <t>MI03: Error message M7400 when displaying a PI document</t>
  </si>
  <si>
    <t>Error M7 152 when canceling an ARM cross-company transfer</t>
  </si>
  <si>
    <t>Delivery costs in local currency (MSEG-BNBTR)</t>
  </si>
  <si>
    <t>M7001: LOG_MM_SIT, batches and late lock 2</t>
  </si>
  <si>
    <t>SiT: M7 242 when creating purchase order or sales order</t>
  </si>
  <si>
    <t>SIT / VL02N: Error M7001 missing entry in XMSTB</t>
  </si>
  <si>
    <t>SiT and batch management requirement only in receiving plant</t>
  </si>
  <si>
    <t>SiT: Valuation type 1. item transferred to other item</t>
  </si>
  <si>
    <t>SIT: Project stock history is not updated</t>
  </si>
  <si>
    <t>MRY3: Display across several fiscal years incorrect</t>
  </si>
  <si>
    <t>MRL1: Values of the variant were ignored</t>
  </si>
  <si>
    <t>MM-IS</t>
  </si>
  <si>
    <t>MM-IS-IC</t>
  </si>
  <si>
    <t>Inventory Control.</t>
  </si>
  <si>
    <t>MCBR: Incorrect values after price change -2-</t>
  </si>
  <si>
    <t>MCBR: Incorrect values after implementing SAP Note 1853783</t>
  </si>
  <si>
    <t>MR11SHOW displays duplicate items.</t>
  </si>
  <si>
    <t>Archived GR/IR clearing document displays duplicate items.</t>
  </si>
  <si>
    <t>MR11: Error message C+515 for planned delivery costs</t>
  </si>
  <si>
    <t>EDI/BAPI: Unplanned delivery costs: Jurisdiction code</t>
  </si>
  <si>
    <t>MIRO: Tax corrections</t>
  </si>
  <si>
    <t>MIRO: Balance error F5 702 for small difference</t>
  </si>
  <si>
    <t>BAdI: Error message M8_2304 for BAdI MRM_RETENTIONS</t>
  </si>
  <si>
    <t>BAPI: Error message M8 792 for BAPI_INCOMINGINVOICE_SAVE</t>
  </si>
  <si>
    <t>MR8M: Exchange rate difference posted to incorrect account</t>
  </si>
  <si>
    <t>MIRO/MIRA: Different conversion date in FI document</t>
  </si>
  <si>
    <t>MIRO: ABAP runtime error GETWA_NOT_ASSIGNED</t>
  </si>
  <si>
    <t>MRRL/MRDC: No purchase order lock entries in test run</t>
  </si>
  <si>
    <t>MIR4: Program termination GETWA_NOT_ASSIGNED</t>
  </si>
  <si>
    <t>MIR4: Security retention percentage incorrect</t>
  </si>
  <si>
    <t>MIR7: Program termination SAPSQL_ARRAY_INSERT_DUPREC</t>
  </si>
  <si>
    <t>Wrong call of BAPI_PO_CREATE1 during PR conversion</t>
  </si>
  <si>
    <t>MAA: ME578 - net order value variances</t>
  </si>
  <si>
    <t>ME22N: error message handling in PO with account assignment</t>
  </si>
  <si>
    <t>MM-PUR-GF-ADR</t>
  </si>
  <si>
    <t>Addresses</t>
  </si>
  <si>
    <t>Display or change PO: Error AM010 "address does not exist"</t>
  </si>
  <si>
    <t>Project System specific selection criteria in RM06EV70</t>
  </si>
  <si>
    <t>MM_EBAN/MM_EKKO: Manual address information not archived</t>
  </si>
  <si>
    <t>RM06EV70: Main item not set to archiveable when statistical</t>
  </si>
  <si>
    <t>MM_EKKO: Shipping Data (EKPV) not archived for return PO</t>
  </si>
  <si>
    <t>MM-PUR-GF-ARL</t>
  </si>
  <si>
    <t>Archive link</t>
  </si>
  <si>
    <t>GOS enabling in Purchasing transaction ME22N and ME23N</t>
  </si>
  <si>
    <t>MECCM: Contracts for different company codes not uploaded</t>
  </si>
  <si>
    <t>Supplier description not send to MDM catalog</t>
  </si>
  <si>
    <t>MM-PUR-GF-CE</t>
  </si>
  <si>
    <t>Customer Enhancement</t>
  </si>
  <si>
    <t>Business Add-In ME_BSART_DET is not called in ME59N</t>
  </si>
  <si>
    <t>Instance for BAdI ME_PROCESS_PO_CUST lost in CLOSE method</t>
  </si>
  <si>
    <t>ML85: Commitment is not updated correctly</t>
  </si>
  <si>
    <t>MIR7 Delete parked invoice. Wrong update in funds management</t>
  </si>
  <si>
    <t>ME22: No new distribution after changes to delivery schedule</t>
  </si>
  <si>
    <t>Inbound delivery creation failed to update MRP reduced qty</t>
  </si>
  <si>
    <t>Wrong delivery updated when posting return delivery (VL02N)</t>
  </si>
  <si>
    <t>ME22N: confirmation changes not update on database (EKES)</t>
  </si>
  <si>
    <t>Qty. not reduced in case of delivery qty. adj. and GR post.</t>
  </si>
  <si>
    <t>Errors when processing confirmation documents in OLTP</t>
  </si>
  <si>
    <t>Program termination during price determination for GR w/ CPE</t>
  </si>
  <si>
    <t>MM-PUR-GF-DVS</t>
  </si>
  <si>
    <t>Documents and (DMS)</t>
  </si>
  <si>
    <t>DVS: LONGTEXT_ID might be duplicated</t>
  </si>
  <si>
    <t>PORDCR Idoc has status 51 although PO was created</t>
  </si>
  <si>
    <t>MM-PUR-GF-EKBE</t>
  </si>
  <si>
    <t>PurchaseOrderHistory</t>
  </si>
  <si>
    <t>ME23N PO History: retentions not shown if multiple invoices</t>
  </si>
  <si>
    <t>PO History: WPOHF4D does not show delivery costs</t>
  </si>
  <si>
    <t>CCM: Conditions lost after change in central contract</t>
  </si>
  <si>
    <t>6Q 202 when ordering a Shopping Cart (EPROFILE)</t>
  </si>
  <si>
    <t>Duplicate contracts are created for one SRM contract</t>
  </si>
  <si>
    <t>PurchaseOrderERPRequest_Out with incorrect action code</t>
  </si>
  <si>
    <t>Wrong creator name in ERP PO when created from SRM SC</t>
  </si>
  <si>
    <t>CCM: header conditions cannot be deleted</t>
  </si>
  <si>
    <t>CCM: SAPSQL_ARRAY_INSERT_DUPREC in program SAPLEINU</t>
  </si>
  <si>
    <t>SRM pricing error due to unconverted order price unit</t>
  </si>
  <si>
    <t>SNC inbound error due to missing PurchaseRequest number</t>
  </si>
  <si>
    <t>MIRO: wrong distribution for partial invoice scenario</t>
  </si>
  <si>
    <t>MAA2: MIRO C+507 for invoices with purchase order reference</t>
  </si>
  <si>
    <t>ME22N: configuration data disappear</t>
  </si>
  <si>
    <t>MASS: STAPO not re-set when undeleting an item</t>
  </si>
  <si>
    <t>ME21N: System issues messages for parked purchase orders</t>
  </si>
  <si>
    <t>Communication type carried over from last processed document</t>
  </si>
  <si>
    <t>Incorrect partner determination</t>
  </si>
  <si>
    <t>ME84: Select on EKET takes very long</t>
  </si>
  <si>
    <t>MIGO: BADI SD_KONV_SELECT not called when reading conditions</t>
  </si>
  <si>
    <t>FICUSTOM 201 during PO line price change</t>
  </si>
  <si>
    <t>BAPI item price not transferred for intercompany STO</t>
  </si>
  <si>
    <t>Documents with valuated blocked stock not selected in ME2L</t>
  </si>
  <si>
    <t>ME3M:Display doc. shows itm overv. screen instead of details</t>
  </si>
  <si>
    <t>ME1M transaction does default category from parameter ESO</t>
  </si>
  <si>
    <t>ME2K: Two spool requests created when ALV is used</t>
  </si>
  <si>
    <t>Update: CD 328 MDSB when you save a subcontract order</t>
  </si>
  <si>
    <t>VERID in the BOM explosion not determined wiht source supply</t>
  </si>
  <si>
    <t>ME22N: Manual changes in Import tab NOT retained for STO</t>
  </si>
  <si>
    <t>Incorrect data fetch on database table EKPV</t>
  </si>
  <si>
    <t>MB5T: ITAB_DUPLICATE_KEY in function group ME06</t>
  </si>
  <si>
    <t>ME21N/MEPO: No check for jurisdiction code</t>
  </si>
  <si>
    <t>MM-PUR-GF-VE</t>
  </si>
  <si>
    <t>Vendor Evaluation</t>
  </si>
  <si>
    <t>ME6B Error 0K538 Invalid value of field catalog parameter</t>
  </si>
  <si>
    <t>BBP_ES_ERP_INT 009 for SAP Sourcing CLM integration only</t>
  </si>
  <si>
    <t>MM-PUR-INT-SNC</t>
  </si>
  <si>
    <t>Integration SNC</t>
  </si>
  <si>
    <t>61 781 when updating Subcontracting components via BAPI</t>
  </si>
  <si>
    <t>MM-PUR-INT-TM</t>
  </si>
  <si>
    <t>Integration TM</t>
  </si>
  <si>
    <t>PO send to SAP TM although TM control key is not relevant</t>
  </si>
  <si>
    <t>Commitment Plan for MM-PUR Agreements: New field "Due Date"</t>
  </si>
  <si>
    <t>Material Group item created with price and price unit</t>
  </si>
  <si>
    <t>BAPI: BAPI_SCHEDULE_MAINTAIN resets release strategy</t>
  </si>
  <si>
    <t>ME 083 'Enter Short Text' for a Product Cat. item change</t>
  </si>
  <si>
    <t>Data not updated for sequential BAPI call</t>
  </si>
  <si>
    <t>CX_SY_DYN_CALL_PARAM_UNKNOWN in LMEOUTP02</t>
  </si>
  <si>
    <t>ME32K condition price can be saved as zero although required</t>
  </si>
  <si>
    <t>ME38:Incorrect schedule line handling for &gt; 9999 lines</t>
  </si>
  <si>
    <t>Schedule lines are aggregated without rel. creation profile</t>
  </si>
  <si>
    <t>Sched. agreement release: Cancelled sched. lines not printed</t>
  </si>
  <si>
    <t>Screen 101 of program SAPMM06E contains tool tip error</t>
  </si>
  <si>
    <t>Exedding of the the target value not set in position</t>
  </si>
  <si>
    <t>ME21N: Wrong error message for invalid valuation type</t>
  </si>
  <si>
    <t>ME22N: Vendor validation check is incorrect</t>
  </si>
  <si>
    <t>ME21N: Info update checkbox can be not set</t>
  </si>
  <si>
    <t>BAdI does not receive item category information from PO</t>
  </si>
  <si>
    <t>BAPI: Header conditions for BOM Material not changed</t>
  </si>
  <si>
    <t>RAISE_EXCEPTION in CL_HANDLE_MANAGER_MM</t>
  </si>
  <si>
    <t>BAPI_PO_GETITEMS: Order acknowledgement number missing</t>
  </si>
  <si>
    <t>BAdI ME_BAPI_PO_CUST: INBOUND changing CH_NO_MESSAGING</t>
  </si>
  <si>
    <t>Error message is not collected and captured in RETURN param.</t>
  </si>
  <si>
    <t>Commitment for limit item not create when acct. chg. via SRM</t>
  </si>
  <si>
    <t>Quantity conversion is not performed in PO BAPI</t>
  </si>
  <si>
    <t>ME23N: Display of service PO not possible</t>
  </si>
  <si>
    <t>ME21N: Missing Partner Role PI</t>
  </si>
  <si>
    <t>Support of the Islamic calendar format in MM-PUR</t>
  </si>
  <si>
    <t>MMPUR_TEMPLATE: Header data will be always copied</t>
  </si>
  <si>
    <t>Extended Core fields not available in MEREQS interface</t>
  </si>
  <si>
    <t>Multiple acc. lines for subcontracting item not allowed</t>
  </si>
  <si>
    <t>Authorization check fails in ME53</t>
  </si>
  <si>
    <t>ME41: rejected PR from SRM SoCo can not be processed</t>
  </si>
  <si>
    <t>BAPI_PR_CREATE: price unit taken from material master</t>
  </si>
  <si>
    <t>New BOM explosion is assigned to Bus. Func. LOG_MMFI_P2P</t>
  </si>
  <si>
    <t>Infinite loop when creating a Purchase Requisition (ME51N)</t>
  </si>
  <si>
    <t>ME41: Vendor material number</t>
  </si>
  <si>
    <t>Reference site not considered for source determination</t>
  </si>
  <si>
    <t>G/L Account Determination for Shopping Carts is not active</t>
  </si>
  <si>
    <t>The application dumps on launch of the Shopping Cart</t>
  </si>
  <si>
    <t>Issue with the translation of the maintenance views</t>
  </si>
  <si>
    <t>Incorrect message is being displayed on approval of SC item.</t>
  </si>
  <si>
    <t>EHP6-SP06: Error messages retained even after resolving it</t>
  </si>
  <si>
    <t>Items not getting transferred from catalog to the SC tray.</t>
  </si>
  <si>
    <t>Short dump on deleting an item from PO without schedule line</t>
  </si>
  <si>
    <t>Incorrect behavior of 'Cancel' button in Item Data Popup</t>
  </si>
  <si>
    <t>MM-PUR-SSP-FOD</t>
  </si>
  <si>
    <t>Follow-on Documents</t>
  </si>
  <si>
    <t>Item number displayed against goods receipt is incorrect</t>
  </si>
  <si>
    <t>MM-PUR-SSP-UI</t>
  </si>
  <si>
    <t>UI configurations</t>
  </si>
  <si>
    <t>Incorrect Item Sequence in Employee POWL</t>
  </si>
  <si>
    <t>Employee POWL: message when last item of SC is deleted</t>
  </si>
  <si>
    <t>MEK1: condition record for chargeable components</t>
  </si>
  <si>
    <t>Incorrect price detemined without material master data</t>
  </si>
  <si>
    <t>Cancel overlapping validities updates PRDAT incorrectly</t>
  </si>
  <si>
    <t>Purchasing Organization Data missing in BAdI ME_INFOREC_SEND</t>
  </si>
  <si>
    <t>Incorrect commitments for material items due to note 1491430</t>
  </si>
  <si>
    <t>MAA2: ML81N/MIRO: false postings for Service PO</t>
  </si>
  <si>
    <t>ML81N/MIGO/MIRO: value of local currencies differ</t>
  </si>
  <si>
    <t>MAA: BADI for MAA considers Other PO ESLL records</t>
  </si>
  <si>
    <t>CJ20N: incorrect error to enter Cost Element</t>
  </si>
  <si>
    <t>BAPI_PO_CREATE1: Unit of Measure is filled for outline</t>
  </si>
  <si>
    <t>PO could not be deleted after Entry Sheets were deleted</t>
  </si>
  <si>
    <t>SE 347: Total value entered exceeds target value in contract</t>
  </si>
  <si>
    <t>CCM: service texts not transferred for central contracts</t>
  </si>
  <si>
    <t>CCM: VK 022 - Enter a unit of measure</t>
  </si>
  <si>
    <t>MAA2: MIRO/ML81N incorrect values in 2nd/3rd local currency</t>
  </si>
  <si>
    <t>Wrong funded program used in commitment updating</t>
  </si>
  <si>
    <t>MAA : ML85 - Wrong accounting in GR and FI/CO</t>
  </si>
  <si>
    <t>Wrong update of documents when using approval workflow in FM</t>
  </si>
  <si>
    <t>PLM-CFO</t>
  </si>
  <si>
    <t>cFolders</t>
  </si>
  <si>
    <t>BOM export is not possible for different usage</t>
  </si>
  <si>
    <t>PLM-WUI-OBJ</t>
  </si>
  <si>
    <t>Objects in PLM Web UI</t>
  </si>
  <si>
    <t>PLM-WUI-OBJ-BOM</t>
  </si>
  <si>
    <t>Material BOM</t>
  </si>
  <si>
    <t>WebUI MaterialStl: Redlining - Unterpositionen</t>
  </si>
  <si>
    <t>Message RU187 when calling S_ALR_87013430</t>
  </si>
  <si>
    <t>Enhancing tech. object lists (characteristics) - Corrections</t>
  </si>
  <si>
    <t>Erweiterung der Dokumentenschlüsselanzeige in EAMVE</t>
  </si>
  <si>
    <t>EAMVE: Repeated opening of VE Viewer triggers DUMP</t>
  </si>
  <si>
    <t>EAMVE: Dokumentenversion ohne Objektbezug wird angezeigt</t>
  </si>
  <si>
    <t>EAMVE: Materialikone für gefundenes Material fehlt</t>
  </si>
  <si>
    <t>CV0xN: Error regarding obj. links to maint. order operations</t>
  </si>
  <si>
    <t>Enhancing the technical object lists - application note</t>
  </si>
  <si>
    <t>Variant for transaction IQ04 doesn't return correctly back</t>
  </si>
  <si>
    <t>Serial number list doesn't handle authorization correctly</t>
  </si>
  <si>
    <t>Message DB645 exits transaction QM01 / QM02</t>
  </si>
  <si>
    <t>No change documents when changing material via 309 movement</t>
  </si>
  <si>
    <t>Equipment vehicle data displays wrong next maintenance date</t>
  </si>
  <si>
    <t>Equipment flag is not set when creating from reference</t>
  </si>
  <si>
    <t>Linear data fields not available in measuring point creation</t>
  </si>
  <si>
    <t>Deletion flag for FL is not taken into account for IBIP</t>
  </si>
  <si>
    <t>Not able to dismantle equipment from functional location</t>
  </si>
  <si>
    <t>IK01: Characteristic not released for measuring point</t>
  </si>
  <si>
    <t>IK17 returns wrong results when using 'Date To' field</t>
  </si>
  <si>
    <t>Deleted value of upper/lower counter limit shown as zero</t>
  </si>
  <si>
    <t>Missing authorization check in PM-EQM-SF-MPC</t>
  </si>
  <si>
    <t>SELECTSORT in Package PLM_SE_EAM_XI_PROXY</t>
  </si>
  <si>
    <t>Performance Anzeige SP Icons im PM Auftrag Operation View</t>
  </si>
  <si>
    <t>SAP_APPL Performance Dokumente-Button</t>
  </si>
  <si>
    <t>Klasse CL_EAMVE_API, Vereinheitlichung des Codings i.d. EHPs</t>
  </si>
  <si>
    <t>CALL_CONFIRM flag 'x' causes further problems in scheduling</t>
  </si>
  <si>
    <t>IP19 : wrong result when maintenance plan is locked</t>
  </si>
  <si>
    <t>IP10/IP30:WBS is not copied although sales data is available</t>
  </si>
  <si>
    <t>EAMCC: Enhancing the call horizon- check for call completion</t>
  </si>
  <si>
    <t>Missing icon when starting maintenance plan in cycle</t>
  </si>
  <si>
    <t>IP19 executed in background doesn't finish</t>
  </si>
  <si>
    <t>IA09:Functional location XXX does not exist</t>
  </si>
  <si>
    <t>Visual Enterprise Viewer: Buttons displayed in task list</t>
  </si>
  <si>
    <t>CL_EAM_TASKLIST :'External number assignment not possible'</t>
  </si>
  <si>
    <t>Transaction IA25: Document assignments will not be deleted</t>
  </si>
  <si>
    <t>CV0xN: Error regarding object links to task list operations</t>
  </si>
  <si>
    <t>Spare parts selection: Quantity is not transferred</t>
  </si>
  <si>
    <t>IA09,PM List transactions have incorrect icon for excel save</t>
  </si>
  <si>
    <t>SAP_APPL REPORT Performance Dokumente-Button</t>
  </si>
  <si>
    <t>Preparation for the implementation of SAP Note 1810647</t>
  </si>
  <si>
    <t>PM-WOC-CP</t>
  </si>
  <si>
    <t>Cap./res. planning</t>
  </si>
  <si>
    <t>Follow-up note for note 1343423</t>
  </si>
  <si>
    <t>Exit CONFPM01 replaces manual entries with default values</t>
  </si>
  <si>
    <t>Error pool: Ext. date/time of entry &amp; ext. creator of conf.</t>
  </si>
  <si>
    <t>PM-WOC-JC-CNF</t>
  </si>
  <si>
    <t>Order confirmation</t>
  </si>
  <si>
    <t>IW42: Task completion date and time is getting refreshed</t>
  </si>
  <si>
    <t>IW38: Print list of orders having unnecessary information</t>
  </si>
  <si>
    <t>Costs disappear when displaying cost columns</t>
  </si>
  <si>
    <t>Message SLIN_SEC defines no title (1118)</t>
  </si>
  <si>
    <t>MAM2.5: Incorrect fields in structure MAM_25_TOB_HEADER</t>
  </si>
  <si>
    <t>MAM: The result set of an SQL-Select Statement is not sorted</t>
  </si>
  <si>
    <t>IW21/51: Partner name details is not displayed correctly</t>
  </si>
  <si>
    <t>EAM Meldung : Überlappung der Benutzerdatenfelder</t>
  </si>
  <si>
    <t>IW31: Error message IW 446 when creating an order</t>
  </si>
  <si>
    <t>Error when deleting document assignments in mainten. order</t>
  </si>
  <si>
    <t>IW31/32: ITAB_ERROR dump when creating external operations</t>
  </si>
  <si>
    <t>LAM:incorrect order operations when LAM customer fields used</t>
  </si>
  <si>
    <t>Document history - Closing window when choosing "Back"</t>
  </si>
  <si>
    <t>Error IW112 is raised incorrectly in BAPI_ALM_ORDER_MAINTAIN</t>
  </si>
  <si>
    <t>IW33: Sets status NMVP and NTER</t>
  </si>
  <si>
    <t>Error ME083 when changing internally processed service</t>
  </si>
  <si>
    <t>IW36: Priority validation does not occur in initial screen</t>
  </si>
  <si>
    <t>Incorrect check when sub order is attached to superior order</t>
  </si>
  <si>
    <t>EAM order - Incorrect description of technical objects</t>
  </si>
  <si>
    <t>Calculation key not determined if work center is changed</t>
  </si>
  <si>
    <t>Document with deletion indicator can be assigned (SAP GUI)</t>
  </si>
  <si>
    <t>IW32: Actual work calculated incorrectly</t>
  </si>
  <si>
    <t>Changing services in order changes routing</t>
  </si>
  <si>
    <t>IW32: Changes in order are not updated</t>
  </si>
  <si>
    <t>Bestellungsnummer in Komponenten-/Vorgangsübersicht falsch</t>
  </si>
  <si>
    <t>BAPI: Pop-up in BAPI when deleting notification</t>
  </si>
  <si>
    <t>Estimated costs are inconsistent in OLC order</t>
  </si>
  <si>
    <t>PM_ORDER : No application-specific Customizing possible</t>
  </si>
  <si>
    <t>Pricing data from service not copied to the purchase order</t>
  </si>
  <si>
    <t>Create settlement rule: Error ERP_CO_OLC_E084, 00191</t>
  </si>
  <si>
    <t>IW52/VA02: Fehlermeldung 'V1302' und Dump 'MESSAGE_TYPE_X'</t>
  </si>
  <si>
    <t>OAA order: Estimated costs vanished after "Release"</t>
  </si>
  <si>
    <t>OAA order: Estimated costs not updated after "Release"</t>
  </si>
  <si>
    <t>Optional use of the BAdI 'BADI_OLC_SETTL_RULE_DET_OPR'</t>
  </si>
  <si>
    <t>OAA order: Status RWML is not allowed</t>
  </si>
  <si>
    <t>PM-WOC-MO-PUR</t>
  </si>
  <si>
    <t>Dump "COMPUTE_FLOAT_ZERODIVIDE" when changing control key</t>
  </si>
  <si>
    <t>CA01: branch/return Operation search help title is incorrect</t>
  </si>
  <si>
    <t>CA01: Scheduling doesn't work when sales routing is copied</t>
  </si>
  <si>
    <t>TR CA02 : Component allocations get deleted incorrectly</t>
  </si>
  <si>
    <t>CA70 : Label of the group box is always in English.</t>
  </si>
  <si>
    <t>CA02 : Incorrect component when reassigning the comp. alloc.</t>
  </si>
  <si>
    <t>CA01 / 02 /03 Selct all button in table control doesn't work</t>
  </si>
  <si>
    <t>CA70: navigation to Material master blocks the session</t>
  </si>
  <si>
    <t>Privilege Escalation in PP-BD-RTG</t>
  </si>
  <si>
    <t>Runtime error occurs in transaction CO11N</t>
  </si>
  <si>
    <t>IW32: Split duration set to zero with MRS integration.</t>
  </si>
  <si>
    <t>PP-CRP-ALY</t>
  </si>
  <si>
    <t>Capacity Evaluations</t>
  </si>
  <si>
    <t>Size of the Excel export (SYLK format).</t>
  </si>
  <si>
    <t>CM25 : Wrong phase dates after dispatching.</t>
  </si>
  <si>
    <t>BAPI_KANBAN_CHANGESTATUS1: Incorrect Error message displayed</t>
  </si>
  <si>
    <t>Scheduling acc. to kanban planning calendar has no effect</t>
  </si>
  <si>
    <t>Material filter 194_2: Filtering according to classes incorr</t>
  </si>
  <si>
    <t>Ausbuchen von Komponenten aus Sonderbestand nicht möglich</t>
  </si>
  <si>
    <t>Independent goods issue posting for components</t>
  </si>
  <si>
    <t>Enable multiple confirmations of an operation</t>
  </si>
  <si>
    <t>Fehlerhafte Serialnummernprüfung nach Auftragssplit</t>
  </si>
  <si>
    <t>Error during distribution INVCON02 despite generated IDoc</t>
  </si>
  <si>
    <t>Performance problems when distributing production orders</t>
  </si>
  <si>
    <t>Performance: Updating low-level codes in MDVM/DBVM</t>
  </si>
  <si>
    <t>Error MD06 012 raised on executing report RMMDDIBE</t>
  </si>
  <si>
    <t>Locally buffering of purchasing source list does not work</t>
  </si>
  <si>
    <t>BAPI_PLANNEDORDER_CREATE: Performance with matrl description</t>
  </si>
  <si>
    <t>Truncated line item displayed when ShpgNt called from MD04</t>
  </si>
  <si>
    <t>RMMD06NEW: MRP list data lost when using back button</t>
  </si>
  <si>
    <t>Exception 69: Recursion is possible in order report (MD4C)</t>
  </si>
  <si>
    <t>MD06: MRP area text not updated in case of rerun</t>
  </si>
  <si>
    <t>MD07:Error in Traffic lights when reference plant maintained</t>
  </si>
  <si>
    <t>MD4C: Runtime error DYNPRO_FIELD_CONVERSION</t>
  </si>
  <si>
    <t>MD06 with mrp-area: selection based on special procurement</t>
  </si>
  <si>
    <t>MD04/MD05: Incorrect planned and fixed issue quantity</t>
  </si>
  <si>
    <t>Disp. filter for MRP element "free-of-charge del." incorrect</t>
  </si>
  <si>
    <t>Fields do not branch to customizing on MD04 header details</t>
  </si>
  <si>
    <t>RMDMULTILEVELDELAY in background terminates with error</t>
  </si>
  <si>
    <t>MD04: Dump after switching off aggregation for product group</t>
  </si>
  <si>
    <t>MDVP: Intra materials participate in the availability check</t>
  </si>
  <si>
    <t>MDVP: ATP customizing is not read from the planning plant</t>
  </si>
  <si>
    <t>MRP: Production scheduler from production plant II</t>
  </si>
  <si>
    <t>Incorrect BOM explosion with BOM explosion number</t>
  </si>
  <si>
    <t>C251: Japanese word(s) appear incomplete</t>
  </si>
  <si>
    <t>Deletion of Production Version(s) relevant to costing</t>
  </si>
  <si>
    <t>Missing authorization check in Process Management.</t>
  </si>
  <si>
    <t>Dump DYNPRO_NOT_FOUND in module COPF_CALL_TRANSACTION</t>
  </si>
  <si>
    <t>Master data explosion: Incorrect date</t>
  </si>
  <si>
    <t>Collective conversion planned order: Log</t>
  </si>
  <si>
    <t>Incorrect quantity after you change the unit of measure</t>
  </si>
  <si>
    <t>OIL_OPM_UPST switch has no filter value assocatied</t>
  </si>
  <si>
    <t>OPM_TLT. SPRO. Separator. Very short name of column</t>
  </si>
  <si>
    <t>Domain text is not correct</t>
  </si>
  <si>
    <t>Component Allocation does not consider network header rule</t>
  </si>
  <si>
    <t>Repetitive Manufacturing</t>
  </si>
  <si>
    <t>EWM-REM: Error RM094 during optional reporting point posting</t>
  </si>
  <si>
    <t>MF4R: VBDOCUBATCH123 when resetting reporting point quantits</t>
  </si>
  <si>
    <t>EWM-REM: Error RM856 during posting goods receipt</t>
  </si>
  <si>
    <t>PP-REM-PLL</t>
  </si>
  <si>
    <t>Pull list</t>
  </si>
  <si>
    <t>MF60: Dump when EWM release order parts or EWM pick parts</t>
  </si>
  <si>
    <t>MF60: Wrong requirement date for stock transfer reservations</t>
  </si>
  <si>
    <t>MF50: Qty by production rate causes PLAUF w/decimal places</t>
  </si>
  <si>
    <t>CO05: Collective orders not printed on prod. order release</t>
  </si>
  <si>
    <t>CK11N: Purchase Requisition creation during costing</t>
  </si>
  <si>
    <t>OPJ9: Inconsistency in displaying prod. profile description</t>
  </si>
  <si>
    <t>PPARCHA1: Wrong job status after error message CX 074</t>
  </si>
  <si>
    <t>Production order is created although profit center is locked</t>
  </si>
  <si>
    <t>Workflow object BUS2005 is not triggered</t>
  </si>
  <si>
    <t>Background processing terminates with error message C2 090</t>
  </si>
  <si>
    <t>Production order split leads to runtime error MESSAGE_TYPE_X</t>
  </si>
  <si>
    <t>Function requests: SAPSQL_ARRAY_INSERT_DUPREC</t>
  </si>
  <si>
    <t>Message RU 139: Incorrect long text</t>
  </si>
  <si>
    <t>BAdI WORKORDER_CONFIRM: Predefine individual capacity</t>
  </si>
  <si>
    <t>Automatic goods receipt for order with inspection lot</t>
  </si>
  <si>
    <t>BAPI-Rückmeldung: Dump POSTING_ILLEGAL_STATEMENT</t>
  </si>
  <si>
    <t>Production order: Wrong configuration displayed</t>
  </si>
  <si>
    <t>CO47: Incorrect authorization check for secondary object</t>
  </si>
  <si>
    <t>COCM: Missing entry for simulation order in table IBINOBS</t>
  </si>
  <si>
    <t>PP-SFC-EXE-PRINT</t>
  </si>
  <si>
    <t>Order Printing</t>
  </si>
  <si>
    <t>CO02: Duplicate Component list with PSFC_OBJECT_LIST_PDF</t>
  </si>
  <si>
    <t>Search help MCH1: Warning message DH 176</t>
  </si>
  <si>
    <t>Msg COIS001 in program PPIO_ENTRY during variant creation</t>
  </si>
  <si>
    <t>F4 Help: Production version: Value transfer</t>
  </si>
  <si>
    <t>Direct procurement indicator for variable sized item</t>
  </si>
  <si>
    <t>Order [technically] completed: Serial numbers</t>
  </si>
  <si>
    <t>Anzeige von Stücklisten mit Revisionsständen</t>
  </si>
  <si>
    <t>Reassigning material components: Backflush indicator</t>
  </si>
  <si>
    <t>BAdI WORKORDER_UPDATE Methode NUMBER_SWITCH</t>
  </si>
  <si>
    <t>Missing authorization check in PS</t>
  </si>
  <si>
    <t>Incorrect values after cancellation of a document</t>
  </si>
  <si>
    <t>PS-CLM</t>
  </si>
  <si>
    <t>Claim Management</t>
  </si>
  <si>
    <t>Incorrect user default values in PS claim</t>
  </si>
  <si>
    <t>KBPP_EXTERN_UPDATE_CO: Unjustified consistency check errors</t>
  </si>
  <si>
    <t>CJB1: Long runtimes despite low number of WBS elements II</t>
  </si>
  <si>
    <t>PS-COS-PER-IC</t>
  </si>
  <si>
    <t>CJZ3/CJZ5: Exception condition "OBJECT_MISSING" is triggered</t>
  </si>
  <si>
    <t>Lange Laufzeit in Unterprogramm INTEREST_PART_OF_HIER_GET</t>
  </si>
  <si>
    <t>Invoicing plan: Incorrect field name "Earliest Start"</t>
  </si>
  <si>
    <t>PS-COS-PLN-CAL</t>
  </si>
  <si>
    <t>Costing</t>
  </si>
  <si>
    <t>CJ20N: Short dump with exception COSTING_ERROR</t>
  </si>
  <si>
    <t>BPDIST00 rollt nicht hoch trotz Bottom-Up Planung</t>
  </si>
  <si>
    <t>Inaccessible code in report CN24NREPORT_SUB</t>
  </si>
  <si>
    <t>PS-DOC-TXT</t>
  </si>
  <si>
    <t>Project Text</t>
  </si>
  <si>
    <t>Cannot save macro in PS text with excel format</t>
  </si>
  <si>
    <t>PSIS: RPSCO and deleted PP-orders in valuated project stock</t>
  </si>
  <si>
    <t>CJEN: Dump mit DBIF_RSQL_INVALID_RSQL in PS_RPSCO_REBUILD</t>
  </si>
  <si>
    <t>Navigation not possible</t>
  </si>
  <si>
    <t>SYNTAX_ERROR in SAPLCJDB</t>
  </si>
  <si>
    <t>LDB PSJ: /PSIS/-Reports werden immer wieder generiert</t>
  </si>
  <si>
    <t>Long runtime in FM GET_PS_OBJECTNUMBER (AFVC) for MSSQL</t>
  </si>
  <si>
    <t>PSIS: Double predecessors/successors in CN41/CN49 for DB400</t>
  </si>
  <si>
    <t>CN53N: No dynamic selections for milestones possible</t>
  </si>
  <si>
    <t>CNS49N: WBS element 2 empty in standard networks</t>
  </si>
  <si>
    <t>CN41: Object currency remains blank</t>
  </si>
  <si>
    <t>CN41: Navigation to ordering reports not possible</t>
  </si>
  <si>
    <t>CN41: Reporting values in wrong object currency</t>
  </si>
  <si>
    <t>CN41N: Zero actuals if data in object currency exist</t>
  </si>
  <si>
    <t>CN41-Period Breakdown: *** for fin data in CO area currency</t>
  </si>
  <si>
    <t>BOM explosion in CJ20N does not consider 'Valid-From Date'</t>
  </si>
  <si>
    <t>Wrong Storage Type and storage bin when supply area changed</t>
  </si>
  <si>
    <t>DYNPRO_FIELD_CONVERSION dump when GR with negitive quantity</t>
  </si>
  <si>
    <t>Incorrect commitments generated on conversion of PR to PO</t>
  </si>
  <si>
    <t>PS-MAT-DLV</t>
  </si>
  <si>
    <t>Delivery</t>
  </si>
  <si>
    <t>CNS0:Change in sales data not copied to delivery infomation</t>
  </si>
  <si>
    <t>DP82: Error message AD01 250 for deleted WBS elements</t>
  </si>
  <si>
    <t>Duplicate entries in transaction CATS_DA in document flow</t>
  </si>
  <si>
    <t>DP91: Billing possible for multiple items</t>
  </si>
  <si>
    <t>PS-REV-IO</t>
  </si>
  <si>
    <t>Proj-Reltd.Incom.Ord</t>
  </si>
  <si>
    <t>CJA2: Message KI 753 when entering sales document</t>
  </si>
  <si>
    <t>Version created twice in VSKOPF when execute in background</t>
  </si>
  <si>
    <t>PSESOA : Low performance in change state id generation logic</t>
  </si>
  <si>
    <t>CJ2D: Error message 'No Errors' occurs</t>
  </si>
  <si>
    <t>Incorrect duration on changing dates of an activity.</t>
  </si>
  <si>
    <t>CJ20n: Dump while opening project</t>
  </si>
  <si>
    <t>CJ2B: Activity elements tab missing in Mass change</t>
  </si>
  <si>
    <t>ACL: unexpected popup while creating activity under network</t>
  </si>
  <si>
    <t>ACL: Unable to save project with automatic validation</t>
  </si>
  <si>
    <t>Entries in personal value list not deleted for std milestone</t>
  </si>
  <si>
    <t>CJ20n: Unable to add new ACL user</t>
  </si>
  <si>
    <t>Error CJ021: WBS element PR####### does not exist</t>
  </si>
  <si>
    <t>PS-ST-DEF</t>
  </si>
  <si>
    <t>Project Definition</t>
  </si>
  <si>
    <t>CJ01/CJ02 Project Definition: Basic Data screen disappears</t>
  </si>
  <si>
    <t>Multiple top level WBS created even if customizing disallows</t>
  </si>
  <si>
    <t>Short dump: Syntax error in program SAPLCOBH</t>
  </si>
  <si>
    <t>CJ20N: Copy and paste of activity element results in error</t>
  </si>
  <si>
    <t>Settlement rule is not automatically created for activity</t>
  </si>
  <si>
    <t>Misleading Pop-Up after message number CN750 is displayed</t>
  </si>
  <si>
    <t>problem of adding a network with assembly processing func.</t>
  </si>
  <si>
    <t>Issue with flexible screen in CJ20n and CN22 transaction</t>
  </si>
  <si>
    <t>CJ20n: F4 help on dates does not consider factory calendar</t>
  </si>
  <si>
    <t>Performance bottleneck during sorting of internal table</t>
  </si>
  <si>
    <t>Classification data not deleted when network is deleted-II</t>
  </si>
  <si>
    <t>Automatic creation of settlement rule in activity element</t>
  </si>
  <si>
    <t>OCM : Incorrect network configuration history</t>
  </si>
  <si>
    <t>Flexible Screen: Incorrect tabs displayed on navigation</t>
  </si>
  <si>
    <t>CJ20n: Dump while expanding WBS which has milestones</t>
  </si>
  <si>
    <t>CJ20N: Network and activity short text are not updated</t>
  </si>
  <si>
    <t>WBS Element Overview : Error updating WBS Descriptions</t>
  </si>
  <si>
    <t>Dump : MESSAGE_TYPE_X occurs after toggle</t>
  </si>
  <si>
    <t>CJ20N: Not able to cancel in Estimates popup in progress tab</t>
  </si>
  <si>
    <t>PS texts for activities are not displayed in display mode.</t>
  </si>
  <si>
    <t>Short text of milestone is not updated from overview screen</t>
  </si>
  <si>
    <t>Object currency key is not always displayed in PPB</t>
  </si>
  <si>
    <t>Project Planning Board : Normal duration copied on cancel</t>
  </si>
  <si>
    <t>Dump on save after deleting WBS from the project.</t>
  </si>
  <si>
    <t>Dump in F4 help for template field in billing plan screen</t>
  </si>
  <si>
    <t>CJ02:Include WBS structure,INVALID_DYNPRONAME</t>
  </si>
  <si>
    <t>FMPP: Error F5846(negative tax in vendor invoice)</t>
  </si>
  <si>
    <t>FMPP: Tax amount is being included</t>
  </si>
  <si>
    <t>FMPP: Error FMPP1018 (negative due to credit memo)</t>
  </si>
  <si>
    <t>Missing Message Class FICUSTOM_CORE</t>
  </si>
  <si>
    <t>0PU_IS_PS_32: VRFORG not filled during extraction</t>
  </si>
  <si>
    <t>Fund group: OH016 when you check completeness</t>
  </si>
  <si>
    <t>FMRE: Records in KBLE with field RBELNR = $</t>
  </si>
  <si>
    <t>Create EF with reference -&gt; Dump ASSIGN_TYPE_ILLEGAL_CAST</t>
  </si>
  <si>
    <t>FBRA downpayment:Consumpt. AZAF in earmarked funds incorr 2</t>
  </si>
  <si>
    <t>Earmarked Funds reference not deleted by  CL_FM_EF_* classes</t>
  </si>
  <si>
    <t>FMRE: wrong numbering of history records (EWSCOUNT, BPENT)</t>
  </si>
  <si>
    <t>FBRA Anzahlung: Verbrauch AZAF in Mittelvormerkung falsch 3</t>
  </si>
  <si>
    <t>Act.&amp; Commit. Update</t>
  </si>
  <si>
    <t>Error when Validating of FM Area to Company Code Assignment</t>
  </si>
  <si>
    <t>Funded program incorrect on Invoices for Service PO with MAA</t>
  </si>
  <si>
    <t>MIGO: Funded Program is not displayed when Mat Res reference</t>
  </si>
  <si>
    <t>MIGO: Funded Program is not displayed when no PO reference</t>
  </si>
  <si>
    <t>Payment status: Input help incomplete</t>
  </si>
  <si>
    <t>FBRA: Cancelation not possible</t>
  </si>
  <si>
    <t>PSM-FM-UP-FI-PA</t>
  </si>
  <si>
    <t>Payment Accrual</t>
  </si>
  <si>
    <t>S200 herkömmliche Funktion in die OF29 aufnehmen</t>
  </si>
  <si>
    <t>PSM-GPR-GM</t>
  </si>
  <si>
    <t>Guaranteed Minimum</t>
  </si>
  <si>
    <t>QC51: Existing certificate record is not found</t>
  </si>
  <si>
    <t>Incorrect e-mail address used for quality certificate</t>
  </si>
  <si>
    <t>Title is incorrect when sending e-mail</t>
  </si>
  <si>
    <t>QA11 : Error message M7014 when saving</t>
  </si>
  <si>
    <t>QA03: Incorrect authorization check when displaying articles</t>
  </si>
  <si>
    <t>QA02: No dynamic modification after sample calculation reset</t>
  </si>
  <si>
    <t>QAC2 for EWM-managed storage locations</t>
  </si>
  <si>
    <t>&lt;(&gt;, &lt;(&gt; display in the long text inspection characteristic</t>
  </si>
  <si>
    <t>QIRF_GET_ALL_DATA_VALUES2 : QAMR-PRUEFER filled incorrectly</t>
  </si>
  <si>
    <t>QE51N : Message 00349 confirming repetitive manufacturing</t>
  </si>
  <si>
    <t>Manufacturer is not transferred from purchase document</t>
  </si>
  <si>
    <t>QPR4: Misleading error message QY 009</t>
  </si>
  <si>
    <t>QA11: Missing status warning</t>
  </si>
  <si>
    <t>BAPI_INSPLOT_SETUSAGEDECISION : Error QV045</t>
  </si>
  <si>
    <t>BAPI_INSPLOT_SETUSAGEDECISION : Dump with "POST_ERR"</t>
  </si>
  <si>
    <t>History values of master inspection char. do not display</t>
  </si>
  <si>
    <t>QS21: Characteristic type displayed although not specified</t>
  </si>
  <si>
    <t>Adjusting correction report RQMQNC10</t>
  </si>
  <si>
    <t>Sending e-mail: E-mail address is not determined</t>
  </si>
  <si>
    <t>Material and serial number are not transferred</t>
  </si>
  <si>
    <t>Workflow in notifications does not work</t>
  </si>
  <si>
    <t>Error message IW161 when displaying Q messages</t>
  </si>
  <si>
    <t>IQS9: Jump to long text for action does not work</t>
  </si>
  <si>
    <t>Sending e-mails with attachments creates incorrect entry</t>
  </si>
  <si>
    <t>Double-click on serial number does not show detailed info</t>
  </si>
  <si>
    <t>RE-FX-CN</t>
  </si>
  <si>
    <t>Deactivation of contract with active notice</t>
  </si>
  <si>
    <t>RE-FX-RA</t>
  </si>
  <si>
    <t>FBV0: RECAAP 012: Real estate object cannot be determined</t>
  </si>
  <si>
    <t>RECAAP012 in transaction ME21N for purchase requisition</t>
  </si>
  <si>
    <t>The Result set of an SQL-Select Statement may not be sorted</t>
  </si>
  <si>
    <t>RE-TP</t>
  </si>
  <si>
    <t>Third Party Manageme</t>
  </si>
  <si>
    <t>FO1E: F5 702 ("Balance in transaction currency")</t>
  </si>
  <si>
    <t>serialize gATP check and CIF replication for SD</t>
  </si>
  <si>
    <t>Process order: DYNPRO_SEND_IN_BACKGROUND short dump in APO</t>
  </si>
  <si>
    <t>SCM-APO-CPR</t>
  </si>
  <si>
    <t>Collaborative Procurement</t>
  </si>
  <si>
    <t>SCM-APO-CPR-SCH</t>
  </si>
  <si>
    <t>Supplier Cumulative Quantity is not displayed in SNC and SPP</t>
  </si>
  <si>
    <t>SCM-APO-FCS</t>
  </si>
  <si>
    <t>SCM-APO-FCS-CSP</t>
  </si>
  <si>
    <t>Forecast consumption</t>
  </si>
  <si>
    <t>Wrong withdrawal date after a post goods issue</t>
  </si>
  <si>
    <t>APO@ERP Deployment:CIF should enable transfer of batches</t>
  </si>
  <si>
    <t>DELTAREPORT: After iteration Total column increases</t>
  </si>
  <si>
    <t>ESA carry forward: Incorrect delivery date in APO</t>
  </si>
  <si>
    <t>ESP transfer: Cumulative delivered quantity in APO too high</t>
  </si>
  <si>
    <t>Observer instance is not integrated</t>
  </si>
  <si>
    <t>CALL_FUNCTION_CONFLICT_TYPE when changing planned order</t>
  </si>
  <si>
    <t>Performance of function module LGNUMWME_EXISTS</t>
  </si>
  <si>
    <t>INT-PDS: Assigned purchasing info records with CMPDS1</t>
  </si>
  <si>
    <t>Missing authorization check in PDS_MAINT</t>
  </si>
  <si>
    <t>INT-PDS: Mode numbers and sequence numbers inverted</t>
  </si>
  <si>
    <t>INT-PDS: Expired co-product PDS generated</t>
  </si>
  <si>
    <t>INT-PDS: Performance when generating PDS integration model</t>
  </si>
  <si>
    <t>INT-PDS: Note 988408 does not work</t>
  </si>
  <si>
    <t>INT-PDS: Deadlock when accessing table PDS_OPR_MAPPING</t>
  </si>
  <si>
    <t>INT-PDS: Performance during stor. loc. det. for work center</t>
  </si>
  <si>
    <t>INT-PDS: Selection conditions assigned to wrong sequence</t>
  </si>
  <si>
    <t>INT-PDS: Performance issue accessing database table MKAL</t>
  </si>
  <si>
    <t>INT-PPM: By-product and co-product assigned incorrectly</t>
  </si>
  <si>
    <t>Material master data queue stops with DBIF_RSQL_SQL_ERROR</t>
  </si>
  <si>
    <t>Network, confirmed activity: Component date/time incorrect</t>
  </si>
  <si>
    <t>INT-PPS: WBS element is not transferred correctly</t>
  </si>
  <si>
    <t>CIF rescheduling is done on basis desired delivery date</t>
  </si>
  <si>
    <t>PchOrd not reduced in APO for purchase order created in SRM</t>
  </si>
  <si>
    <t>Incomplete PO on hold cannot be changed by CIF from APO</t>
  </si>
  <si>
    <t>Transport APO SA to R/3 - error 'connection closed'(2)</t>
  </si>
  <si>
    <t>CIF Postprocessing: Duplicate purchase order created in ECC</t>
  </si>
  <si>
    <t>The account assignment category could not be determined</t>
  </si>
  <si>
    <t>STO new schedule line processing is not recognized by BOP</t>
  </si>
  <si>
    <t>Some messages are missing in CIF log</t>
  </si>
  <si>
    <t>ERS flag for Purchasing info record transferred incorrectly</t>
  </si>
  <si>
    <t>Exit_saplcsrs_00x missing parameter to modify TL data</t>
  </si>
  <si>
    <t>CCR: Error 219 Difference in material availability date</t>
  </si>
  <si>
    <t>CSFG/SPM scenario: false obref inconsistencies</t>
  </si>
  <si>
    <t>SCM-EM</t>
  </si>
  <si>
    <t>Event Management</t>
  </si>
  <si>
    <t>SCM-EM-AS</t>
  </si>
  <si>
    <t>Application System</t>
  </si>
  <si>
    <t>Error in /SAPTRX/XET_LE_ROAD_TRA10</t>
  </si>
  <si>
    <t>Non-relevant loc-prod in fre_db_art_site table part 2</t>
  </si>
  <si>
    <t>Improve performance on report FRE_RPR_MEASGR_DELTA</t>
  </si>
  <si>
    <t>Wrong purchasing price for variants</t>
  </si>
  <si>
    <t>FRE06: Runtime error getwa_not_assigned</t>
  </si>
  <si>
    <t>Potential modif./disclosure of persisted data in F&amp;R</t>
  </si>
  <si>
    <t>No DIF creation with promo. when running FRE12 early</t>
  </si>
  <si>
    <t>TS: RFC Error does not provide detailed information</t>
  </si>
  <si>
    <t>Lane not deleted when article is discontinued</t>
  </si>
  <si>
    <t>Error in report FRE_SEND_TSD</t>
  </si>
  <si>
    <t>IGNORE DIF creation for promotion without announced quant.</t>
  </si>
  <si>
    <t>Badi ME_INFORECORD_SEND - remove 'Internal' comment</t>
  </si>
  <si>
    <t>F&amp;R 5.1: Interface errors due to vendor deletion flag</t>
  </si>
  <si>
    <t>Wrong purchasing prices for variants (2)</t>
  </si>
  <si>
    <t>Time Dependent Data Validity for Lanes Different From Input</t>
  </si>
  <si>
    <t>TD Promotion data Procurement cycle with incorrect Pl.Del.</t>
  </si>
  <si>
    <t>PROACT: Adding Location Product information to log</t>
  </si>
  <si>
    <t>RSMIPROACT: Fixing source of supply determination</t>
  </si>
  <si>
    <t>PROACT: fixing MRP area parameter check</t>
  </si>
  <si>
    <t>Proact reports: Minor corrections</t>
  </si>
  <si>
    <t>CC: Released QM Lot Stock transfer for SNC SNI - ROEMPROACT2</t>
  </si>
  <si>
    <t>Enable APO-on-ERP PlugIn</t>
  </si>
  <si>
    <t>new BAdI BADI_ATPC in Enhancement Spot ATP_PUBLISH_RESULTS</t>
  </si>
  <si>
    <t>Performance improvement at delivery creation</t>
  </si>
  <si>
    <t>CO41: conversion abort leaves hanging TQAs in SCM</t>
  </si>
  <si>
    <t>Withdrawable reservations not taken into account in ATP</t>
  </si>
  <si>
    <t>Overconfirmation of CRM Sales Orders after rescheduling</t>
  </si>
  <si>
    <t>Optimization for construction of requirements</t>
  </si>
  <si>
    <t>APO-Anbindung und Datumsgrenze</t>
  </si>
  <si>
    <t>network details of PR lost when rescheduled with V_V2</t>
  </si>
  <si>
    <t>ATP: Underconfirmation with customer returnable packaging</t>
  </si>
  <si>
    <t>SYSTEM_NO_ROLL:Termination when processing many billing docs</t>
  </si>
  <si>
    <t>Performance improvement for CPE evaluation</t>
  </si>
  <si>
    <t>SD-BF-CS</t>
  </si>
  <si>
    <t>Cross Selling</t>
  </si>
  <si>
    <t>Error 00 088 bei cross selling</t>
  </si>
  <si>
    <t>Previous input fields of VV11 are not cleared in memory.</t>
  </si>
  <si>
    <t>Termination Rules printed in logon language.</t>
  </si>
  <si>
    <t>Incorrect address indicator in order</t>
  </si>
  <si>
    <t>BAPI: partner determination for creation of order</t>
  </si>
  <si>
    <t>Code-Injection-Schwachstelle in ERP SD</t>
  </si>
  <si>
    <t>Sign of rebate condition II</t>
  </si>
  <si>
    <t>Mögliche Offenlegung von persistierten Daten in SD-BF-PR</t>
  </si>
  <si>
    <t>Quotations/contracts message: Texts are deleted</t>
  </si>
  <si>
    <t>Quotations/contracts message: Texts are deleted (2)</t>
  </si>
  <si>
    <t>RVTEXTE does not remove dummy texts (WBRK, WBRP, WBHK, WBHI)</t>
  </si>
  <si>
    <t>Cancellation not possible - "already cleared"</t>
  </si>
  <si>
    <t>Dialog box always displayed when leaving Transaction VF02</t>
  </si>
  <si>
    <t>Address formatting of payer (2)</t>
  </si>
  <si>
    <t>Display of the material group on the item detail screen (2)</t>
  </si>
  <si>
    <t>SARI: Termination ASSIGN_CASTING_ILLEGAL_CAST</t>
  </si>
  <si>
    <t>Advanced Returns Management: Adv. Returns data not printed</t>
  </si>
  <si>
    <t>SmartForm:Stock transfer - order number in invoice print (2)</t>
  </si>
  <si>
    <t>CSFG: Rejection reason does not change billing doc. status</t>
  </si>
  <si>
    <t>Termination RAISE_EXCEPTION when costs are updated</t>
  </si>
  <si>
    <t>MIRO ends with account determination error for VPRS update</t>
  </si>
  <si>
    <t>SiT with quantity change returns incorrect transfer prices</t>
  </si>
  <si>
    <t>Fakturasammelgang Performance: BILLING_SCHEDULE_READ</t>
  </si>
  <si>
    <t>Cleared billing documents can be canceled (2)</t>
  </si>
  <si>
    <t>Monitoring of quantity flow: Down payments also processed II</t>
  </si>
  <si>
    <t>VPRS: Incorrect scaling to existing billing documents (3)</t>
  </si>
  <si>
    <t>Mehrfache Mengenübergabe an CO/Statistik durch Proforma</t>
  </si>
  <si>
    <t>Differential billing: Message VF 245</t>
  </si>
  <si>
    <t>SD-BIL-IV-BP</t>
  </si>
  <si>
    <t>Billing Plan</t>
  </si>
  <si>
    <t>Change of value-based billing plans via BAPI is incorrect</t>
  </si>
  <si>
    <t>BAPI_BILLINGDOC_CREATEMULTIPLE: Termination after simulation</t>
  </si>
  <si>
    <t>SD-BIL-IV-RB</t>
  </si>
  <si>
    <t>Retro Billing</t>
  </si>
  <si>
    <t>Retro-billing: Pricing for text items (2)</t>
  </si>
  <si>
    <t>VFRB: Function "Execute in background"</t>
  </si>
  <si>
    <t>Missing authorization checks for enhanced contract data</t>
  </si>
  <si>
    <t>Incorrect CO-PA values after validity period is changed 2</t>
  </si>
  <si>
    <t>Verification document/drill-down - no totals line</t>
  </si>
  <si>
    <t>Zero Accrual Balance (ERP Enh. Rebate)</t>
  </si>
  <si>
    <t>Short dump for category 'B' item with service material</t>
  </si>
  <si>
    <t>Incorrect revenue recognition status for rejected item</t>
  </si>
  <si>
    <t>Returns accrual without call-off order</t>
  </si>
  <si>
    <t>VF47: Short Dump "TABLE_INVALID_INDEX"</t>
  </si>
  <si>
    <t>ILM Enablement for Archive Object SD_VBREV</t>
  </si>
  <si>
    <t>ORDERS: System issues incorrect error message (VG 229)</t>
  </si>
  <si>
    <t>IDOC - INVOIC: Plants for RRICB and intercompany billing</t>
  </si>
  <si>
    <t>Determining conversion currency is not uniform</t>
  </si>
  <si>
    <t>Intrastat Italy: statistical value "0" is reported as "1"</t>
  </si>
  <si>
    <t>XML-Datei Polen: Intrastat-Identifikation &amp; Adresse</t>
  </si>
  <si>
    <t>Delivery foreign trade data lost after goods issue posting</t>
  </si>
  <si>
    <t>Check error: GUI support and accessibility (VEPT)</t>
  </si>
  <si>
    <t>Intrastat XML-Datei Polen: Anwendung der REGON Nummer</t>
  </si>
  <si>
    <t>ILM Enablement for Archive Object SD_AGREEM</t>
  </si>
  <si>
    <t>BAPI_CUSTMATINFO_GETLIST: Too many info records</t>
  </si>
  <si>
    <t>Termination after sales deal release (transaction VB21)</t>
  </si>
  <si>
    <t>ILM Enablement for archiving object SD_COND.</t>
  </si>
  <si>
    <t>Condition Maintenance: Scroll bar at wrong position</t>
  </si>
  <si>
    <t>Listing/Exclusion : Field check Plant/Material</t>
  </si>
  <si>
    <t>Currency of sales list price not displayed in catalog search</t>
  </si>
  <si>
    <t>Corrections for SEPA mandated in SD (interface)</t>
  </si>
  <si>
    <t>New BAdI Definitions in Sales Order</t>
  </si>
  <si>
    <t>Incorrect goods receipt status.</t>
  </si>
  <si>
    <t>Corrections for SEPA mandate in SD (improvement)</t>
  </si>
  <si>
    <t>Net value for expiring sales document is incorrect.</t>
  </si>
  <si>
    <t>Syntax error in program /APB/POWLFEEDERSEL.</t>
  </si>
  <si>
    <t>Assigning contract: No check for authorization</t>
  </si>
  <si>
    <t>Wrong net value for Powls used in ISR</t>
  </si>
  <si>
    <t>Outline agrmt/contract mess.: Column display is not optimal</t>
  </si>
  <si>
    <t>Runtime error when processing repair request</t>
  </si>
  <si>
    <t>SD-SEPA: Dump in distribution of Sales Order</t>
  </si>
  <si>
    <t>SD-SEPA: Mandat im Angebotskopf wird gelöscht</t>
  </si>
  <si>
    <t>SD SEPA: '0' prefilled as mandate reference in order</t>
  </si>
  <si>
    <t>SD-SEPA: Error in FI-CA Integration</t>
  </si>
  <si>
    <t>SD-SEPA: Mandate in contract item is not deleted</t>
  </si>
  <si>
    <t>Error in IMG text (Node "SEPA")</t>
  </si>
  <si>
    <t>Incorrect planning data for billing after you delete items</t>
  </si>
  <si>
    <t>No assignment of the sales area for reference customers</t>
  </si>
  <si>
    <t>SEPA fields on LORD interface</t>
  </si>
  <si>
    <t>Error in user exit is not handled by lean order.</t>
  </si>
  <si>
    <t>LO API: Usage for an active customer business function set.</t>
  </si>
  <si>
    <t>Error for sales area selection for consumers</t>
  </si>
  <si>
    <t>Incorrect error V1331 is displayed in configurable UI/WEB UI</t>
  </si>
  <si>
    <t>Document flow not displaying correctly</t>
  </si>
  <si>
    <t>Dump REPLACE_INFINITE_LOOP bei Konfiguration über LORD API</t>
  </si>
  <si>
    <t>LORD: System terminates when you change billing plan</t>
  </si>
  <si>
    <t>LORD: kaufmännische Daten zum Teil nicht gefüllt</t>
  </si>
  <si>
    <t>Fehlende Berechtigungsprüfung in SD-SLS-ES</t>
  </si>
  <si>
    <t>SD_VBAK: long runtime during archiving run</t>
  </si>
  <si>
    <t>Profit center when creating with reference</t>
  </si>
  <si>
    <t>Fehlende OLC Felder bei der Kontierungsprüfung</t>
  </si>
  <si>
    <t>Partner cannot be changed for order block</t>
  </si>
  <si>
    <t>Performance for BAPISDORDER_GETDETAILEDLIST III</t>
  </si>
  <si>
    <t>Missing document flow for BAPISDORDER_GETDETAILEDLIST</t>
  </si>
  <si>
    <t>Beim CHANGE BAPI wird Fehler VP 210 prozessiert</t>
  </si>
  <si>
    <t>Status overview:Invoice receipt status incorrectly displayed</t>
  </si>
  <si>
    <t>VA05 branches to display transaction instead of change trans</t>
  </si>
  <si>
    <t>Incorrect column header sales document category in VA14L</t>
  </si>
  <si>
    <t>SDQ2: Fehlerhafte Kopfzeile in der Liste</t>
  </si>
  <si>
    <t>SD-SLS-GF-ST</t>
  </si>
  <si>
    <t>SD Status management</t>
  </si>
  <si>
    <t>Incorrect order-related status with billing plan</t>
  </si>
  <si>
    <t>Dump beim Löschen einer lieferplanbezogenen Lieferung</t>
  </si>
  <si>
    <t>Errors during currency changes / missing crcy when copying</t>
  </si>
  <si>
    <t>Aktualisierung Kundenauftrag aus Beschaffungsvorgang</t>
  </si>
  <si>
    <t>The payment method dropdown is not refreshed.</t>
  </si>
  <si>
    <t>SD-SEPA: No data transfer via BAPI (IMPR)</t>
  </si>
  <si>
    <t>RBA suppression: Subitems</t>
  </si>
  <si>
    <t>Preparation for RBA suppression: Subitems</t>
  </si>
  <si>
    <t>Quellcode-Bereinigungsaktion</t>
  </si>
  <si>
    <t>Dump bei Änderung des Materials und gleichzeitigem Sichern</t>
  </si>
  <si>
    <t>Suppliers as Natural Person not replicate to SRM</t>
  </si>
  <si>
    <t>E KO104 'Order &amp; does not exist' unexpected</t>
  </si>
  <si>
    <t>SRM-EBP-CA-ATT</t>
  </si>
  <si>
    <t>Attachments</t>
  </si>
  <si>
    <t>Contract upload:Long text lines are in incorrect order</t>
  </si>
  <si>
    <t>SRM-EBP-CA-TAX</t>
  </si>
  <si>
    <t>Unable to create invoices with 'Use tax' in SRM</t>
  </si>
  <si>
    <t>UOM in service PO and invoice do not match</t>
  </si>
  <si>
    <t>BBP_RFC_READ_TABLE returns incorrect data for soem fields</t>
  </si>
  <si>
    <t>GR-based invoice verification please enter GR and IR ind's.</t>
  </si>
  <si>
    <t>Removing central contract reference on SRM PO causes error</t>
  </si>
  <si>
    <t>SRM-EBP-SOC</t>
  </si>
  <si>
    <t>Sourcing</t>
  </si>
  <si>
    <t>Follow-on note for note 1707345</t>
  </si>
  <si>
    <t>Material extraction not extracting ISO code for UOM</t>
  </si>
  <si>
    <t>Too many qRFC queues for EOIO serialization of delivery msgs</t>
  </si>
  <si>
    <t>No update for existing shipment document</t>
  </si>
  <si>
    <t>IDoc Text unvollständig, Steuerstandort-Code Erweiterung</t>
  </si>
  <si>
    <t>Wrong setting of a TM_CTRL_KEY</t>
  </si>
  <si>
    <t>BAdI to set TM_CTRL_KEY is called falsely for STOs</t>
  </si>
  <si>
    <t>Error Message displays incorrect logistical system.</t>
  </si>
  <si>
    <t>PO Creation failing in ERP due to inconsistency in Incoterm</t>
  </si>
  <si>
    <t>FSD integration with ERP fails to create the SES in ERP</t>
  </si>
  <si>
    <t>Missing SettlementID on Discard of FSD creation XML</t>
  </si>
  <si>
    <t>TM-FRS-IP</t>
  </si>
  <si>
    <t>ERP Invoice Verifi</t>
  </si>
  <si>
    <t>FSD transfer to ERP fails due to quantity exceeds error</t>
  </si>
  <si>
    <t>FSD send to ERP: Negative amount handling in PO/SES creation</t>
  </si>
  <si>
    <t>FEH not working for service II_TCM_CFIRSUITEREQ</t>
  </si>
  <si>
    <t>ATC error</t>
  </si>
  <si>
    <t>Cancelled Accounting Document does not have Co. Area prefix</t>
  </si>
  <si>
    <t>WEC-APP-SLS-WS</t>
  </si>
  <si>
    <t>WEC Sales Webservice</t>
  </si>
  <si>
    <t>Support Prefix search for order ID in generic search in ERP</t>
  </si>
  <si>
    <t>Unable to create e-mail user in UME only shop</t>
  </si>
  <si>
    <t>Self registration not possible with contactID and companyID</t>
  </si>
  <si>
    <t>User will be unlock after requesting a new password</t>
  </si>
  <si>
    <t>WEC-FRW</t>
  </si>
  <si>
    <t>WEC Framework</t>
  </si>
  <si>
    <t>Missing authorization proposals</t>
  </si>
  <si>
    <t>Argentina Vendor update - Exemption file processing</t>
  </si>
  <si>
    <t>J_1AFR1547: Issues with Deferred checks and Payment amount.</t>
  </si>
  <si>
    <t>RG2616 Tax Regime : Incorrect tax calculation</t>
  </si>
  <si>
    <t>J_1AF016: Incorrect Net amount in case of reporting</t>
  </si>
  <si>
    <t>J_1AF016 report shows wrong totals</t>
  </si>
  <si>
    <t>AR WS RG2485: BADI to change customer tax details</t>
  </si>
  <si>
    <t>AR: Dump in transaction MCNB due to formula 333</t>
  </si>
  <si>
    <t>AR: Syntax error in formuala 333 include FV64A333</t>
  </si>
  <si>
    <t>AR: 0% VAT tax line item missing in accounting document</t>
  </si>
  <si>
    <t>Nota Fiscal: Delivery of NBS</t>
  </si>
  <si>
    <t>STO: ICMS wrongly calculated for Full/Partial return from ZF</t>
  </si>
  <si>
    <t>STO: Wrong CFOP determination for return of stock in transit</t>
  </si>
  <si>
    <t>Not able to cancel a NFe through nota fiscal monitor</t>
  </si>
  <si>
    <t>IN86 - Access to unsorted DB content</t>
  </si>
  <si>
    <t>Suspicious Access to Unsorted DB Content</t>
  </si>
  <si>
    <t>Technical Changes</t>
  </si>
  <si>
    <t>Checkman issues adjustment</t>
  </si>
  <si>
    <t>RFEBBU00: Non-DDA file records updated in DDA table</t>
  </si>
  <si>
    <t>RFFOBR_DDA: The DDA error records are not linked correctly</t>
  </si>
  <si>
    <t>Pauta Base: Classical Tax Calculation</t>
  </si>
  <si>
    <t>Pauta Base: DDIC Changes</t>
  </si>
  <si>
    <t>Pauta Base: Reporting</t>
  </si>
  <si>
    <t>Pauta Base: Condition-Based Tax Calculation</t>
  </si>
  <si>
    <t>Pauta Base: NF Writer, Bapi, XML Mapping</t>
  </si>
  <si>
    <t>Subtrib base and tax value does not consider the item UoM</t>
  </si>
  <si>
    <t>OT Partner: Jurisdiction code not considered when issuing PO</t>
  </si>
  <si>
    <t>MIRO: Change of Tax Code does not update NF Tax Laws</t>
  </si>
  <si>
    <t>NF Writer: Reference document year wrongly assigned</t>
  </si>
  <si>
    <t>Error when saving entry in PIS/COFINS tax rate tables</t>
  </si>
  <si>
    <t>MIRO: Change of NF type does not update Nota Fiscal</t>
  </si>
  <si>
    <t>Pauta Base: Delivery Customizing</t>
  </si>
  <si>
    <t>Fut.Del.: Taxes not calculated after changes in UoM entries</t>
  </si>
  <si>
    <t>Wrong Comp. ICMS base/amount value using PIS/COFINS Pauta</t>
  </si>
  <si>
    <t>[Material origin] Fix of issues from note 1816560</t>
  </si>
  <si>
    <t>Material Origin: STO 861/862</t>
  </si>
  <si>
    <t>MM Pricing: Tax Rate Amount not copied</t>
  </si>
  <si>
    <t>ME22N: Wrong ICMS value for material origin using TAXBRJ</t>
  </si>
  <si>
    <t>Material origin: Enhancements to Sched. Agrm. and Contract</t>
  </si>
  <si>
    <t>Pauta Base: screen control changes</t>
  </si>
  <si>
    <t>ME22N: error message J1B_SRV001 when switching PO</t>
  </si>
  <si>
    <t>CT-e Incoming Automation general part</t>
  </si>
  <si>
    <t>Check NF-e XML Values vs. NF-e Net Values incl. Tax</t>
  </si>
  <si>
    <t>Renewal of Screen Controls in Nota Fiscal Writer</t>
  </si>
  <si>
    <t>NF writer customizing refactoring</t>
  </si>
  <si>
    <t>Technical Pre-Requisite for Function Group J1BC</t>
  </si>
  <si>
    <t>Report J_1BNFEXMLOUTPARALLEL obsolete</t>
  </si>
  <si>
    <t>Customizable message has incorrect message type</t>
  </si>
  <si>
    <t>NF-e: Search Help for Conting.Reas. not language dependent</t>
  </si>
  <si>
    <t>NF-e: Number Range Gap Report uses wrong Government Version</t>
  </si>
  <si>
    <t>Longtext in screen for empty cancellation reason</t>
  </si>
  <si>
    <t>XML-tag &lt;tpAmb&gt; not filled depending on T000-CCCATEGORY</t>
  </si>
  <si>
    <t>NF-e Event out: Protocol number not provided</t>
  </si>
  <si>
    <t>Stock Transfer - Missing NFe-Number for inbound delivery</t>
  </si>
  <si>
    <t>NF Writer: structures missing in mandatory field check</t>
  </si>
  <si>
    <t>Restriction of status reset for already authorized NF-e</t>
  </si>
  <si>
    <t>Protocol Date and Time are not filled for Transfer Postings</t>
  </si>
  <si>
    <t>Techn.Pre-requisites in Nota Fiscal for Further Enhancements</t>
  </si>
  <si>
    <t>CT-e: Technical Note 2013.001</t>
  </si>
  <si>
    <t>BAPI_J_1B_NF_GETDETAIL does not return the data for import</t>
  </si>
  <si>
    <t>NFS-e municipal document, processing date and time</t>
  </si>
  <si>
    <t>NF-e: Nota Técnica 2013/003</t>
  </si>
  <si>
    <t>NF number maintenance in NF Writer</t>
  </si>
  <si>
    <t>Technical Correction</t>
  </si>
  <si>
    <t>Base reduction for IPI, PIS and COFINS not filled</t>
  </si>
  <si>
    <t>CT-e Incoming Automation with Logistic Execution System LES</t>
  </si>
  <si>
    <t>Enable Item-Related Messages</t>
  </si>
  <si>
    <t>Technical Pre-requisite</t>
  </si>
  <si>
    <t>Enable Item-Related Messages in Subcontracting Processes</t>
  </si>
  <si>
    <t>Tax values are zero for simulation of purchase order items</t>
  </si>
  <si>
    <t>PIS/COFINS taxes - transfer from XML to nota fiscal</t>
  </si>
  <si>
    <t>Nfe simulation in GRC after purchase order changes in ERP</t>
  </si>
  <si>
    <t>New DIRF layout 2013</t>
  </si>
  <si>
    <t>Model 3: NF of a batch split is not being displayed</t>
  </si>
  <si>
    <t>J_1B_CBT_CONSIST: Filter and Screen Improvement</t>
  </si>
  <si>
    <t>SPED Generic Objects : Table gt_clskeyval wrongly sorted</t>
  </si>
  <si>
    <t>Correction of SAP Note 1736142</t>
  </si>
  <si>
    <t>SPED-ECD: non-leading ledger is not picking all periods data</t>
  </si>
  <si>
    <t>Missing field INFO_COMPL in Register F550</t>
  </si>
  <si>
    <t>SPED-EFD: Suppressed data for items with same description</t>
  </si>
  <si>
    <t>DIRF for One Time Vendor - CPF missing</t>
  </si>
  <si>
    <t>SPED-EFD: Ato Cotepe 14/2013 - Guia Prático 2.0.12</t>
  </si>
  <si>
    <t>[SPED-EFD Fiscal] ALIQ_ICMS = zero in register C190</t>
  </si>
  <si>
    <t>CT-e: Renewal of Screen Controls for CT-e</t>
  </si>
  <si>
    <t>Balance Sheet for Tax Purposes(CL):Check for New GL enabled</t>
  </si>
  <si>
    <t>IDCP:Assignment fields(ZUONR, HZUON) not updated on FI docs</t>
  </si>
  <si>
    <t>Trading partner decoulping in SAP_APPL layer</t>
  </si>
  <si>
    <t>One time vendor dump in verification document</t>
  </si>
  <si>
    <t>Fix renumbering issue</t>
  </si>
  <si>
    <t>Fix PDF form issue which causes translation error</t>
  </si>
  <si>
    <t>CN:duplicated log in ALV list for cashflow</t>
  </si>
  <si>
    <t>CN:Fix Bug for condition value BADI in Cashflow report</t>
  </si>
  <si>
    <t>CN:Incorrect identify GR/IR document in cash flow report</t>
  </si>
  <si>
    <t>CN:ODN number group assignment check against company code</t>
  </si>
  <si>
    <t>CN:Fix issue for non-tax invoice for China customer</t>
  </si>
  <si>
    <t>Improvment for cashflow</t>
  </si>
  <si>
    <t>CN:Account document output support classic general ledger</t>
  </si>
  <si>
    <t>CN:Balance's direction issue for Account Balance Output(ALV)</t>
  </si>
  <si>
    <t>CN:Screen element incorrect status when UI switch not exist</t>
  </si>
  <si>
    <t>CN:AR aging report enhancement</t>
  </si>
  <si>
    <t>CN:Fix trading partner query issue for Cash flow China</t>
  </si>
  <si>
    <t>CN:Add offset account text in ALV for GR/IR report(BNG/GNB)</t>
  </si>
  <si>
    <t>CN:Change subtotal signal in ALV for account balance report</t>
  </si>
  <si>
    <t>CN:CI for Financial Statements(China)</t>
  </si>
  <si>
    <t>CN:Enable old GL Accounting in Account balance report</t>
  </si>
  <si>
    <t>CN:Document header text is missing in account balance report</t>
  </si>
  <si>
    <t>CN:Drill-down issue in ALV for cashflow</t>
  </si>
  <si>
    <t>Dump in IDCN_POST_FOR_ODN after IS-OIL, IS-PS-XT intalled</t>
  </si>
  <si>
    <t>CN:Fix bug for external figure</t>
  </si>
  <si>
    <t>CN:ODN generate error for batch posting with BAPI function</t>
  </si>
  <si>
    <t>Performance Improvment for report RFIDCN_GRIR_GNB(China)</t>
  </si>
  <si>
    <t>idcnacctbln amount error in acc. level hierarchy pdf output</t>
  </si>
  <si>
    <t>Fix checkman issue for ODN adjustment program</t>
  </si>
  <si>
    <t>CN:Fix incorrect check about profit center in ZJF</t>
  </si>
  <si>
    <t>XX-CSC-CN-GAI</t>
  </si>
  <si>
    <t>Golden Audit Interf.</t>
  </si>
  <si>
    <t>Incorrect input check for Enterprise Income Statement</t>
  </si>
  <si>
    <t>Runtime error during Customizing for Cash Flow Statement</t>
  </si>
  <si>
    <t>New VAT Report and DOC Report</t>
  </si>
  <si>
    <t>Rounding difference adjustment might cause program dump</t>
  </si>
  <si>
    <t>Online integration report issue correction</t>
  </si>
  <si>
    <t>Red-letter Invoice Notice popup error</t>
  </si>
  <si>
    <t>Outbound parent node after combination shows repetitive data</t>
  </si>
  <si>
    <t>After combine, the parent node can be separated directly</t>
  </si>
  <si>
    <t>Combination bug</t>
  </si>
  <si>
    <t>Outbound add BADI of vat lines</t>
  </si>
  <si>
    <t>Multiple Data Source -- DDIC</t>
  </si>
  <si>
    <t>Multiple Data Source - CODE</t>
  </si>
  <si>
    <t>UoM Convertion</t>
  </si>
  <si>
    <t>Multiple Data Source - UI</t>
  </si>
  <si>
    <t>GTI DB Sort issue - GUI version</t>
  </si>
  <si>
    <t>GTI DB Sort issue - FPM version</t>
  </si>
  <si>
    <t>Add index of "combineid" to idgt_gtdm</t>
  </si>
  <si>
    <t>Repair no administration data exists for default values</t>
  </si>
  <si>
    <t>Clear discount rate when generating files in outbound page</t>
  </si>
  <si>
    <t>Change Archive programs of GTI</t>
  </si>
  <si>
    <t>Modify Outbound Return Merge Type When Selected Same Doc.</t>
  </si>
  <si>
    <t>Modify Maintenance Settings for Tax Catalog Code Table</t>
  </si>
  <si>
    <t>Modify Maintenance Settings for Tax Invoice Key Table</t>
  </si>
  <si>
    <t>Update "Credit for Returns" Process in GT_ULN</t>
  </si>
  <si>
    <t>Field "status" missing in data area for pie chart</t>
  </si>
  <si>
    <t>Russia CSMD: GLO_RUS_ECOCLASS allowed to save with value '0'</t>
  </si>
  <si>
    <t>Domestic Sales and Purchases List for Hungary - Base Note</t>
  </si>
  <si>
    <t>Domestic Sales and Purchases List for Hungary - Enhancements</t>
  </si>
  <si>
    <t>Documents generated with iDOCs are not displayed properly</t>
  </si>
  <si>
    <t>HU: Down Payment in FC for vendor invoices - Recalculate VAT</t>
  </si>
  <si>
    <t>XX-CSC-HU-FICA</t>
  </si>
  <si>
    <t>Domestic Sales and Purchases List - FICA part</t>
  </si>
  <si>
    <t>HU ERS: Modification to 'OFF_PLANT_ABROAD' table note1738861</t>
  </si>
  <si>
    <t>Text elements and selection texts  missing in J2IER1 &amp; J1IV</t>
  </si>
  <si>
    <t>F-54:- Exchange rate,blank base amount,vendor exemption</t>
  </si>
  <si>
    <t>F-54 : Multiple clearing using a single downpayment</t>
  </si>
  <si>
    <t>J1INQEFILE: Reason code S is not reported for s/w documents</t>
  </si>
  <si>
    <t>Downpayment Clearing With MIRO : second local currency issue</t>
  </si>
  <si>
    <t>J1INPR : Service Entry Sheet number is not displayed</t>
  </si>
  <si>
    <t>J1INQEFILE : Incorrect TDS/TCS Reporting</t>
  </si>
  <si>
    <t>Wrong data displayed in purchase register - J1IPUR</t>
  </si>
  <si>
    <t>Wrong mother Ed quantity defaulted after UoM conversion-J1IJ</t>
  </si>
  <si>
    <t>Unable to cancel excise after GR cancel,subcontracting-J1IEX</t>
  </si>
  <si>
    <t>Non-deductible BED duty rate not displayed in PO - TAXINJ</t>
  </si>
  <si>
    <t>Error 8I905,Plant-&gt;Depot-&gt;Depot STO process with batch- J1IG</t>
  </si>
  <si>
    <t>Depot Excise Invoice allowed to save with Zero Challan Qty</t>
  </si>
  <si>
    <t>J1IV/J1IPR_EX: Duplicate print of multiple excise invoice</t>
  </si>
  <si>
    <t>Incorrect retention value calculation in vendor invoice-MIRO</t>
  </si>
  <si>
    <t>Error 8I-332 for IS-Oil material with different UoM- J1IJ</t>
  </si>
  <si>
    <t>Italy: Law 83/2013 Facsimile: Payment block for MM and FI</t>
  </si>
  <si>
    <t>Documentation for Italy Legal Change (Law 83)</t>
  </si>
  <si>
    <t>Cancellation of monthly invoices with missing payers invoice</t>
  </si>
  <si>
    <t>Tax Adjustment: Amount is displayed in column 'Invoice Amnt'</t>
  </si>
  <si>
    <t>Invoice summary creation report raises ISJP 653</t>
  </si>
  <si>
    <t>RFUMSV45R: Summary for customers is getting selected wrongly</t>
  </si>
  <si>
    <t>DIOT report: Issue with user-exit</t>
  </si>
  <si>
    <t>XX-CSC-PH</t>
  </si>
  <si>
    <t>Philippines</t>
  </si>
  <si>
    <t>Philipppines withholding BIR 2307 form format incorrect</t>
  </si>
  <si>
    <t>SIPT_OBD : Digital Signature in IS-OIL process</t>
  </si>
  <si>
    <t>Billing documents are not digitally signed because of lock</t>
  </si>
  <si>
    <t>PT: Corrections to Digital Signature self-billing solution</t>
  </si>
  <si>
    <t>Invalid digital signatures due to records in the gap table</t>
  </si>
  <si>
    <t>Fiscal Map 32: Wrong value in column 15 when column 8 &gt;= 0.</t>
  </si>
  <si>
    <t>PT: Mapas Fiscais - Form 32, Column 10 Correction</t>
  </si>
  <si>
    <t>PT: Mapas Fiscais - Form 32, Column 10, Cause note 1834764</t>
  </si>
  <si>
    <t>PT: Mapas Fiscais - Mapa 32 Column 12 incorrect total</t>
  </si>
  <si>
    <t>PT: Mapas Fiscais - EHP6 missing SNC legal change correction</t>
  </si>
  <si>
    <t>PT: Mapas Fiscais - Mapa 32 Column 12 total, Cause 1839932</t>
  </si>
  <si>
    <t>Mapas Fiscais - Mapa 32,Short Dump for Purchase Used Asset</t>
  </si>
  <si>
    <t>Directory traversal in XX-CSC-PT-FIAA</t>
  </si>
  <si>
    <t>Qatar PS:Witholding Tax Clearing-Checkman Issue</t>
  </si>
  <si>
    <t>J_3RF_RATE_CALC: incorrect clearing amount</t>
  </si>
  <si>
    <t>[Technical]Clearing environment downport</t>
  </si>
  <si>
    <t>VAT Invoice Journal: reversed documents, form printing</t>
  </si>
  <si>
    <t>Wrong assignment number in accounting document after VF04</t>
  </si>
  <si>
    <t>Russian names for countries: too short fields</t>
  </si>
  <si>
    <t>J_3rfum26: Linked invoices in separate VAT on accrual</t>
  </si>
  <si>
    <t>Property Tax declaration: section 1 line 030 is wrong</t>
  </si>
  <si>
    <t>CSMD for AuC from CJ20N is not correctly displayed</t>
  </si>
  <si>
    <t>Property Tax calculation: tax incorrect values</t>
  </si>
  <si>
    <t>Workwear:message J_3RF_WORKWEAR 062.Empty list for Employees</t>
  </si>
  <si>
    <t>XML invoices - customer namespace definition</t>
  </si>
  <si>
    <t>J3RTAXREP - XML Generator refactoring</t>
  </si>
  <si>
    <t>Contract accounting Russia - BTE 1130 update</t>
  </si>
  <si>
    <t>Electronic VAT Invoices (Russia)- delivery confirmation</t>
  </si>
  <si>
    <t>Distribution of differences from difference account.</t>
  </si>
  <si>
    <t>J_3R_PTAX_DECL downloads an XML file with a wrong format</t>
  </si>
  <si>
    <t>J3RALFTTAXCALC generates two rows for asset.</t>
  </si>
  <si>
    <t>VAT Invoice Journal: error UNCAUGHT_EXCEPTION</t>
  </si>
  <si>
    <t>RFUMSV50: Performance improvement</t>
  </si>
  <si>
    <t>J_3RF_CLEARING: partial payment is not found</t>
  </si>
  <si>
    <t>Russian transport tax return. Acquisition after registration</t>
  </si>
  <si>
    <t>Transfer pricing. Errors correction. New functionality.</t>
  </si>
  <si>
    <t>Sales/Purchase Ledger: cancellations with small amounts</t>
  </si>
  <si>
    <t>Functions of Application Log. Additions.</t>
  </si>
  <si>
    <t>Invoice Journal: Multiple Company Codes, Display Mode</t>
  </si>
  <si>
    <t>Form M-2. Quantity field</t>
  </si>
  <si>
    <t>VAT Invoice forms: code and name of currency, UoM, country</t>
  </si>
  <si>
    <t>Contract number tracking for vendor down payments</t>
  </si>
  <si>
    <t>Class /CCIS/CL_GLU1_CHECKER add deb/cred tax objects filter</t>
  </si>
  <si>
    <t>RFUMSV52: Empty Reference Field in Invoice Line</t>
  </si>
  <si>
    <t>J_3R_PTAX_DECL does not display code of tax rate reduction</t>
  </si>
  <si>
    <t>Transport tax calculation error</t>
  </si>
  <si>
    <t>J_3RFVATMM (Custom Union): 328.00 form rounding XML/PDF</t>
  </si>
  <si>
    <t>Amount reduction for russian property tax</t>
  </si>
  <si>
    <t>J3RFWORKWEARLIST: Job-text-truncated, New parameters</t>
  </si>
  <si>
    <t>J_3R_PTAX_CALC process assets with empty property type</t>
  </si>
  <si>
    <t>XML and PDF layout for russian transport tax return 2012</t>
  </si>
  <si>
    <t>J_3RF_RATE_CALC: no down payments from vendor or customer</t>
  </si>
  <si>
    <t>J_3RFBS_ALL: Reporting periods 13-16 in P&amp;L-statement</t>
  </si>
  <si>
    <t>Advance Report AO-1 selection texts are incorrect</t>
  </si>
  <si>
    <t>J3RTAXREP - Incorrect select-options parsing</t>
  </si>
  <si>
    <t>Electronic VAT Invoices - improvements</t>
  </si>
  <si>
    <t>J3RTAXREP - Basic xml based pdf support</t>
  </si>
  <si>
    <t>VAT Invoice form: buyer's KPP</t>
  </si>
  <si>
    <t>J_3RFVATMM (Goods Import Declaration): creating VAT document</t>
  </si>
  <si>
    <t>RFUMSV50: Pay back (negative) down payment clearing</t>
  </si>
  <si>
    <t>J_3rfum26: Separate VAT posting from ALV for accrual</t>
  </si>
  <si>
    <t>Sales/Purchase Ledger: optimization for J_3RFSEC_ITEM</t>
  </si>
  <si>
    <t>J_3RFVATMM (Goods Import Declaration): error messages</t>
  </si>
  <si>
    <t>J_3R_PTAX_CALC: empty structural division, zero 13th NBV</t>
  </si>
  <si>
    <t>J_3RCALD(K): dynamic selection for invoice reference</t>
  </si>
  <si>
    <t>J_3RSINVOICE Wrong confirmed amount</t>
  </si>
  <si>
    <t>This is a technical note - do not install</t>
  </si>
  <si>
    <t>Adjustment of KL coeff in J_3R_TTAX_CALC</t>
  </si>
  <si>
    <t>CL_J3RF_DI_ARCLOG. Technical corrections</t>
  </si>
  <si>
    <t>J_3RFCAPREP - data elements</t>
  </si>
  <si>
    <t>J_3RFVATMM. Sorted Queries (HANA_CLSTR)</t>
  </si>
  <si>
    <t>Customs Union: Goods Import Claim v2 (Adobe Interface)</t>
  </si>
  <si>
    <t>INV10. Technical corrections</t>
  </si>
  <si>
    <t>J_3RFVATMM: declaration for 0% tax rate</t>
  </si>
  <si>
    <t>Functions of Application Log. Interface changing</t>
  </si>
  <si>
    <t>Sales/Purchase Ledger: partner name in down payments</t>
  </si>
  <si>
    <t>J_3RF_RATE_CALC: incorrect exchange rate type in MIRO</t>
  </si>
  <si>
    <t>Electronic Invoices: incorrect XML</t>
  </si>
  <si>
    <t>Forms TORG-1, TORG-2: zero amounts</t>
  </si>
  <si>
    <t>Date in TORG-12 on billing document</t>
  </si>
  <si>
    <t>J_3RMOBVED: Special Stock T is Displayed</t>
  </si>
  <si>
    <t>Amounts not displayed per income type - IDWTCERT_TH_1</t>
  </si>
  <si>
    <t>IDCP Turkey: Correction to note 1703104</t>
  </si>
  <si>
    <t>XX-CSC-VE</t>
  </si>
  <si>
    <t>Venezuela</t>
  </si>
  <si>
    <t>Venezuela Withholding Tax Certificate - Wrong tax rate</t>
  </si>
  <si>
    <t>Business Place wrongly updated in FI document from MIRO.</t>
  </si>
  <si>
    <t>Create CHECK_ONLY tax document if RWIN_FLAG = X</t>
  </si>
  <si>
    <t>Report FSTST_ACCESS_ANALYZE: 'Number of uses' incorrect</t>
  </si>
  <si>
    <t>SAPKH60608</t>
  </si>
  <si>
    <t>Correction of translation of 'G/L Account Line Items'</t>
  </si>
  <si>
    <t>Translation SK</t>
  </si>
  <si>
    <t>XX-TRANSL-SK</t>
  </si>
  <si>
    <t>Correction of Dutch translation of "EC Sales List"</t>
  </si>
  <si>
    <t>Translation NL</t>
  </si>
  <si>
    <t>XX-TRANSL-NL</t>
  </si>
  <si>
    <t>FPIA: Excp. cond. "OS_COMMIT_TOP_FALILED" raised in MR8M</t>
  </si>
  <si>
    <t>FPIA_INTSHOW: MSINT401 for "Group Items Subjd to interest"</t>
  </si>
  <si>
    <t>IOA: Field LINE_TYPE is incorrectly set for clearing docs</t>
  </si>
  <si>
    <t>Recreation of ETXDC* tables: Document currency missing</t>
  </si>
  <si>
    <t>RFIDTRSLIST: Sequence number is missing or displayed wrong.</t>
  </si>
  <si>
    <t>XX-CSC-TR-FI</t>
  </si>
  <si>
    <t>F-36: Error message saying 'bank does not exist'.</t>
  </si>
  <si>
    <t>TH:Incorrect business place description in Stock card report</t>
  </si>
  <si>
    <t>RFIDYYWT: Incorrect certificate number generation</t>
  </si>
  <si>
    <t>J_1HDTAX: Wrong base amount is transferred</t>
  </si>
  <si>
    <t>J_1HDTAX: multiple issues are reported</t>
  </si>
  <si>
    <t>TORG-12 on billing document: incorrect names of goods</t>
  </si>
  <si>
    <t>Form TORG-12: zero amounts, names of goods</t>
  </si>
  <si>
    <t>Form 1-T (RU): error on conversion to 'TO' unit</t>
  </si>
  <si>
    <t>INV-3: incorrect value and price amounts (columns 7,11,13)</t>
  </si>
  <si>
    <t>Material form (M-15): form is not prolonged to the 2nd page</t>
  </si>
  <si>
    <t>J_3RMOBVED: GR Blocked Stock Not Displayed</t>
  </si>
  <si>
    <t>Material form (M-11): material short text is not displayed</t>
  </si>
  <si>
    <t>J_3RMOBVED: Stock in Transit Issues</t>
  </si>
  <si>
    <t>Transfer pricing. Error corrections (SD documents)</t>
  </si>
  <si>
    <t>Sales/Purchase Ledger: large extracts, posting date</t>
  </si>
  <si>
    <t>J_3RFVATMM. Transaction for maint. view V_J_3RF_VENDOR</t>
  </si>
  <si>
    <t>BAPI_FIXEDASSET_CHANGE: Error message GLO_FIAA01 007</t>
  </si>
  <si>
    <t>Sales/Purchase Ledger: Separate VAT, revisions</t>
  </si>
  <si>
    <t>SeparateVAT: selection of docs according to calendar period</t>
  </si>
  <si>
    <t>Transfer pricing. Performance improvement</t>
  </si>
  <si>
    <t>Sales/Purchase Ledger: tax agents</t>
  </si>
  <si>
    <t>Sales/Purchase Ledger: Separate VAT - tax transfer</t>
  </si>
  <si>
    <t>Property tax declaration: tax authorities codes</t>
  </si>
  <si>
    <t>J_3RCREV: customizing without chart of account</t>
  </si>
  <si>
    <t>Transfer pricing. Errors correction. Missing texts.</t>
  </si>
  <si>
    <t>J3RTAXREP - Selection screen generation</t>
  </si>
  <si>
    <t>P_TPORG should not be mandatory at J3RALFTTAXDECL sel.screen</t>
  </si>
  <si>
    <t>Transport tax declaration: error AM016</t>
  </si>
  <si>
    <t>Add. columns in J_3RFTAX_FINREZ_LIST</t>
  </si>
  <si>
    <t>J_3RSINVOICE. Secondary event generation(Preference Zone)</t>
  </si>
  <si>
    <t>Sales/Purchase Ledger: revisions, forgotten invoices</t>
  </si>
  <si>
    <t>Adjustments for russian transport tax to new eco class field</t>
  </si>
  <si>
    <t>J3RFTRPR - CX_SY_FILE_OPEN_MODE short dump</t>
  </si>
  <si>
    <t>J_3rfum26:Tax base 0% on accrual w/secondary event</t>
  </si>
  <si>
    <t>J_3RFUM26: VATDATE for confirmed export</t>
  </si>
  <si>
    <t>J3RTAXREP - Nested repeatable nodes handling #2</t>
  </si>
  <si>
    <t>Accounting Statement report: chief accountant name</t>
  </si>
  <si>
    <t>RFUMSV53: Syntax error after changes in RFUMSV50</t>
  </si>
  <si>
    <t>J_3R_PTAX_DECL: 'Representative's Co. Name' is mandatory</t>
  </si>
  <si>
    <t>Sales/Purchase Ledger: down payments</t>
  </si>
  <si>
    <t>Sales/Purchase Ledger: incorrect ledger, downpayments</t>
  </si>
  <si>
    <t>J_3rfum26: BDC_INSERT for separate VAT scenario</t>
  </si>
  <si>
    <t>J_3RF_TAX_DP_EDIT has no transport function</t>
  </si>
  <si>
    <t>J3RTAXREP - Nested repeatable nodes handling</t>
  </si>
  <si>
    <t>Correction for the XML for Russian Transport Tax 2012</t>
  </si>
  <si>
    <t>Deletion of entries in parameter mapping J_3RF_TAX_DP_EDIT</t>
  </si>
  <si>
    <t>Description field saving correction in transaction J3RKSORT</t>
  </si>
  <si>
    <t>Cash Flow Report consists of sections always</t>
  </si>
  <si>
    <t>RFUMSV50: Check bank line for clearing w/o lines</t>
  </si>
  <si>
    <t>EDO: several operators (selection by operator in archive)</t>
  </si>
  <si>
    <t>J3RTAXREP - Formula evaluations improvements</t>
  </si>
  <si>
    <t>J_3RF_BINDING_FI_WITH_DI: New BAdI method UPDATE_BEFORE_SAVE</t>
  </si>
  <si>
    <t>Russian transport tax filters assets by acquisition date</t>
  </si>
  <si>
    <t>Cash Flow. GR/IR, specified Ledger errors correction</t>
  </si>
  <si>
    <t>J_3RFVATMM: VAT payment amount checked incorrectly</t>
  </si>
  <si>
    <t>J3RF_XNEGP_FI: Accounts Without Open Item Management</t>
  </si>
  <si>
    <t>J_3RF_INV_TARG_PERIOD,J_3RF_NKS_STARTUP: CoCd authorization</t>
  </si>
  <si>
    <t>Electronic VAT invoices: logic in DP_PDOTPR</t>
  </si>
  <si>
    <t>Sales Ledger: FZ-39 from 05.04.2013</t>
  </si>
  <si>
    <t>Duplication of the assets in russian transport tax decl</t>
  </si>
  <si>
    <t>OS-2:Sender-name,OC-4b:Actual useful life(interactive PDF)</t>
  </si>
  <si>
    <t>Transaction J3RKKRL consider business area in total Beginnin</t>
  </si>
  <si>
    <t>Cash Journal voucher amount is displayed with leading zeros</t>
  </si>
  <si>
    <t>Cash Flow report displays incorrect amount</t>
  </si>
  <si>
    <t>J_3RTSEMAINT, vendor invoice with dr/cr lines</t>
  </si>
  <si>
    <t>Sales/Purchase Ledger: cancellations for 0% taxes</t>
  </si>
  <si>
    <t>Electronic VAT invoices: LC in VAT Reporting (order 446)</t>
  </si>
  <si>
    <t>Sales/Purchase Ledger: VAT date in additional sheet</t>
  </si>
  <si>
    <t>Transfer Pricing. Phone number and E-Mail in Notification.</t>
  </si>
  <si>
    <t>VAT invoice deletion, chain of corrective invoices</t>
  </si>
  <si>
    <t>Electronic VAT invoices: several EDO operators</t>
  </si>
  <si>
    <t>INV-1,INV-1A: Grouping by asset classes option is missing</t>
  </si>
  <si>
    <t>ILM Enablement: archiving objects J_3RFDIARC and J_3RREGINV</t>
  </si>
  <si>
    <t>Sales/Purchase Ledger: corrections for VAT in transit</t>
  </si>
  <si>
    <t>J_3RFVATMM: XML for KZ v7.53, adobe form</t>
  </si>
  <si>
    <t>Contracts in Invoice Journal</t>
  </si>
  <si>
    <t>RFUMSV53: RL Line Comparison</t>
  </si>
  <si>
    <t>VAT Invoice, Invoice journal print form: minor issues</t>
  </si>
  <si>
    <t>J_3RSINVOICE. Bug of ALV default layout</t>
  </si>
  <si>
    <t>Transaction J3RKKRL doesn't show postings with business area</t>
  </si>
  <si>
    <t>RFUMSV53: Bill of Exchange Payment</t>
  </si>
  <si>
    <t>RFUMSV50: duplicate dump for down payment many taxes</t>
  </si>
  <si>
    <t>Transaction J3RKKRD inserts position with incorrect XNEGP</t>
  </si>
  <si>
    <t>Property Tax annual declaration: wrong page count</t>
  </si>
  <si>
    <t>J_3RF_VAT_ANALYSIS: Long processing time</t>
  </si>
  <si>
    <t>J3RTAXREP - Incorrect calculation in FI/SL provider</t>
  </si>
  <si>
    <t>Find payments class correction for INV-17</t>
  </si>
  <si>
    <t>J_3R_PTAX_DECL: Property Tax Declaration issues</t>
  </si>
  <si>
    <t>J_3RF_VAT_ANALYSIS: Documents are not included. Wrong date</t>
  </si>
  <si>
    <t>The Business Add-In is active for countries other than QA</t>
  </si>
  <si>
    <t>XX-CSC-QA-FI</t>
  </si>
  <si>
    <t>PT Web Services- Online communication to AT:Solution Details</t>
  </si>
  <si>
    <t>XX-CSC-PT-LO</t>
  </si>
  <si>
    <t>PT Web Services- Online communication to AT : Technical Req</t>
  </si>
  <si>
    <t>Dummy Checkman Notes</t>
  </si>
  <si>
    <t>Mini SAFT - Online Authorization XML Changes</t>
  </si>
  <si>
    <t>Mini SAFT - Online Authorization changes(7) w.r.t is-oil</t>
  </si>
  <si>
    <t>Mini SAFT - Online Authorization - class correction</t>
  </si>
  <si>
    <t>PT: SAFT - Online Authorization Unit Price, Bill to party</t>
  </si>
  <si>
    <t>SAFT - Online Authorization</t>
  </si>
  <si>
    <t>Mini SAFT - Online Authorization UoM, VAT ID Changes</t>
  </si>
  <si>
    <t>PT: SAFT Online Authorization - tax id issue, fixed vendor</t>
  </si>
  <si>
    <t>PT: SAFT online Authorization - Batch Split Changes</t>
  </si>
  <si>
    <t>PT:SAFT for online communication of transports to AT</t>
  </si>
  <si>
    <t>MAPAS FISCAIS(new): Enhancements for xls, BADI + Corrections</t>
  </si>
  <si>
    <t>MAPAS FISCAIS(new): Corrections for XML file and structure</t>
  </si>
  <si>
    <t>PT: Adjustments in column 10 and 14 for map 3204</t>
  </si>
  <si>
    <t>PT: Mapas Fiscais - DMEE XML Correction</t>
  </si>
  <si>
    <t>Mapas Fiscais: Corrections and Performance improvement</t>
  </si>
  <si>
    <t>PT : Mapas Fiscais corrections</t>
  </si>
  <si>
    <t>PT: Redesign of Mapas Fiscais Solution</t>
  </si>
  <si>
    <t>RFUMPT00:Issue with cash sales document</t>
  </si>
  <si>
    <t>XX-CSC-PT-FI</t>
  </si>
  <si>
    <t>SAFT-PT: Corrections RSAFT_PT_XML for 2010 (67)</t>
  </si>
  <si>
    <t>RFUMPT00:Issue with document posted with reverse charge</t>
  </si>
  <si>
    <t>SAF-T : Corrections for SelfBilling#4 (LC July2013)</t>
  </si>
  <si>
    <t>RFUMPT00:Issue with payment reversal document</t>
  </si>
  <si>
    <t>Law 160/2013 for FI-CA Integration in SAF-T (PT)</t>
  </si>
  <si>
    <t>SAFT-PT: Corrections RSAFT_PT_XML for 2010 (66)</t>
  </si>
  <si>
    <t>SAF-T : Self billing corrections(3)</t>
  </si>
  <si>
    <t>SAFT-PT: Corrections RSAFT_PT_XML for 2010 (65)</t>
  </si>
  <si>
    <t>SAFT July Legal Change Portaria 160/2013</t>
  </si>
  <si>
    <t>PT : Correction to note 1706856</t>
  </si>
  <si>
    <t>Error message SIPT 232 when saving proforma invoice</t>
  </si>
  <si>
    <t>PT OBD: Gaps in XBLNR while delivery cancellation</t>
  </si>
  <si>
    <t>PT Self billing: Signing the first document in previous year</t>
  </si>
  <si>
    <t>PT Sign : Corrections for self billing process</t>
  </si>
  <si>
    <t>Update termination when creating several billing documents</t>
  </si>
  <si>
    <t>DP Poland : Issue with settlement of Final invoice</t>
  </si>
  <si>
    <t>RFASLD15: XML file(Version 3)format for Poland Legal Change</t>
  </si>
  <si>
    <t>VAT 2013 - New forms for EC Sales List for Poland</t>
  </si>
  <si>
    <t>RFASLD15(PL): Amount not displayed in Local Currency</t>
  </si>
  <si>
    <t>RFASLD15: Legal Change Poland 2013</t>
  </si>
  <si>
    <t>RFCLLIB02_PE: Distinguish between Old and New GL</t>
  </si>
  <si>
    <t>XX-CSC-PE-FI</t>
  </si>
  <si>
    <t>RFCLLIB04_PE: Incorrect Period displayed</t>
  </si>
  <si>
    <t>RFCLLIB01_PE: Incorrect Period displayed</t>
  </si>
  <si>
    <t>RFCLLIB03_PE: Incorrect reference document date</t>
  </si>
  <si>
    <t>Online contract accounting - no leading zeros in ZUONR</t>
  </si>
  <si>
    <t>Kuwait: Enablement of Bill of Exchange Functionality</t>
  </si>
  <si>
    <t>XX-CSC-KW-FI</t>
  </si>
  <si>
    <t>Kuwait</t>
  </si>
  <si>
    <t>XX-CSC-KW</t>
  </si>
  <si>
    <t>RFIDKRTCR: Document amount is wrongly passed to the BAdI.</t>
  </si>
  <si>
    <t>XX-CSC-KR-FI</t>
  </si>
  <si>
    <t>Shortdump in invoice summary status report on AS ABAP 7.40</t>
  </si>
  <si>
    <t>Paid amount missing in invoice summary invoice</t>
  </si>
  <si>
    <t>Manual posting of Incoming payment: Dump in summary view</t>
  </si>
  <si>
    <t>Multiple Taxes: Invoice Amount and Tax Amount are wrong</t>
  </si>
  <si>
    <t>ISJP Deletion Report Enhancement for MIs and PIs</t>
  </si>
  <si>
    <t>RFITREVAL Italy Year End Currency Revaluation</t>
  </si>
  <si>
    <t>Mat batch not considered in mother excise selection-J_1IJCHK</t>
  </si>
  <si>
    <t>ABAP Dump while displaying document flow in VA03</t>
  </si>
  <si>
    <t>System is displays no output in billing option - J1ISAL</t>
  </si>
  <si>
    <t>Wrong remaining quantity(MENGR) updated for materials- J1IJ</t>
  </si>
  <si>
    <t>Unable to create excise invoice in J1IJ for batch material</t>
  </si>
  <si>
    <t>Destination country is incorrect in ARE1 document - J1IA101</t>
  </si>
  <si>
    <t>Over ref of mother Excise while outgoing depot excise- J1IJ</t>
  </si>
  <si>
    <t>Service Tax Return as per Notification No.1/2013- ST3(XML)</t>
  </si>
  <si>
    <t>J1IPUR - List output shows duplicate entries</t>
  </si>
  <si>
    <t>Incorrect document year is determined in J1IEX transaction</t>
  </si>
  <si>
    <t>Runtime error in Depot stock report - J_1IDEPOTSTOCK1</t>
  </si>
  <si>
    <t>Enabling control for line item wise tax calculation- India</t>
  </si>
  <si>
    <t>Excise duties not copied from excise invoice(TAXINJ)- MIRO</t>
  </si>
  <si>
    <t>BED/AED/SED/NCCD excise values are not rounded off- J1IEX</t>
  </si>
  <si>
    <t>Tax Code Calculation error in FB70</t>
  </si>
  <si>
    <t>Incorrect effective price of PO when PO quantity is changed</t>
  </si>
  <si>
    <t>Routine 371 to support planned+unplanned delivery cost- MIRO</t>
  </si>
  <si>
    <t>Duplicate accounting lines in Part2 Accounting document-MIGO</t>
  </si>
  <si>
    <t>BM305 error when using UoM with lower case letters- CIN</t>
  </si>
  <si>
    <t>DPC with MIRO: With_item table is updated with wrong entries</t>
  </si>
  <si>
    <t>MR8M : Downpayment clearing with MIRO</t>
  </si>
  <si>
    <t>RPFIWTIN_QRETURNS: Documents are not picked properly</t>
  </si>
  <si>
    <t>DPC with MIRO: DPC document is updated with wrong challan</t>
  </si>
  <si>
    <t>J1INQEFILE: In form 27EQ, Reason code 'C' is reported</t>
  </si>
  <si>
    <t>RPFIWTIN_QRETURNS: FVU3.8 Legal change 2013-14</t>
  </si>
  <si>
    <t>FVU3.8 Changes for India Quarterly Returns report</t>
  </si>
  <si>
    <t>J1INQEFILE: Section 194IA getting reported in form 26Q</t>
  </si>
  <si>
    <t>J1IN011 message customized as error or information</t>
  </si>
  <si>
    <t>F-54 : Incorrect Second Local Currency Amount</t>
  </si>
  <si>
    <t>TCS Certificate Form 27D -Legal Change 2013</t>
  </si>
  <si>
    <t>F-54: TDS amount is reversed incorrectly</t>
  </si>
  <si>
    <t>RPFIWTIN_QRETURNS: Industry solution data is not reported</t>
  </si>
  <si>
    <t>J1INCHLN: Internal Challan considering wrong Fiscal year</t>
  </si>
  <si>
    <t>J1INPR: Second local currency is not updated</t>
  </si>
  <si>
    <t>Downpayment clearing with MIRO gives error</t>
  </si>
  <si>
    <t>J1INEMIS: New fields added to the output screen</t>
  </si>
  <si>
    <t>DPC with MIRO document is not picked in J1INQEFILE</t>
  </si>
  <si>
    <t>J1INPR : Provision is not considering modified base amount</t>
  </si>
  <si>
    <t>CTS-2010 cheque format India</t>
  </si>
  <si>
    <t>J1INPR:- Local currency amount is not updated in bseg table</t>
  </si>
  <si>
    <t>J1INPR:- Documents are not picked/ Performance issue</t>
  </si>
  <si>
    <t>India Quarterly returns - New report program</t>
  </si>
  <si>
    <t>Incorrect updation of section code</t>
  </si>
  <si>
    <t>HU: Unit price for consignment settlement (MRKO)</t>
  </si>
  <si>
    <t>Documentation for Domestic Sales and Purchases List</t>
  </si>
  <si>
    <t>Down Payment HU - Not updated XBLNR in report FBL3N</t>
  </si>
  <si>
    <t>HU: ERS numbering for FB60 regarding Hungary</t>
  </si>
  <si>
    <t>HR FISC:Generating Fiscalization specific number for invoice</t>
  </si>
  <si>
    <t>XX-CSC-HR-LO</t>
  </si>
  <si>
    <t>Croatia</t>
  </si>
  <si>
    <t>XX-CSC-HR</t>
  </si>
  <si>
    <t>India Q-returns: Enhancement for Insurance and Utilities</t>
  </si>
  <si>
    <t>RFIDESM340: error in field output-totrec and Fiscal address</t>
  </si>
  <si>
    <t>XX-CSC-ES-FI</t>
  </si>
  <si>
    <t>RFIDESM340:Adjacent records are deleted from unsorted table</t>
  </si>
  <si>
    <t>BADI for Golden Tax Interface Reports Enhancement</t>
  </si>
  <si>
    <t>Enhancement of Merge Function</t>
  </si>
  <si>
    <t>Cancellation billing status does not update when inbound</t>
  </si>
  <si>
    <t>Field 'Golden Tax Note' should be empty for negative billing</t>
  </si>
  <si>
    <t>Tab 'Other Data Sources' should be hidden when only one tab</t>
  </si>
  <si>
    <t>Modify File Content BADI for FPM version</t>
  </si>
  <si>
    <t>Skip check of combining documents</t>
  </si>
  <si>
    <t>Golden Tax Interface Check Combine BADI</t>
  </si>
  <si>
    <t>Incorrect total amount and Tax amount in Excel outbound file</t>
  </si>
  <si>
    <t>Multiple Data Source - DDIC Generator Report</t>
  </si>
  <si>
    <t>BAdI for billing check</t>
  </si>
  <si>
    <t>Add Customer Type Search Criteria in Outbound</t>
  </si>
  <si>
    <t>Extend to support inter-company credit memo</t>
  </si>
  <si>
    <t>The modified "Note" field could not be updated to database</t>
  </si>
  <si>
    <t>Unit price of line item is incorrect after split items</t>
  </si>
  <si>
    <t>Golden Tax Interface Modify File Content BADI for GT_ULN</t>
  </si>
  <si>
    <t>GTI:re-download outbound file issue</t>
  </si>
  <si>
    <t>'Undo merge' button is not available</t>
  </si>
  <si>
    <t>Golden Audit (China): Documentation Enhancements</t>
  </si>
  <si>
    <t>GAI: Fix ATC Error</t>
  </si>
  <si>
    <t>Quantity incorrect in IDCNGRIR_GNB/IDCNGRIR_BNG</t>
  </si>
  <si>
    <t>ODN fetch number range base on fiscal period</t>
  </si>
  <si>
    <t>AR/AP aging splitted documnet missing</t>
  </si>
  <si>
    <t>Code injection vulnerability in XX-CSC-CN-EPIC</t>
  </si>
  <si>
    <t>EPIC: Correction for BOC payment</t>
  </si>
  <si>
    <t>PRL: Code Adjustments for Payment Request Integration</t>
  </si>
  <si>
    <t>EPIC: Cash Flow Category Correction</t>
  </si>
  <si>
    <t>EPIC: Bank Receipt, Cash Budget Consumption, etc</t>
  </si>
  <si>
    <t>Downport for muanual clearing</t>
  </si>
  <si>
    <t>Message class maintained in non-original language</t>
  </si>
  <si>
    <t>RFCLLIB00: Documents are not selected on Posting Date</t>
  </si>
  <si>
    <t>XX-CSC-CL-FI</t>
  </si>
  <si>
    <t>RFCLLIB02: Distinguish between Old and New GL</t>
  </si>
  <si>
    <t>CT-e LC: Ship-from based on header business partner in SD</t>
  </si>
  <si>
    <t>Pre-Implementation Objects</t>
  </si>
  <si>
    <t>Correct wrong Enhancement Point creation</t>
  </si>
  <si>
    <t>Sales Order: BAdI method for redetermining tax data</t>
  </si>
  <si>
    <t>Field OWNPR is not filled in the pricing communication.</t>
  </si>
  <si>
    <t>Nota Fiscal created for documents blocked for billing.</t>
  </si>
  <si>
    <t>Billing: error message F5350 for billing return process</t>
  </si>
  <si>
    <t>SD/Brazil: Activate error log during nota fiscal creation</t>
  </si>
  <si>
    <t>SPED Contribution - Register 0140 - Field IM too small</t>
  </si>
  <si>
    <t>SPED EFD Contributions: field not informed for register 1500</t>
  </si>
  <si>
    <t>J_1BEFD runtime error when accessing block c195</t>
  </si>
  <si>
    <t>SPED PIS COFINS - COFINS Value is missing for Register D600</t>
  </si>
  <si>
    <t>EFD-Contributions: Pratical Guide Version 1.12</t>
  </si>
  <si>
    <t>[SPED-EFD] Reg C590 missing in Profile B when Doc Incoming</t>
  </si>
  <si>
    <t>Total value is wrong on field J_1BINLIN-NFTOT</t>
  </si>
  <si>
    <t>Text variable longer than 256 characters with blank gap</t>
  </si>
  <si>
    <t>CT-e incoming automation: Simulation error messages</t>
  </si>
  <si>
    <t>NFe in: Subcontractracting with non statistical components</t>
  </si>
  <si>
    <t>Subcontracting with non statistical components -prerequisite</t>
  </si>
  <si>
    <t>Material origin in nota fiscal with incoming automation</t>
  </si>
  <si>
    <t>Generate printout for GR from NFe incoming</t>
  </si>
  <si>
    <t>NF-e IN: Changing Delivery Date in BAdI for Inbound Delivery</t>
  </si>
  <si>
    <t>NF-e incoming: duplicate posting of invoices</t>
  </si>
  <si>
    <t>Taxes combined with multiple account assignment not correct</t>
  </si>
  <si>
    <t>Valuation type for valuation category 'X' (= Autom. (Batch))</t>
  </si>
  <si>
    <t>Integration of flexible PIS/COFINS base into NF-e In. Autom.</t>
  </si>
  <si>
    <t>Internal note NF-e setting NF item config for nFCI</t>
  </si>
  <si>
    <t>NFe: add FCI number to NF item (NT 2013/006)</t>
  </si>
  <si>
    <t>Options for print of DACTE</t>
  </si>
  <si>
    <t>NF-e: Nota Técnica 2013/006</t>
  </si>
  <si>
    <t>Internal technical correction</t>
  </si>
  <si>
    <t>Update MM/FI with NF-e number - Stock Transfer</t>
  </si>
  <si>
    <t>NF-e: additional fields - corrections for applic.gen. NF-es</t>
  </si>
  <si>
    <t>NF-e Monitor J1BNFE: allow ranges for company code</t>
  </si>
  <si>
    <t>CT-e: Add &lt;ForPag&gt; and &lt;ISUF&gt; to BAdi Method FILL_CTE</t>
  </si>
  <si>
    <t>NF-e: Update MM/FI with NF-e number - Credit Memos</t>
  </si>
  <si>
    <t>Nota fiscal monitor shows inappropriate error messages</t>
  </si>
  <si>
    <t>Enhancement NF Writer screen control- Corrections</t>
  </si>
  <si>
    <t>Prerequisite for note 1883872 Mat. origin with incom. autom.</t>
  </si>
  <si>
    <t>NF: Renewal of Nota Fiscal consistency checks</t>
  </si>
  <si>
    <t>NF-e: mapping of new fields overwrites values set in BAdI</t>
  </si>
  <si>
    <t>Changing NF-e number on J1B2N J_1BNFE_ACTIVE not updated</t>
  </si>
  <si>
    <t>Fill new master data fields into NF document (CNAE, CRT, ..)</t>
  </si>
  <si>
    <t>NF-e: Enhancement of BAdI for Additional NF Data</t>
  </si>
  <si>
    <t>NF-e: Storing Additional Data - Corrections for NF Writer</t>
  </si>
  <si>
    <t>NF-e: Enhancements NF Writer screen controls</t>
  </si>
  <si>
    <t>Warning Message for Missing CFOP Code for Services</t>
  </si>
  <si>
    <t>Archiving of Fiscal Documents and related Change Documents</t>
  </si>
  <si>
    <t>Change Documents for CT-e Data in the Financial Document</t>
  </si>
  <si>
    <t>Change documents for new fields/tables in fiscal document</t>
  </si>
  <si>
    <t>Flexible PIS-/COFINS-base with incom. autom. prerequisite</t>
  </si>
  <si>
    <t>Archiving of Fiscal Docs.: Add. Data for DANFE &amp; Reporting</t>
  </si>
  <si>
    <t>Dump when setting item tax field as mandatory</t>
  </si>
  <si>
    <t>NF-e: send obsCont, obsFisco, procRef to GRC</t>
  </si>
  <si>
    <t>Change documents for nota fiscal import document information</t>
  </si>
  <si>
    <t>CT-e: Nota Técnica 2013/002, 004 and 005</t>
  </si>
  <si>
    <t>NF-e: Storing Additional Data - outbound NF-e &amp; Reports</t>
  </si>
  <si>
    <t>NF-e: Storing Additional Data - application generated NFs</t>
  </si>
  <si>
    <t>NF-e: Storing Additional Data - Enhancement of NF Writer</t>
  </si>
  <si>
    <t>NF-e: Storing Additional Data - Obj.Services &amp; NF Writer</t>
  </si>
  <si>
    <t>NF-e: Storing Additional Data - BAdI, derived fields, texts</t>
  </si>
  <si>
    <t>MIRO: Partners wrongly sent to the Nota Fiscal</t>
  </si>
  <si>
    <t>ERP-SRM: ERP Changes to enable BR flds @ ContractReplication</t>
  </si>
  <si>
    <t>ERP-SRM: ERP Changes to enable BR fields @ RFQ Request Suite</t>
  </si>
  <si>
    <t>ERP-SRM: ERP Changes to enable BR fields @ Purch.Contract</t>
  </si>
  <si>
    <t>ERP-SRM: Generic ERP Changes to enable BR fields</t>
  </si>
  <si>
    <t>ERP-SRM: ERP Changes to enable BR fields @ Purch.Request</t>
  </si>
  <si>
    <t>ERP-SRM: ERP Changes to enable BR fields @ Purchase Order</t>
  </si>
  <si>
    <t>Nota Fiscal Writer changes</t>
  </si>
  <si>
    <t>MM Pricing: Tax values not cleared after tax code change</t>
  </si>
  <si>
    <t>MR8M: it is not possible to cancel a credit memo</t>
  </si>
  <si>
    <t>MIRO: Division by zero when using last purchase price</t>
  </si>
  <si>
    <t>Material Origin: update to screen group in PO and RFQ.</t>
  </si>
  <si>
    <t>Last Purchase Price is not considered for excluded base</t>
  </si>
  <si>
    <t>MIRO: Invoice Reference is lost</t>
  </si>
  <si>
    <t>Mat. Orig field editable on NF created from logistic process</t>
  </si>
  <si>
    <t>MIRO:different reference for NF header and NF item on return</t>
  </si>
  <si>
    <t>Material Origin: disable edition when using split val. in PO</t>
  </si>
  <si>
    <t>Sending JR: it is not possible to update NF via MIRO</t>
  </si>
  <si>
    <t>System is not validating J_1BAL values when saving MIRO</t>
  </si>
  <si>
    <t>PAUTA: system is not considering the order unit of PO's item</t>
  </si>
  <si>
    <t>MBSU: Wrong nota fiscal values in a STO return</t>
  </si>
  <si>
    <t>Error recording EKPO-KZWI4 in Pricing Procedure(Change)</t>
  </si>
  <si>
    <t>Material origin: Enhancements to NF Writer</t>
  </si>
  <si>
    <t>Localization of the Purchase Requisition for Brazil</t>
  </si>
  <si>
    <t>IPI tax line missing on nota fiscal in exempt situation</t>
  </si>
  <si>
    <t>RFFOBR_DDA: Incorrect error message is updated</t>
  </si>
  <si>
    <t>Brazil: Itau and Febraban segment J-52 Legal change</t>
  </si>
  <si>
    <t>AJUSTE SINIEF 15/2013 - Updates to Material Origin Code</t>
  </si>
  <si>
    <t>Change CNAE and SUFRAMA Field type</t>
  </si>
  <si>
    <t>Material Origin: Return of stock transfer</t>
  </si>
  <si>
    <t>Master Data - DDics</t>
  </si>
  <si>
    <t>Material Origin: update J_1B_SD_MAT_IPI_STATUS_GET for CRM</t>
  </si>
  <si>
    <t>TMF New Packages and Switches: continuation</t>
  </si>
  <si>
    <t>Tax Determination - DDic creation</t>
  </si>
  <si>
    <t>Tax Determination - BADI Creation</t>
  </si>
  <si>
    <t>AJUSTE SINIEF 02/13 - Update descriptions: domain J_1BMATORG</t>
  </si>
  <si>
    <t>Dif. between Miro and NF using BAPI_INCOMING_INVOICE_CREATE</t>
  </si>
  <si>
    <t>TDF: Release of First Objects</t>
  </si>
  <si>
    <t>Tax Determination - Code</t>
  </si>
  <si>
    <t>Master Data - Screen</t>
  </si>
  <si>
    <t>AR WS RG2485:J_1ACAE table is not updated for acc. documents</t>
  </si>
  <si>
    <t>AR WS RG2904: Not updating observations in J_1A_WS_REJ table</t>
  </si>
  <si>
    <t>AR WS Rg2485: Taxes not populated correctly in request XML</t>
  </si>
  <si>
    <t>AR WS RG2758: Unable to process documents in background</t>
  </si>
  <si>
    <t>AR WS RG2904: Unable to process credit and debit memo</t>
  </si>
  <si>
    <t>AR WS RG2485:Archiving Solution for request and response XML</t>
  </si>
  <si>
    <t>AR WS RG2904: Documents rejected when BOM items are invoiced</t>
  </si>
  <si>
    <t>AR WS RG2904: Update log if FI doc reference is not initial</t>
  </si>
  <si>
    <t>AR WS RG2904:Check on tax and document amounts</t>
  </si>
  <si>
    <t>J_1AF317: Quantity of VAT rates is reported wrongly.</t>
  </si>
  <si>
    <t>XX-CSC-AR-FI</t>
  </si>
  <si>
    <t>Argentina: General Resolution 1817/2005</t>
  </si>
  <si>
    <t>Argentina: General Resolution 615/1999</t>
  </si>
  <si>
    <t>J_1AF205: Corrections to issues of tax exemption and ODN.</t>
  </si>
  <si>
    <t>J_1AF016 Downpayment with multiple line not working</t>
  </si>
  <si>
    <t>J_1AF1547: Payment method is not getting displayed</t>
  </si>
  <si>
    <t>Logging on to common DChan/division fails</t>
  </si>
  <si>
    <t>WCEM / IPC Integration ERP</t>
  </si>
  <si>
    <t>WEC Sales Applicatio</t>
  </si>
  <si>
    <t>Common Sales Area: Missing S_RFC COM_CRM_TVKOS_READ_ALL</t>
  </si>
  <si>
    <t>Not possible to specify output type for invoice printing</t>
  </si>
  <si>
    <t>SU22: S_RFC for Technical user</t>
  </si>
  <si>
    <t>Remove SU22 proposals for packages</t>
  </si>
  <si>
    <t>Web Channel Invoice PDF Output Development</t>
  </si>
  <si>
    <t>ERP Auth Test: No RFC auth for ERP_WEC_GET_INVOICE_AS_PDF</t>
  </si>
  <si>
    <t>New field in the table VWPANLA</t>
  </si>
  <si>
    <t>Billing document created even if Pricing proc not maintained</t>
  </si>
  <si>
    <t>SD Billing: Cancellation behavior improper due to FI locking</t>
  </si>
  <si>
    <t>Billing Doc generated even when Charge mapping is absent</t>
  </si>
  <si>
    <t>Payment terms not copied from Vendor master to PO</t>
  </si>
  <si>
    <t>Queue ID for message transfer</t>
  </si>
  <si>
    <t>Mapping error in FEH is not captured</t>
  </si>
  <si>
    <t>Delete ERPTM_IV_DATA index table entry after PO cancelation</t>
  </si>
  <si>
    <t>Error with program TMTRQINITIALSENDING</t>
  </si>
  <si>
    <t>Dump in the report TMTRQINITIALSENDING for purchase orders</t>
  </si>
  <si>
    <t>Wrong customizing selection in report TMTRQCUSTCHECK</t>
  </si>
  <si>
    <t>Sales and Distribut.</t>
  </si>
  <si>
    <t>SV-SMB-AIO-AET-SD</t>
  </si>
  <si>
    <t>Incorrect formatting in print preview R2RRVADOR01</t>
  </si>
  <si>
    <t>Print preview in BAiO POWLs: Spool suspended</t>
  </si>
  <si>
    <t>No pricing conditions for print preview in NWBC</t>
  </si>
  <si>
    <t>IDoc BBPIV error F5814 "document type not available"</t>
  </si>
  <si>
    <t>Invoice cannot be posted due to wrong exchange rate for tax</t>
  </si>
  <si>
    <t>PR having alphanumeric numbers dumps while transferring</t>
  </si>
  <si>
    <t>Follow on note for : 1816249</t>
  </si>
  <si>
    <t>Default purchasing org is taken when SC is created from PR</t>
  </si>
  <si>
    <t>PR picks up the ECC contract instead of SRM central contract</t>
  </si>
  <si>
    <t>Incorrectly tax display for the use tax in Purchaser Order</t>
  </si>
  <si>
    <t>Budget exceeded error thrown in Contract</t>
  </si>
  <si>
    <t>ME458 error while trying to change SRM purchase order</t>
  </si>
  <si>
    <t>Returns delivery not transferred to SAP GTS  IV</t>
  </si>
  <si>
    <t>GTS: PI: R/3</t>
  </si>
  <si>
    <t>SLL-LEG-PI-R3</t>
  </si>
  <si>
    <t>GTS: Plug-In</t>
  </si>
  <si>
    <t>SLL-LEG-PI</t>
  </si>
  <si>
    <t>Global Trade Services GTS</t>
  </si>
  <si>
    <t>SLL-LEG</t>
  </si>
  <si>
    <t>Global Trade Services / Logistics Services</t>
  </si>
  <si>
    <t>SLL</t>
  </si>
  <si>
    <t>Delivery address in purchase order not updated (2)</t>
  </si>
  <si>
    <t>Abbruchmeldung V1357 nach Änderung des Wunschlieferdatums</t>
  </si>
  <si>
    <t>Schedule Line Proces</t>
  </si>
  <si>
    <t>SD-SLS-SO-SL</t>
  </si>
  <si>
    <t>Payt method/term of payt not transferred to item (SEPA INTF)</t>
  </si>
  <si>
    <t>CSFG: No requirement in APO after deleting delivery</t>
  </si>
  <si>
    <t>Customer Inquiries</t>
  </si>
  <si>
    <t>SD-SLS-QUT</t>
  </si>
  <si>
    <t>Completion rule not read with MNTGA = 0</t>
  </si>
  <si>
    <t>Deletion of the order quantity when manually changing BOM</t>
  </si>
  <si>
    <t>Document flow: Reference value converted incorrectly</t>
  </si>
  <si>
    <t>Serviceauftrag im Belegfluss mit falschem Datum</t>
  </si>
  <si>
    <t>Authorization check in VF05 transactions</t>
  </si>
  <si>
    <t>Fehlendes Pop Up 'Alternativenauswahl Stücklisten'</t>
  </si>
  <si>
    <t>Fehler bei Positionsnachrichten</t>
  </si>
  <si>
    <t>Missing check of requested delivery date</t>
  </si>
  <si>
    <t>Eingetragener Funktionsbereich obwohl Sonderbestand &lt;&gt; 'E'</t>
  </si>
  <si>
    <t>Incorrect profit center for ATP function "Other plants"</t>
  </si>
  <si>
    <t>OLC Kontierung wird nicht initialisiert</t>
  </si>
  <si>
    <t>eSOA: Error when converting negative condition rates</t>
  </si>
  <si>
    <t>LORD: Feld KOWRR in Schnittstelle nicht verfügbar</t>
  </si>
  <si>
    <t>Contact persons returned for soldto party incorrectly</t>
  </si>
  <si>
    <t>Not possible to put alphanumeric value in house number field</t>
  </si>
  <si>
    <t>Ausgeblendete Merkmale können nicht gelöscht werden</t>
  </si>
  <si>
    <t>Performance LORD variant configuration</t>
  </si>
  <si>
    <t>Missing warning message VPD 002 when using LORD API</t>
  </si>
  <si>
    <t>LORD: Dump GETWA_NOT_ASSIGNED</t>
  </si>
  <si>
    <t>Characteristic for variant configuration LORD is not set</t>
  </si>
  <si>
    <t>Characteristic of subitem not set</t>
  </si>
  <si>
    <t>Hilfe-Link für VA01</t>
  </si>
  <si>
    <t>Saving invoice correction takes a long time</t>
  </si>
  <si>
    <t>Performance problem in customer cockpit.</t>
  </si>
  <si>
    <t>Incorrect currency format in customer factsheet.</t>
  </si>
  <si>
    <t>obsolete: SD SEPA Corr Improvement PDF Druck</t>
  </si>
  <si>
    <t>Using the Islamic calendar in transactions of sales</t>
  </si>
  <si>
    <t>Termination when using Islamic calendars</t>
  </si>
  <si>
    <t>CRM-IC times out when using inbox to search for sales docs</t>
  </si>
  <si>
    <t>Item Proposal</t>
  </si>
  <si>
    <t>SD-MD-MM-PPR</t>
  </si>
  <si>
    <t>Duplicated records in CDPOS, Error message CD328</t>
  </si>
  <si>
    <t>Dump SAPSQL_WHERE_PARENTHESES because of APOSTROPHE replace</t>
  </si>
  <si>
    <t>IDoc - Condition record created with incorrect Sold-to party</t>
  </si>
  <si>
    <t>Copying ctrl for condition: Plant sel. is language-dependent</t>
  </si>
  <si>
    <t>Missing input help for PRODH fields on the selection screen</t>
  </si>
  <si>
    <t>SOA: Deleting condition validity periods leads to CD 328</t>
  </si>
  <si>
    <t>Customer material info: Termination on selection screen</t>
  </si>
  <si>
    <t>Intrastat Italy: Wrong invoice value in selection log</t>
  </si>
  <si>
    <t>Intrastat: New EU country Croatia as of July 2013</t>
  </si>
  <si>
    <t>EDI/INVOIC: EU-Richtlinie über Steuerbefreiung</t>
  </si>
  <si>
    <t>EDI ORDERS: Documents generated with data from foreign IDoc</t>
  </si>
  <si>
    <t>Duplicate correction values for the revenue distribution</t>
  </si>
  <si>
    <t>Revenue Recognition: Incorrect Correction Lines</t>
  </si>
  <si>
    <t>PRCTR Änderung hat keinen Einfluss auf realisierte Erlöse</t>
  </si>
  <si>
    <t>VBREVE Update Incorrect when Item Value is Changed to 0</t>
  </si>
  <si>
    <t>Revenue distribution in correction process</t>
  </si>
  <si>
    <t>Claim settlement: Filter for product hierarchy</t>
  </si>
  <si>
    <t>Change date for final settlement not updated</t>
  </si>
  <si>
    <t>Change date for external rebate agreement not updated</t>
  </si>
  <si>
    <t>DP90 Falsche Mengeneinheit in der Lastschriftsanforderung II</t>
  </si>
  <si>
    <t>DP82: Fehlermeldung AD01 247 wird ausgegeben</t>
  </si>
  <si>
    <t>Differenzfakturen werden in VF31 nicht selektiert</t>
  </si>
  <si>
    <t>SD SEPA: Creating billing doc w/mandate not in active status</t>
  </si>
  <si>
    <t>SEPA: Incorrect payer and mandate determined</t>
  </si>
  <si>
    <t>Format in billing log is moved. Correction for korean lang.</t>
  </si>
  <si>
    <t>CSFG: Incorrect billing items after delivery split</t>
  </si>
  <si>
    <t>SAPscript - Bestellnummer des Kunden</t>
  </si>
  <si>
    <t>Rounding difference for tax in down payment process</t>
  </si>
  <si>
    <t>Scheduling archiving causes termination</t>
  </si>
  <si>
    <t>New Enhancement Point for ES_SAPMV60A</t>
  </si>
  <si>
    <t>SD-SEPA: Error when generating billing doc. (FICA Int.) INTF</t>
  </si>
  <si>
    <t>SD-SEPA: Error when generating billing doc. (FICA Int.) IMPR</t>
  </si>
  <si>
    <t>Differenzfaktura: Freigabe Buchhaltung vorherige Rechnung</t>
  </si>
  <si>
    <t>Differenzfakturaarten, obwohl Business Function aus</t>
  </si>
  <si>
    <t>SD SEPA: Error when creating a mandate with a reference</t>
  </si>
  <si>
    <t>Steuerkennzeichen externer Steuerkondition geht verloren</t>
  </si>
  <si>
    <t>Condition update: KAWRT_K is copied incorrectly</t>
  </si>
  <si>
    <t>Access to Partner Function Conversion</t>
  </si>
  <si>
    <t>Unsorted partner table XVBPA</t>
  </si>
  <si>
    <t>Mail is sent with low priority despite customizing.</t>
  </si>
  <si>
    <t>Partner based pricing getting called during GR cancellation</t>
  </si>
  <si>
    <t>Error handling in CPE_ERP_FORMULA_EVALUATION for Partners</t>
  </si>
  <si>
    <t>Zu viele Einträge bei CPE-BC-Sets für Testzwecke</t>
  </si>
  <si>
    <t>SD_VKMLOG_SHOW bricht ab mit TSV_TNEW_PAGE_ALLOC_FAILED</t>
  </si>
  <si>
    <t>Kreditlog: Löschen von Belegen wird nicht aufgezeichnet</t>
  </si>
  <si>
    <t>Dump MESSAGE_TYPE_X when recreating credit data in FD32</t>
  </si>
  <si>
    <t>Short dump in ACBD</t>
  </si>
  <si>
    <t>Wrong ATP enqueue quantities for sales order w/ reference</t>
  </si>
  <si>
    <t>v_v2:route schedule not redetermined in stock transfer order</t>
  </si>
  <si>
    <t>VA01/VA02 : Dump with TABLE_INVALID_INDEX back from RBA-STO</t>
  </si>
  <si>
    <t>Error message AG609 in CO06 due to PO with same order number</t>
  </si>
  <si>
    <t>Bad output format for report SDRQCR21</t>
  </si>
  <si>
    <t>SQL Error 1205 during ATP check</t>
  </si>
  <si>
    <t>STO:shipment dates not populated for confirmed schedule line</t>
  </si>
  <si>
    <t>Rounding is accumulated around the delivery proposal screen</t>
  </si>
  <si>
    <t>ROEMPROACT2: Correction for quota arrangement</t>
  </si>
  <si>
    <t>RSMIPROACT(2): 'List for QM Insp.Lots' is displayed twice</t>
  </si>
  <si>
    <t>RSMIPROACT2: Unnecessary error message stops the execution</t>
  </si>
  <si>
    <t>The maximum size of the SQL statement was exceeded</t>
  </si>
  <si>
    <t>Deactivated Layout Modules are considered in reinit load</t>
  </si>
  <si>
    <t>Change of EKORG for not F&amp;R relevant location transferred</t>
  </si>
  <si>
    <t>Quant. announcement for promo via BAPI_PROMO_CONFIRMREQUEST</t>
  </si>
  <si>
    <t>FRE02 is sending blank rounding profile on transp. lane</t>
  </si>
  <si>
    <t>FRE_C4: units should not be compared for null quantities</t>
  </si>
  <si>
    <t>Wrong Sales price if base unit(BUOM) differs from Sales Unit</t>
  </si>
  <si>
    <t>Parameter i_p_calling_process is not handled properly</t>
  </si>
  <si>
    <t>Tr lanes with not F&amp;R relevant articles are send to F&amp;R sys.</t>
  </si>
  <si>
    <t>FRE_C1: Wrong inconsistency for currency when sales pr. is 0</t>
  </si>
  <si>
    <t>Non-relevant loc-prod in fre_db_art_site table part 3</t>
  </si>
  <si>
    <t>Parameter WAKHD not requested via BAPI_PROMO_CONFIRMREQUEST</t>
  </si>
  <si>
    <t>Runtime error OBJECTS_WA_NOT_COMPATIBLE with TC FRE02</t>
  </si>
  <si>
    <t>No Sales price if base unit (BUOM) differs from sales unit</t>
  </si>
  <si>
    <t>FRE03: Extended error handling for RFCs</t>
  </si>
  <si>
    <t>Shipments R/3</t>
  </si>
  <si>
    <t>SCM-APO-VS-MAP-SH</t>
  </si>
  <si>
    <t>SCM-APO-VS-MAP</t>
  </si>
  <si>
    <t>Vehicle Scheduling</t>
  </si>
  <si>
    <t>SCM-APO-VS</t>
  </si>
  <si>
    <t>Reservations x-structure fields are filled incorrectly</t>
  </si>
  <si>
    <t>Manual Reservation</t>
  </si>
  <si>
    <t>SCM-APO-INT-STK-RS</t>
  </si>
  <si>
    <t>EDQA: stock transfer at ERP leads to doubled stock at SCM</t>
  </si>
  <si>
    <t>SCM-APO-INT-STK</t>
  </si>
  <si>
    <t>Database table CIFSLSMAP access performance improvement</t>
  </si>
  <si>
    <t>CIF Postprocessing: multiple VMI orders created in ERP</t>
  </si>
  <si>
    <t>/SAPAPO/SDRQCR21 wrong material availability inconsistency</t>
  </si>
  <si>
    <t>CSFG: queue in error Command to tRFC/qRFC: Execute LUW again</t>
  </si>
  <si>
    <t>PORet is incorrectly reduced in APO after delivery</t>
  </si>
  <si>
    <t>Wrong account assignment for PReq/PO after key completion</t>
  </si>
  <si>
    <t>Report RGUIDDEL does not delete all types of orders</t>
  </si>
  <si>
    <t>Distribution key doesn't work</t>
  </si>
  <si>
    <t>MRP-DS: Components are wrongly ciffed to APO.</t>
  </si>
  <si>
    <t>MRP DS: ABAP runtime error DYNPRO_SEND_IN_BACKGROUND</t>
  </si>
  <si>
    <t>R/3-&gt;APO: Incorrect ATP category for dependent reservations.</t>
  </si>
  <si>
    <t>MRPDS:LiveCache error thrown for two modes with same MODE_NO</t>
  </si>
  <si>
    <t>Resource</t>
  </si>
  <si>
    <t>SCM-APO-INT-MD-RE</t>
  </si>
  <si>
    <t>Material at VMI Customer location is flagged for deletion</t>
  </si>
  <si>
    <t>INT-PDS: Fehler /SAPAPO/CURTO 027</t>
  </si>
  <si>
    <t>INT-PDS: Kein Änderungszeiger für Lohnbearbeiter-PDS</t>
  </si>
  <si>
    <t>Visibility cl_curto_pds_changed=&gt;create_change_pointer wrong</t>
  </si>
  <si>
    <t>INT-PDS: PDS ohne Fertigungsversion kann übertragen werden</t>
  </si>
  <si>
    <t>INT-PDS: Keine automatische Löschung nach Stammdatenlöschung</t>
  </si>
  <si>
    <t>PDS change pointer generation does not happen in background</t>
  </si>
  <si>
    <t>INT-PDS: No deletion of BOMs with deletion indicator</t>
  </si>
  <si>
    <t>INT-PDS: Change transfer sends PDS with deletion indicator</t>
  </si>
  <si>
    <t>INT-PDS: Performance of include LCAROF01, SORT COMP_TAB slow</t>
  </si>
  <si>
    <t>Dump CONVT_NO_NUMBER in report CURTO_EXPLAIN</t>
  </si>
  <si>
    <t>INT-PDS: Performance enhancement of CARO_ROUTING_READ</t>
  </si>
  <si>
    <t>INT-PDS: Invalid change numbers create duplicated operations</t>
  </si>
  <si>
    <t>Change of classification not updated in integrated scenario</t>
  </si>
  <si>
    <t>Dump CONNE_IMPORT_WRONG_STRUCTURE at CIF transactions</t>
  </si>
  <si>
    <t>SAPSQL_ARRAY_INSERT_DUPREC for observer update</t>
  </si>
  <si>
    <t>Variant Configuratio</t>
  </si>
  <si>
    <t>SCM-APO-INT-CON-VC</t>
  </si>
  <si>
    <t>Characteristic values lost after order conversion</t>
  </si>
  <si>
    <t>Inspection Lots</t>
  </si>
  <si>
    <t>SCM-APO-INT-CCR-QM</t>
  </si>
  <si>
    <t>In-House Production</t>
  </si>
  <si>
    <t>SCM-APO-INT-CCR-IP</t>
  </si>
  <si>
    <t>Subcontracting components requirements check (R/3 part)</t>
  </si>
  <si>
    <t>Deltareport: Performance issue for scheduling agreeememts</t>
  </si>
  <si>
    <t>IM activation does not transfer master data changes</t>
  </si>
  <si>
    <t>MMRP_CIF_PLAN_FILE_INBOUND not yet in queue display at ERP</t>
  </si>
  <si>
    <t>CFC6: Message XC230 for FM CIF_IPRT_SEND, object T_IPRT</t>
  </si>
  <si>
    <t>CIF: Transaction for report RIMODINI</t>
  </si>
  <si>
    <t>MFBF: Backflushing doesn't reduce earliest time planned orde</t>
  </si>
  <si>
    <t>Settlement unit itemization: Error for archived document</t>
  </si>
  <si>
    <t>Conditions incorrect after transfer from rental object</t>
  </si>
  <si>
    <t>Enhancement for ledger-group-specific clearing</t>
  </si>
  <si>
    <t>FO24: SEPA fields in incoming payments display</t>
  </si>
  <si>
    <t>Alternative capping</t>
  </si>
  <si>
    <t>Result set of SQL SELECT statement may not be sorted</t>
  </si>
  <si>
    <t>Renewal of Real Estate general contracts: Inactive contracts</t>
  </si>
  <si>
    <t>Abrechnungseinheit: Statusvorgang 'RMWL' ist nicht erlaubt</t>
  </si>
  <si>
    <t>Service Charge Sett.</t>
  </si>
  <si>
    <t>RE-FX-SC</t>
  </si>
  <si>
    <t>REISCOLIBDN: Enhancement of line item reporting w/ SAP HANA</t>
  </si>
  <si>
    <t>QM10: Error I0 139 for SAP enhancement QQMA0002</t>
  </si>
  <si>
    <t>Probleme bei Neuanlage von Meldungen aus Actionbox</t>
  </si>
  <si>
    <t>Maßnahme kann trotz Anwenderstatus gelöscht werden</t>
  </si>
  <si>
    <t>SHR1: Quality notifications not found, QMEL-CROBJTY is blank</t>
  </si>
  <si>
    <t>QA11: QEVA0001 cannot be used with decentralized WM</t>
  </si>
  <si>
    <t>Fehler PC004 bei Anzeige Qualitätsregelkarte</t>
  </si>
  <si>
    <t>QE51N: Quantity proposal for order split</t>
  </si>
  <si>
    <t>QE51N: Message BM 305 when confirming repetitive mfg</t>
  </si>
  <si>
    <t>QE51N: Serial number initialized after formula calculation</t>
  </si>
  <si>
    <t>Results recording: Invalid attribute value is applied</t>
  </si>
  <si>
    <t>QI07: Inspection lots for returns items in the order</t>
  </si>
  <si>
    <t>External order number is not available</t>
  </si>
  <si>
    <t>Appraisal Costs</t>
  </si>
  <si>
    <t>QM-IM-IC</t>
  </si>
  <si>
    <t>Additional fields not updated when changing actual lot qty</t>
  </si>
  <si>
    <t>Insp. lot for insp. document blocked - no automatic restart</t>
  </si>
  <si>
    <t>Missing short text for characteristic</t>
  </si>
  <si>
    <t>IDOC QCERT and Adobe forms</t>
  </si>
  <si>
    <t>Certificate w/ prod. chain: Cancellation not taken into acct</t>
  </si>
  <si>
    <t>Changes to the certificate profile are not saved</t>
  </si>
  <si>
    <t>PO Number not in table /SAPPSPRO/EADD</t>
  </si>
  <si>
    <t>FBRA: Clearing reset does not work</t>
  </si>
  <si>
    <t>Enhance BSEG, FMIFIIT with FM reference document (FI part)</t>
  </si>
  <si>
    <t>Material Reservation not updated in FM with FMRESV_EF_CREATE</t>
  </si>
  <si>
    <t>FM to Order online assignment doesn't check if PSM is active</t>
  </si>
  <si>
    <t>Funded program changed on Service PO with MAA</t>
  </si>
  <si>
    <t>FMZZ - Performance improvement SAP_APPL</t>
  </si>
  <si>
    <t>FMRE: Keine Transportaufzeichnung für V_FMRE_MM_CATASS</t>
  </si>
  <si>
    <t>FMRE: Incorrect reduction records in automatic revaluation</t>
  </si>
  <si>
    <t>Eror M8496 -&gt; FMEF004 during MIR4 and MIR6</t>
  </si>
  <si>
    <t>The field rebzg is cleared during autoDPC posting for GR</t>
  </si>
  <si>
    <t>Automat. down payment clearing: Error FF805</t>
  </si>
  <si>
    <t>Improvements on Automatic Downpayment Clearing (PO ref)</t>
  </si>
  <si>
    <t>Performance of processing internal table T_PBO</t>
  </si>
  <si>
    <t>Unerwartete Fehlermeldung BP837 bei Prüfung auf Einnahmen</t>
  </si>
  <si>
    <t>Budgeting and Availability Control</t>
  </si>
  <si>
    <t>Zero-balance OIM lines: Follow-on doc. posted at parking</t>
  </si>
  <si>
    <t>Zero-balance OIM lines: Wrong amount posted</t>
  </si>
  <si>
    <t>Activation check for PSM_GEN_BUDPER_1</t>
  </si>
  <si>
    <t>MIR7: Reason for Late Payment Value (PENRC) not being saved</t>
  </si>
  <si>
    <t>Federal Government Functions</t>
  </si>
  <si>
    <t>OIM Document is not created when posting a parked document</t>
  </si>
  <si>
    <t>CJ20n: F4 help on WBS user fields.</t>
  </si>
  <si>
    <t>Calculation Type reset to manual in planning board</t>
  </si>
  <si>
    <t>Activity element gets scheduled when in TECO state</t>
  </si>
  <si>
    <t>CJ20n: Information popup CJ754 while releasing WBS element</t>
  </si>
  <si>
    <t>CJ20n: PS texts missing in activities</t>
  </si>
  <si>
    <t>Unit of measure for duration not accepting external values</t>
  </si>
  <si>
    <t>CJ20N: Dump GETWA_NOT_ASSIGNED on project copy</t>
  </si>
  <si>
    <t>CJ20N: Abort message KI112 when creating new WBS</t>
  </si>
  <si>
    <t>PSESOA:Timeout in collective udate and update check services</t>
  </si>
  <si>
    <t>Subnetwork assignment of an activity changes its control key</t>
  </si>
  <si>
    <t>Record in STXH table created for project without longtext</t>
  </si>
  <si>
    <t>Hierarchy position of milestones and networks are wrong</t>
  </si>
  <si>
    <t>CJV4: PReq item text not copied when version to operative</t>
  </si>
  <si>
    <t>Selects in KFPRC_FIXED_PRICE_CHECK although table is empty</t>
  </si>
  <si>
    <t>Subprojects</t>
  </si>
  <si>
    <t>PS-REV-TRF</t>
  </si>
  <si>
    <t>DP96: Incorrect error message in error log</t>
  </si>
  <si>
    <t>CNPAWB : Remaining Work to be displayed insted of Frcst Work</t>
  </si>
  <si>
    <t>OCI: Collective PR indicator for components from catalog.</t>
  </si>
  <si>
    <t>CN33 : Manual allocation displays incorrect materials</t>
  </si>
  <si>
    <t>Text of tab 'Customer fields' is not displayed in login lang</t>
  </si>
  <si>
    <t>CN33: Group BOM exploded when no corresponding plant assignd</t>
  </si>
  <si>
    <t>CN33 : Reexploding BOM creates the same component repeatedly</t>
  </si>
  <si>
    <t>CN41: Excel; wrong headers for PROKSTPLAN_OC/PROKSTPLN2_OC</t>
  </si>
  <si>
    <t>PeriodBreakdown: wrong aggregation with different UoMs</t>
  </si>
  <si>
    <t>Falscher Kurztext im Meilenstein in mehrsprach. Projekt</t>
  </si>
  <si>
    <t>CN41: aggregation wrong in object currency</t>
  </si>
  <si>
    <t>PSIS: Missing authorization-check against export data</t>
  </si>
  <si>
    <t>CNXXN: Row select button is missing, if col optimization = X</t>
  </si>
  <si>
    <t>WBS description no longer shown in the navigation</t>
  </si>
  <si>
    <t>Cost elem. groups</t>
  </si>
  <si>
    <t>PS-IS-ACC-CEL</t>
  </si>
  <si>
    <t>Profit center text wrong in the hierarchy of RW/RP reports</t>
  </si>
  <si>
    <t>CJEN/OAA: operations w/o WBS assignment taken into account</t>
  </si>
  <si>
    <t>Long runtime in PSRE_AUTH_CHECK_OBJ_KSTAR</t>
  </si>
  <si>
    <t>CJR2: Kurztext von Objekten nicht sprachabhängig angezeigt</t>
  </si>
  <si>
    <t>CJ20N: Kein Easy Cost Planning Dialogfenster beim Kopieren</t>
  </si>
  <si>
    <t>Partial update when using module KBPP_EXTERN_UPDATE_CO</t>
  </si>
  <si>
    <t>CLM2: Meldung durch Partnertypwechsel gesperrt</t>
  </si>
  <si>
    <t>CLM10: Sortierung nach PSP-Element funktioniert nicht</t>
  </si>
  <si>
    <t>OPH4: Werte aus Bestellungen werden nicht nachgebucht</t>
  </si>
  <si>
    <t>DRPS: Error during program generation</t>
  </si>
  <si>
    <t>Fehler beim Anlegen der Produktgruppe</t>
  </si>
  <si>
    <t>Collective conversion: Planned order with incorrect quantity</t>
  </si>
  <si>
    <t>Rahmenvertrag kann nicht gelöscht werden</t>
  </si>
  <si>
    <t>Montageauftrag Auftragsnetz: Abrechnungsvorschrift</t>
  </si>
  <si>
    <t>MRPDS: BAPI_MATERIAL_PLANNING locks sales order</t>
  </si>
  <si>
    <t>Change header quantity: Termination "Division by zero"</t>
  </si>
  <si>
    <t>Fortschreibung Reservierungsdaten bei Fehler im WM</t>
  </si>
  <si>
    <t>No batch input data for screen APLCPSL 2120</t>
  </si>
  <si>
    <t>Dump while posting document links after reading master data</t>
  </si>
  <si>
    <t>COOIS/COOISPI: Several issues on Production List</t>
  </si>
  <si>
    <t>CO04N Schlechter Druck mit Auftragsnetzen</t>
  </si>
  <si>
    <t>WIP-Charge Detailbild: Leistungen gehen verloren</t>
  </si>
  <si>
    <t>WIP-Charge anlegen: Kundenauftragsposition fehlt</t>
  </si>
  <si>
    <t>Components missing in shop floor paper.</t>
  </si>
  <si>
    <t>OCM: Deletion of component allowed despite WM staging</t>
  </si>
  <si>
    <t>MSEG-VBELP_IM is wrongly updated with BOM item number</t>
  </si>
  <si>
    <t>BAPI Vorschlag Rückmeldedaten: NO_MORE_GR</t>
  </si>
  <si>
    <t>Valuation type during picking in background</t>
  </si>
  <si>
    <t>In der Rückmeldung wird Fehlermeldung RU 30/RU 89 ausgelöst</t>
  </si>
  <si>
    <t>Anzulegende Prüfmerkmale: Keine Nachricht</t>
  </si>
  <si>
    <t>Postprocessing: Message RU 255</t>
  </si>
  <si>
    <t>CO12/BAPI: Incorrect operation confirmation status .</t>
  </si>
  <si>
    <t>Wrong confirmation in sales order after collective ATP check</t>
  </si>
  <si>
    <t>Auftragssplitt: Setzen Retrogradkennzeichen</t>
  </si>
  <si>
    <t>Long text for order is displayed in incorrect position</t>
  </si>
  <si>
    <t>PP-SFC-ADB-PRN</t>
  </si>
  <si>
    <t>Adobe Document Services in Production Orders</t>
  </si>
  <si>
    <t>PP-SFC-ADB</t>
  </si>
  <si>
    <t>Process Instructions not copied while converting plnd order</t>
  </si>
  <si>
    <t>MF50: Unit of measure in list of MRP elements</t>
  </si>
  <si>
    <t>Quantities too high for batch-specific stock</t>
  </si>
  <si>
    <t>RMPU311 beim Bereitstellen von EWM-Kommissionierteile</t>
  </si>
  <si>
    <t>Incorrect quantities with batch-specific consignment stock</t>
  </si>
  <si>
    <t>MFBF: MSEG-VBELP_IM wrongly updated with BOM item number</t>
  </si>
  <si>
    <t>EWM-REM: HU status "Physically Exists" is not set</t>
  </si>
  <si>
    <t>MF42(N): Ausschußmenge wird nicht fortgeschrieben</t>
  </si>
  <si>
    <t>IMG Node - HeaterTreater Configuration and TreaterMechanism</t>
  </si>
  <si>
    <t>Measurement point selection is based on network</t>
  </si>
  <si>
    <t>Measurement System</t>
  </si>
  <si>
    <t>PP-PN-MES</t>
  </si>
  <si>
    <t>Non-adjustable flag quantity calculation is worng</t>
  </si>
  <si>
    <t>Well test standardized value dates are calculated wrong</t>
  </si>
  <si>
    <t>Simulation id not considered on well completion estimation</t>
  </si>
  <si>
    <t>Dependent material results are not being fetched</t>
  </si>
  <si>
    <t>Original quantity for non-well completions is shown as 0</t>
  </si>
  <si>
    <t>Wrong quantity on pushing values from up well completion</t>
  </si>
  <si>
    <t>Downtimes are not considered for weighted average test</t>
  </si>
  <si>
    <t>FIT W2: Blank row allowed in new medium customizing</t>
  </si>
  <si>
    <t>No automatic goods receipt for co-products</t>
  </si>
  <si>
    <t>COR2: Reading master data permitted although balance &lt;&gt; 0</t>
  </si>
  <si>
    <t>Basic finish date lies before basic start date</t>
  </si>
  <si>
    <t>No deletion of XStep-based PI Sheets during order deletion</t>
  </si>
  <si>
    <t>CO60: Text output truncated in ABAP List-Based PI Sheet</t>
  </si>
  <si>
    <t>ABAP List PI Sheet</t>
  </si>
  <si>
    <t>PP-PI-PMA-MGT</t>
  </si>
  <si>
    <t>NWBC Transaction Data Confirmation Post Button Greyed Out</t>
  </si>
  <si>
    <t>Shortdump in MRP-Run SAPSQL_PARSE_ERROR</t>
  </si>
  <si>
    <t>Incorrect language key on purchase requisition</t>
  </si>
  <si>
    <t>Parameter effectivity missing for manually added component</t>
  </si>
  <si>
    <t>MD4C: The date 00.00.0000 is not convertible II</t>
  </si>
  <si>
    <t>Scrap calculation incorrect during partial conversion</t>
  </si>
  <si>
    <t>Order report for PIR shows no receipt elements II</t>
  </si>
  <si>
    <t>MD04: Incorrect exception message 20 for reorder point</t>
  </si>
  <si>
    <t>MD4C: Short dump when switching to MD04 from material master</t>
  </si>
  <si>
    <t>RMMD06NEW: mrp-area is incorrectly set on switching material</t>
  </si>
  <si>
    <t>EX_COL_DEC1_CONTENT/EX_COL_DEC2_CONTENT left-justified</t>
  </si>
  <si>
    <t>OPPR: Bezeichnung für "Schüttgutpositionen nicht auflösen"</t>
  </si>
  <si>
    <t>MD06: Subcontracted materials not shown in collective access</t>
  </si>
  <si>
    <t>MD04: Return order item is truncated</t>
  </si>
  <si>
    <t>Texts are too short for translation</t>
  </si>
  <si>
    <t>MD4C : Rescheduling date is incorrectly shown</t>
  </si>
  <si>
    <t>Safety stock is set to zero</t>
  </si>
  <si>
    <t>MS07: Error MD004 raised incorrectly for the plant/scenario</t>
  </si>
  <si>
    <t>MD73/MD63: incorrect consumption allocation displayed</t>
  </si>
  <si>
    <t>VL02N dumps if period indicator is K in material master</t>
  </si>
  <si>
    <t>DRF-Filterstrukturen sind nicht erweiterbar</t>
  </si>
  <si>
    <t>Arbeitsplan: gelöschte Fertigungshilfsmittel werden verteilt</t>
  </si>
  <si>
    <t>Runtime error during distribution of materials using DRF</t>
  </si>
  <si>
    <t>Production orders are distributed unintentionally</t>
  </si>
  <si>
    <t>Enable maintenance of ME resource type in ERP</t>
  </si>
  <si>
    <t>Update termination CO_MES_INT003 for production orders</t>
  </si>
  <si>
    <t>Linking individual capacities and equipment</t>
  </si>
  <si>
    <t>Confirmation from ME system: Reservation update</t>
  </si>
  <si>
    <t>PK50/PK17/PK18: Material Description is incorrect</t>
  </si>
  <si>
    <t>PK13N: Unable to save the Plant field using user setting</t>
  </si>
  <si>
    <t>Error M7264 is issued on changing the kanban status</t>
  </si>
  <si>
    <t>BAPI_KANBAN_CHANGESTATUS1: Error information is missing</t>
  </si>
  <si>
    <t>PK17: Control cycle printing using custom print funtion</t>
  </si>
  <si>
    <t>PKMC: Error PK301 displayed incorrectly</t>
  </si>
  <si>
    <t>PK22: Unable to post withdrawal for multiple control cycles</t>
  </si>
  <si>
    <t>PK31: incorrect kanban quantity used on repeat status change</t>
  </si>
  <si>
    <t>VL31N: Kanban status incorrect on creation of delivery - 2</t>
  </si>
  <si>
    <t>PKMC: Dump on using mass processing to create control cycles</t>
  </si>
  <si>
    <t>Single JIT call number incorrectly assigned to two kanbans</t>
  </si>
  <si>
    <t>PJNA: fields Proc.date &amp; Prc.time are not populated</t>
  </si>
  <si>
    <t>CM25 : Serial Number not saved after saving production order</t>
  </si>
  <si>
    <t>CM01: Timeout error with WBS element</t>
  </si>
  <si>
    <t>Unsorted table for BINARY SEARCH</t>
  </si>
  <si>
    <t>CA01/CA02/CA03: Custom Enhancement Spot not called</t>
  </si>
  <si>
    <t>Functionality note-Viewer Integration in CDESK-DMU viewing</t>
  </si>
  <si>
    <t>Interface note for CDESK-DMU Viewing improvements : ATS+2</t>
  </si>
  <si>
    <t>VE Viewer Integration with CDESK (DMU)</t>
  </si>
  <si>
    <t>TR CO01 : PRT is not copied when there is a group allocation</t>
  </si>
  <si>
    <t>IA12: Dump 'MESSAGE_TYPE_UNKNOWN' when changing meas. point</t>
  </si>
  <si>
    <t>PP-BD-PRT</t>
  </si>
  <si>
    <t>All long texts as of the second operation missing in PR</t>
  </si>
  <si>
    <t>IP10: keine Plankosten bei erzeugten OAA-Aufträgen</t>
  </si>
  <si>
    <t>Löschen Vorgang ohne Istkosten: Nachricht 'ERP_CO_OLC_E023'</t>
  </si>
  <si>
    <t>Creating operation, deleting &amp; creating again: Error BS 001</t>
  </si>
  <si>
    <t>Order release: Settlement rule is not transferred</t>
  </si>
  <si>
    <t>IA06: Viewing catalog for a component changes operation no</t>
  </si>
  <si>
    <t>Availability list: "Shortfall" error message</t>
  </si>
  <si>
    <t>PDF content in the archiving is incorrect</t>
  </si>
  <si>
    <t>Fehler in Defaultimpl. für BAdI EAMCC_DOCUMENT_BADI_GUI</t>
  </si>
  <si>
    <t>BAPI liefert keine Serviceauftragskopfdaten</t>
  </si>
  <si>
    <t>IW31: Purchase order number not sent to notif. from order</t>
  </si>
  <si>
    <t>EAM: Authorization check for authorization group</t>
  </si>
  <si>
    <t>Settlement rule screen shown while creating network activity</t>
  </si>
  <si>
    <t>EAM order: Unexpected call of long text editor</t>
  </si>
  <si>
    <t>IW12: Document flow does not display all SD documents</t>
  </si>
  <si>
    <t>BAdI für Dokumentensicht in IH-Auftrag/Arbeitsplan (SAPGUI)</t>
  </si>
  <si>
    <t>Vorbereitung für Hinweis 1883588 (Badi in Auftrag, SAPGUI)</t>
  </si>
  <si>
    <t>BAPI: BAPI_ALM_ORDER_GET_DETAIL notification getting locked</t>
  </si>
  <si>
    <t>EAM Auftrag:Vorlagenschlüssel wird nicht korrekt übernommen</t>
  </si>
  <si>
    <t>BAPI: Control key change for operation issues pop-up</t>
  </si>
  <si>
    <t>Short text corrupted when long text contains special char.</t>
  </si>
  <si>
    <t>EAM Order: Wrong components displayed for operation</t>
  </si>
  <si>
    <t>Ikone 'Tabellenkalkulation' zum Export nach 'Excel' falsch</t>
  </si>
  <si>
    <t>EAM Order: Entry is lost</t>
  </si>
  <si>
    <t>CO99: Termination with background processing</t>
  </si>
  <si>
    <t>Technical prerequisite for SAP Note 1869364</t>
  </si>
  <si>
    <t>Selection of spare parts in component overview</t>
  </si>
  <si>
    <t>BAPI: CAUFVD-FLG_AOB not set when order created via BAPI</t>
  </si>
  <si>
    <t>BAPI: Order creation for a notification, ends with a dump</t>
  </si>
  <si>
    <t>IW32: Dump DYNPRO_MSG_IN_HELP when 'Back' button is clicked</t>
  </si>
  <si>
    <t>Falsches Abschlussdatum in Meldung beim Abschluss via IW28</t>
  </si>
  <si>
    <t>Reaktionszeiten zu neuem Reaktionsschema nicht pflegbar</t>
  </si>
  <si>
    <t>EAM Meldung wird nicht gesichert</t>
  </si>
  <si>
    <t>GOS attachment list - You cannot display documents</t>
  </si>
  <si>
    <t>BAPI_SERVNOT_ADD_DATA: IW 477 Message not raised</t>
  </si>
  <si>
    <t>MAM: DIP profile not copied from customization with revenues</t>
  </si>
  <si>
    <t>IW38: Changes in order not transferred to list screen</t>
  </si>
  <si>
    <t>IW30: Error message IK 013 despite hidden cost columns</t>
  </si>
  <si>
    <t>Costs change when displaying cost columns</t>
  </si>
  <si>
    <t>BAPI_ALM_CONF_CREATE: Accounting indicator is not checked</t>
  </si>
  <si>
    <t>IW44: Änderungen von Ist- und Restarbeit in Vorschlagszeile</t>
  </si>
  <si>
    <t>Anzeige falscher Messpunkte zur Rundgangsplanung</t>
  </si>
  <si>
    <t>BUS2007/BUS2088: Notification attribute is not supplied</t>
  </si>
  <si>
    <t>Search Help for User Status not correct</t>
  </si>
  <si>
    <t>Vorbereitung für Hinweis 1883588 (Badi in Tasklist, SAPGUI)</t>
  </si>
  <si>
    <t>Dokumente zum Arbeitsplan mit nichtnumerischer Plangruppe</t>
  </si>
  <si>
    <t>Task List: Documents not displayed or saved</t>
  </si>
  <si>
    <t>IP19 : manual call doesn't have relevant color in graphic</t>
  </si>
  <si>
    <t>Entry list not updated when deleting measuring point</t>
  </si>
  <si>
    <t>Not able to navigate back to the original list in IE05</t>
  </si>
  <si>
    <t>IL01: linear data not available in measuring point creation</t>
  </si>
  <si>
    <t>EAMPIC</t>
  </si>
  <si>
    <t>Exception CX_COM_SE_BUSOBJ_INCONSISTENCY is not handled</t>
  </si>
  <si>
    <t>Availability of PM Side Panels</t>
  </si>
  <si>
    <t>EAMVE: BAdIs für Ersatzteilermittlung</t>
  </si>
  <si>
    <t>EAMVE: Dateiermittlung im Visual Enterprise Viewer CHIP</t>
  </si>
  <si>
    <t>BAdI method (BEFORE_SAVE) called before Save clicked</t>
  </si>
  <si>
    <t>Document</t>
  </si>
  <si>
    <t>PLM-WUI-OBJ-DMS</t>
  </si>
  <si>
    <t>Es werden zu viele Materialien gefunden</t>
  </si>
  <si>
    <t>Search</t>
  </si>
  <si>
    <t>PLM-WUI-APP-SEA</t>
  </si>
  <si>
    <t>RCA: Lange Laufzeit oder Dump bei der Synchronisierung</t>
  </si>
  <si>
    <t>Routing: EBOM Assign</t>
  </si>
  <si>
    <t>PLM-WUI-APP-RTG</t>
  </si>
  <si>
    <t>Error Message e999(re) ''UNKNOWN APPROVAL STATUS OF EF'</t>
  </si>
  <si>
    <t>Erweiterungen für SAP Direct Store Delivery in SAP_APPL</t>
  </si>
  <si>
    <t>DSD</t>
  </si>
  <si>
    <t>MOB-APP-ERP-DSD</t>
  </si>
  <si>
    <t>SAP Direct Store Delivery for ERP</t>
  </si>
  <si>
    <t>MOB-APP-ERP</t>
  </si>
  <si>
    <t>Wrong price determined in SES from PO with contract limits</t>
  </si>
  <si>
    <t>Auto Selection of Service Master during PO/PR creation</t>
  </si>
  <si>
    <t>MM-SRV-MD</t>
  </si>
  <si>
    <t>OBJECTS_OBJREF_NOTASSIGNED: dump while changing PO with IP</t>
  </si>
  <si>
    <t>Invoicing Plan</t>
  </si>
  <si>
    <t>MM-SRV-IP</t>
  </si>
  <si>
    <t>Report ME2J disply incorrect results for service PO's</t>
  </si>
  <si>
    <t>Error when inserting or changing in a sorted table</t>
  </si>
  <si>
    <t>PurchaseRequestERPSourcingRequest: Asset number not passed</t>
  </si>
  <si>
    <t>PurchaseOrderERPConfirmation_Out: SC has duplicate item link</t>
  </si>
  <si>
    <t>PR with release strategy not sent to SRM when re-released</t>
  </si>
  <si>
    <t>SRM: Statistics tab show incorrect invoiced qty/value</t>
  </si>
  <si>
    <t>BAPI_PO_CHANGE: Service with follow-on documents deleted</t>
  </si>
  <si>
    <t>BAPI: COMPUTE_BCD_OVERFLOW during Purchase order creation</t>
  </si>
  <si>
    <t>EHP6 : Update termination in BAPI_PR_CHANGE</t>
  </si>
  <si>
    <t>BAPI_PR_CHANGE: error message SE 721</t>
  </si>
  <si>
    <t>ML81N: ESKN BEKKN updated incorrectly in entry sheets</t>
  </si>
  <si>
    <t>MAA: M7 036 while posting service entry sheet</t>
  </si>
  <si>
    <t>Contract not filled during service selection</t>
  </si>
  <si>
    <t>ME21N: exception is raised for held PO</t>
  </si>
  <si>
    <t>ME22, ME42: Unwanted versions created</t>
  </si>
  <si>
    <t>Agreement texts are not saved</t>
  </si>
  <si>
    <t>Update from goods receipt incomplete</t>
  </si>
  <si>
    <t>Missing 'cancel' functionality in the MKVZ transaction.</t>
  </si>
  <si>
    <t>ME11: Incorrect Purchasing value key</t>
  </si>
  <si>
    <t>Regular vendor for multiple vendor created</t>
  </si>
  <si>
    <t>Incorrect text appears for forecasted Approvers</t>
  </si>
  <si>
    <t>Approval forecasting does not happen on cost center change</t>
  </si>
  <si>
    <t>Follow on Note to 1894415</t>
  </si>
  <si>
    <t>G/L account is ignored on adding another item in the cart</t>
  </si>
  <si>
    <t>Setting a node of a bopf model to be modified</t>
  </si>
  <si>
    <t>G/L account error comes even when the gl-account is maintain</t>
  </si>
  <si>
    <t>G/L account is ignored when subsequent item is added</t>
  </si>
  <si>
    <t>Multiple vendors in a single shopping cart</t>
  </si>
  <si>
    <t>Not able to change the delivery address functionality</t>
  </si>
  <si>
    <t>Central Contract failed to update source list in ECC</t>
  </si>
  <si>
    <t>BAPI: Unable to HOLD Purchase Requistion with errors</t>
  </si>
  <si>
    <t>BAPI_PR_CHANGE - changes relevant to serial numbers</t>
  </si>
  <si>
    <t>ME51N: Delivery date calculation in PReq</t>
  </si>
  <si>
    <t>ME57: Selection parameters for held PReqs</t>
  </si>
  <si>
    <t>Reset delete or block indicator not possible for PO from RFX</t>
  </si>
  <si>
    <t>PO item cannot be blocked after sending to RFX</t>
  </si>
  <si>
    <t>Schedule line counter incorrect after physical item delete</t>
  </si>
  <si>
    <t>Held PO with RFX reference allows change of field: Vendor</t>
  </si>
  <si>
    <t>Error MM_PRIO007 when changing storage location in PO</t>
  </si>
  <si>
    <t>Required Priority not in display mode for PO Grid display</t>
  </si>
  <si>
    <t>BAPI_PO_CHANGE: Completion of version data not possible</t>
  </si>
  <si>
    <t>RAISE_EXCEPTION when adding a new acct line to service item</t>
  </si>
  <si>
    <t>SRM PO Statistic not correct for Service items</t>
  </si>
  <si>
    <t>BAPI: Failure in schedule lines when PO item isn't correct</t>
  </si>
  <si>
    <t>Address problem when changing a PO via BAPI_PO_CHANGE</t>
  </si>
  <si>
    <t>BAPI_PO_CREATE1: Unable to save a PO with errors on HOLD</t>
  </si>
  <si>
    <t>BAPI_PO_CHANGE: no_rounding flag triggers item process</t>
  </si>
  <si>
    <t>SRM PO: Statistics tab shows incorrect invoiced qty/value</t>
  </si>
  <si>
    <t>BAPI_PO_GETDETAIL1: E 00 172 not authorized to use trx ME23N</t>
  </si>
  <si>
    <t>Error ME458 when changing PO with multiple account assign.</t>
  </si>
  <si>
    <t>System messages disappear or are issued as dialog</t>
  </si>
  <si>
    <t>BAPI: Adding serial numbers not possible</t>
  </si>
  <si>
    <t>RAISE_EXCEPTION in CL_PO_SCHEDULE_HANDLE_MM for deleted item</t>
  </si>
  <si>
    <t>BUS2012: Message CJ021 is shown as warning</t>
  </si>
  <si>
    <t>BAPI_PO_GETDETAIL1 does not return all partner information</t>
  </si>
  <si>
    <t>BAPI: Passed in value for INCOTERMS not used</t>
  </si>
  <si>
    <t>Purchase Order not marked as deleted when cancelled</t>
  </si>
  <si>
    <t>Runtime Error SYNTAX_ERROR in CL_MMPUR_CONSTANTS</t>
  </si>
  <si>
    <t>PO: Period Of Performance empty after ME21N</t>
  </si>
  <si>
    <t>Blocked PR could be coverted to PO when transferred from APO</t>
  </si>
  <si>
    <t>ATC errors in MM-PUR application</t>
  </si>
  <si>
    <t>Wrong release calc. for value contract with foreign currency</t>
  </si>
  <si>
    <t>ME25: Order without BANF can no longer be created</t>
  </si>
  <si>
    <t>CCM: header condition can not be displayed</t>
  </si>
  <si>
    <t>Unexpected error 06 384 regarding material group difference</t>
  </si>
  <si>
    <t>Change price for furture validity result in wrong item price</t>
  </si>
  <si>
    <t>Posting termination in ME_UPDATE_DOCUMENT for table EKET</t>
  </si>
  <si>
    <t>ME083 error when creating schedules for agreement without IR</t>
  </si>
  <si>
    <t>BAPI_SCHEDULE_MAINTAIN: New BOM Explosion not available</t>
  </si>
  <si>
    <t>BAPI: Advance condition in contract produces error</t>
  </si>
  <si>
    <t>Long text(s) not adopted from a vendor master into Contract</t>
  </si>
  <si>
    <t>ME84: Runtime Error RAISE_EXCEPTION</t>
  </si>
  <si>
    <t>ERS Flag incorrectly set in Purchasing document</t>
  </si>
  <si>
    <t>Change of TM control key not possible</t>
  </si>
  <si>
    <t>SAP Sourcing: Contract target value multiplied by 100</t>
  </si>
  <si>
    <t>MEK3 shows conditions for Material Group items from Sourcing</t>
  </si>
  <si>
    <t>CX_SY_REF_IS_INITIAL in SAPLMEOUT class LCL_R_LOEKZ</t>
  </si>
  <si>
    <t>Incomplete/Missing condition information on item level</t>
  </si>
  <si>
    <t>ME_PO_CONFIRM proposes wrong confirmation type</t>
  </si>
  <si>
    <t>Delivery creation no longer possible using VL10D</t>
  </si>
  <si>
    <t>V_V2 reschedules Closed stock transport requisition</t>
  </si>
  <si>
    <t>issuing location not considered with shipment scheduling</t>
  </si>
  <si>
    <t>ME22N: Incorrect scheduling after shipping point change</t>
  </si>
  <si>
    <t>Inconsistent SC req. after "Requisition Closed" removal</t>
  </si>
  <si>
    <t>Component Consumption: incorrect qty. when batch is used</t>
  </si>
  <si>
    <t>ME2ON: customizing of message ME 346 has no effect</t>
  </si>
  <si>
    <t>ME2ON: Delivery split for deliveries to subcontractor</t>
  </si>
  <si>
    <t>Delivery not created although delivery number in protocol</t>
  </si>
  <si>
    <t>ME2ON: Delivery creation/goods movement w/incorrect quantity</t>
  </si>
  <si>
    <t>Parked Purchase Order can be released</t>
  </si>
  <si>
    <t>PO release using BAPI incorrectly process output</t>
  </si>
  <si>
    <t>Syntax error in RM06ENMW</t>
  </si>
  <si>
    <t>ME2M/ME2L does not display "-" in the Deliv. Sched. view</t>
  </si>
  <si>
    <t>ME21N New pricing at GR for manual gross price PBXX</t>
  </si>
  <si>
    <t>ME21N: Change message for item that was not changed</t>
  </si>
  <si>
    <t>MEMASSCONTRACT triggers a new release strategy</t>
  </si>
  <si>
    <t>MEMASSIN: Regular vendor flag set for multiple vendors</t>
  </si>
  <si>
    <t>MAA2: ML81N runtime error GETWA_NOT_ASSIGNED</t>
  </si>
  <si>
    <t>MIRO: Incorrect exchange rate difference value in PO history</t>
  </si>
  <si>
    <t>Wrong results returned when reading Purchase Order history</t>
  </si>
  <si>
    <t>MIR6:Shortdump in progr. LEINRF2C: CX_SY_CONVERSION_OVERFLOW</t>
  </si>
  <si>
    <t>MIGO/MIRO: Exchange rate difference (ERD) calc. for GR/IR</t>
  </si>
  <si>
    <t>Invoicing plan with 99 planned account assignments</t>
  </si>
  <si>
    <t>Subsequent credit for PO with retention creates error</t>
  </si>
  <si>
    <t>Enterprise Search: ME53N PR search help returns no values</t>
  </si>
  <si>
    <t>CCM: Adding item to central contract does not update in ECC</t>
  </si>
  <si>
    <t>SRM SUS XML inbound error B1 882 for currency ISO code</t>
  </si>
  <si>
    <t>PR with non valuated material can not be sent to sourcing</t>
  </si>
  <si>
    <t>Delivery Address comments not sent to external sourcing</t>
  </si>
  <si>
    <t>Sourcing status remains on Pending for RFx create request</t>
  </si>
  <si>
    <t>OPS_SE_PUR_COMMON 001: Sourcing status not updated</t>
  </si>
  <si>
    <t>SC Components not replaced with SAP SNC data</t>
  </si>
  <si>
    <t>CCM: Error MEPO 601 during creation of call-off PO</t>
  </si>
  <si>
    <t>PurchasingContractERPConfirmation_Out not created</t>
  </si>
  <si>
    <t>FEH: Error posting subsequent messages</t>
  </si>
  <si>
    <t>CCM: statistical flag for condition type is lost in ERP PO</t>
  </si>
  <si>
    <t>SRM PO land in to held status on ECC</t>
  </si>
  <si>
    <t>Message Type ' ' unknown in SAPLMEOUT</t>
  </si>
  <si>
    <t>Incomplete conditions replicated into ERP contract</t>
  </si>
  <si>
    <t>Sourcing Request SOA could not be processed for materials</t>
  </si>
  <si>
    <t>ME 062: Acc. assig. mandatory for non-eval. material &amp; plant</t>
  </si>
  <si>
    <t>CCM: Incorrect price in PO with SRM price determination</t>
  </si>
  <si>
    <t>Partners not derived from Vendor Master record</t>
  </si>
  <si>
    <t>Change document not created for BLAORD longtext changes</t>
  </si>
  <si>
    <t>ML active check not performed when disaggregating PO in ME87</t>
  </si>
  <si>
    <t>No qRFC processing possible for message type ORDRSP</t>
  </si>
  <si>
    <t>Not possible to adjust item data in ME_MMPUR_EINM_CUST</t>
  </si>
  <si>
    <t>DELINS IDocs contains wrong data (from preceeding document)</t>
  </si>
  <si>
    <t>CPE: Update termination when saving a purchase order</t>
  </si>
  <si>
    <t>CPE condition cannot be maintained in purchasing contract</t>
  </si>
  <si>
    <t>Goods Issue processing using IDoc result in dump</t>
  </si>
  <si>
    <t>CX_SY_CONVERSION_OVERFLOW in Commitment Plan</t>
  </si>
  <si>
    <t>Incorrect update in fonds management</t>
  </si>
  <si>
    <t>MIR7: AVC error in invoice for PO with earmarked funds</t>
  </si>
  <si>
    <t>Dialog box when transferring plant from catalog</t>
  </si>
  <si>
    <t>Cascading item texts when transferring from catalog</t>
  </si>
  <si>
    <t>Download from catalog in PM giving error</t>
  </si>
  <si>
    <t>ME22N: Incorrect Schedule Line creation date</t>
  </si>
  <si>
    <t>Error message 06 450 appears incorrectly</t>
  </si>
  <si>
    <t>GOS: Services for Object icon missing</t>
  </si>
  <si>
    <t>MM_EBAN: RM06BW70 does not consider BAdI error messages</t>
  </si>
  <si>
    <t>MM_EKKO: LOEKZ set incorrectly for contracts/sched agrmts</t>
  </si>
  <si>
    <t>ARCH_PROT 110 when archiving with MM_EKKO/MM_EBAN/MM_EINA</t>
  </si>
  <si>
    <t>RM06ED70: CONVT_NO_NUMBER program termination</t>
  </si>
  <si>
    <t>MM_EKKO: NAST reports with KAPPL = EL are not deleted</t>
  </si>
  <si>
    <t>MMPUR_ARCHIVE_EBAN_PMORDER generates too many archive files</t>
  </si>
  <si>
    <t>OBSOLETE: Real-time consumption PR for non-valuated material</t>
  </si>
  <si>
    <t>Header Change text not printed in Adobe Form</t>
  </si>
  <si>
    <t>MIR6: Reason for Reversal is set incorrectly</t>
  </si>
  <si>
    <t>MIR4: Update termination ME809 when fully parking</t>
  </si>
  <si>
    <t>MIR4: Message M8 084 as error message stops posting</t>
  </si>
  <si>
    <t>MIR6: Difference fields are not filled if tax error</t>
  </si>
  <si>
    <t>MRDC: Incorrect display of accounting document number</t>
  </si>
  <si>
    <t>MRRL: M8_2205 incorrectly issued</t>
  </si>
  <si>
    <t>MIRO: Fixed condition results in incorrect difference amount</t>
  </si>
  <si>
    <t>MIRO: Error message M8 504 not in message log</t>
  </si>
  <si>
    <t>MIRO: Invoicing plan is not selected from input help</t>
  </si>
  <si>
    <t>MIRO: IBAN / SWIFT CODE for vendors with control key</t>
  </si>
  <si>
    <t>MIRO: Balance error for subsequent debit</t>
  </si>
  <si>
    <t>Ariba integration in the logistics invoice verification</t>
  </si>
  <si>
    <t>MIRO: Invoice amount with reference to blocked stock items</t>
  </si>
  <si>
    <t>MIRO: Error ME828 for blanket purchase orders</t>
  </si>
  <si>
    <t>MIRO: Runtime error CX_SY_ARITHMETIC_OVERFLOW for down payt</t>
  </si>
  <si>
    <t>MIRO: IBAN and SWIFT CODE display</t>
  </si>
  <si>
    <t>MRA1/MRA2: Log incorrect</t>
  </si>
  <si>
    <t>MIRO: Different exchange rate is ignored</t>
  </si>
  <si>
    <t>MIR4: Long runtime displaying change documents</t>
  </si>
  <si>
    <t>MIRO: Error message GLT2201 during invoice reduction</t>
  </si>
  <si>
    <t>MIRO: Customizing for additional currencies is ignored</t>
  </si>
  <si>
    <t>Currency</t>
  </si>
  <si>
    <t>MM-IV-GF-CURR</t>
  </si>
  <si>
    <t>Material ledger, termination in standard analysis</t>
  </si>
  <si>
    <t>MRN1: Termination during selection via multiple materials</t>
  </si>
  <si>
    <t>MRF1: Runtime problems during FIFO determination</t>
  </si>
  <si>
    <t>MRN3: Error M8147 for direct price change</t>
  </si>
  <si>
    <t>MRL9: Short text incorrect in the list output</t>
  </si>
  <si>
    <t>MSTQH: Missing key fields LFGJA and LFMON</t>
  </si>
  <si>
    <t>MIGO: Error message VL302 when reversing goods receipt</t>
  </si>
  <si>
    <t>SIT: Returns stock transfer with special stock indicator E/Q</t>
  </si>
  <si>
    <t>Physical inventory date check not done at the receving plant</t>
  </si>
  <si>
    <t>MB25: Runtime error SAPSQL_IN_ITAB_ILLEGAL_OPTION</t>
  </si>
  <si>
    <t>MB25: Selection by goods recipient not possible</t>
  </si>
  <si>
    <t>MB25: No short text for non-stock material in reservation</t>
  </si>
  <si>
    <t>MI31: M7120 when choosing selection options</t>
  </si>
  <si>
    <t>Subcontracting M7 387 and incorrect movement type</t>
  </si>
  <si>
    <t>MESSAGE_TYPE_X DUMP: VL 143 when cancelling rough goods rec.</t>
  </si>
  <si>
    <t>MIGO: BAdI MB_ACCOUNTING_DISTRIBUTE beim Prüfen (MAA)</t>
  </si>
  <si>
    <t>Umbuchung: Keine Initialisierung des Lagerplatzes</t>
  </si>
  <si>
    <t>Storage bin not displayed (transfer posting)</t>
  </si>
  <si>
    <t>RPODDELVRY sends also service GR's to SUS</t>
  </si>
  <si>
    <t>Follow-up to SAP Note 1898031</t>
  </si>
  <si>
    <t>Goods Movmnt. w/o Re</t>
  </si>
  <si>
    <t>MM-IM-GI-GI</t>
  </si>
  <si>
    <t>MB1A: Document without WMS data despite WMS storage location</t>
  </si>
  <si>
    <t>Dump with M7599 at GR for reservation with 503K/505K</t>
  </si>
  <si>
    <t>MIGO: Serialization procedure MMSL not defined</t>
  </si>
  <si>
    <t>MB52: Problems when displaying special stocks</t>
  </si>
  <si>
    <t>MB5K: Not possible to create a material worklist</t>
  </si>
  <si>
    <t>RM07KO01: Runtime error for split valuated material</t>
  </si>
  <si>
    <t>MB5OA: "Delivery Date" processed incorrectly</t>
  </si>
  <si>
    <t>MR51: Flat list f. selection screen added to display options</t>
  </si>
  <si>
    <t>Mb51: Display options enhanced with flat list on sel. screen</t>
  </si>
  <si>
    <t>MAA2 - Missing customer fields in GR documents</t>
  </si>
  <si>
    <t>MAA2 error when canceling MM doc with MAA or SC items</t>
  </si>
  <si>
    <t>MAA2: BAdI dispays incorrect goods receipt quantities</t>
  </si>
  <si>
    <t>MAA2: MBST sets incorrect cancellation document line</t>
  </si>
  <si>
    <t>Performance optimization of the BAPI BAPI_GOODSMVT_GETITEMS</t>
  </si>
  <si>
    <t>Dump with error M7 358 for auto items with value material</t>
  </si>
  <si>
    <t>MBSTOCKS: Incorrect correction proposal for table MSSA</t>
  </si>
  <si>
    <t>RM07APPP: Deactivating RFC functions</t>
  </si>
  <si>
    <t>MBQUANTS: Incorrect display of valuated special stocks</t>
  </si>
  <si>
    <t>GR/IR: Customizing for additional currencies is ignored</t>
  </si>
  <si>
    <t>MB21: F6039 "Commitment item &amp;1 does not exist"</t>
  </si>
  <si>
    <t>MIGO/MB01: AAPO181 for goods movement without quantity</t>
  </si>
  <si>
    <t>MB21: Manual entries in profitability segment are lost</t>
  </si>
  <si>
    <t>MIGO/BAPI/MBST: Profit center derivation incorrect</t>
  </si>
  <si>
    <t>Transfer posting matl to matl deletes batch classification</t>
  </si>
  <si>
    <t>Vendor batch and vendor not derived</t>
  </si>
  <si>
    <t>BAPI_GOODSMVT_CREATE: Runtime error CONVT_NO_NUMBER</t>
  </si>
  <si>
    <t>MIGO: Error when cancelling w/automat. down payment clearing</t>
  </si>
  <si>
    <t>Intrastat: Croatia is selected before 2013</t>
  </si>
  <si>
    <t>MDMGX: New Extraction Content for MDG-F</t>
  </si>
  <si>
    <t>MDM_CLNT_EXTR: IDocs remain in Status 30</t>
  </si>
  <si>
    <t>Loss of configuration settings</t>
  </si>
  <si>
    <t>LO-VC-SIM</t>
  </si>
  <si>
    <t>Class nodes with quantity change from object dependencies</t>
  </si>
  <si>
    <t>Changing units of measure using object dependencies</t>
  </si>
  <si>
    <t>Specialized class nodes in set processing</t>
  </si>
  <si>
    <t>Termination when changing a configuration</t>
  </si>
  <si>
    <t>Display of configuration in a planned order for IPC data</t>
  </si>
  <si>
    <t>IPC Adapter</t>
  </si>
  <si>
    <t>LO-VC-IAD</t>
  </si>
  <si>
    <t>Instancing terminates due to missing data</t>
  </si>
  <si>
    <t>Incorrect BOM components after manual change II</t>
  </si>
  <si>
    <t>Incorrect BOM component after manual change</t>
  </si>
  <si>
    <t>CU51: Termination after task list explosion</t>
  </si>
  <si>
    <t>IDOC/BAPI: Transfer of intervals</t>
  </si>
  <si>
    <t>User exit CCUCEI0H: Add values to input help</t>
  </si>
  <si>
    <t>Laufzeitfehler UNCAUGHT_EXCEPTION</t>
  </si>
  <si>
    <t>IDOC/BAPI with characteristic value SPACE III</t>
  </si>
  <si>
    <t>BAPI/Idoc: No processing of object dependencies</t>
  </si>
  <si>
    <t>AM 010 with Manual Address in Transportation Cross-Docking</t>
  </si>
  <si>
    <t>Wrong authorization check for transaction /SPE/OL19</t>
  </si>
  <si>
    <t>Function module to get CRM system from LIPS-VGBEL missing</t>
  </si>
  <si>
    <t>Dump after displaying queue container in SMQ2</t>
  </si>
  <si>
    <t>Superfluous determination of output type SPED</t>
  </si>
  <si>
    <t>Mode of transport for FT EXPVZ deleted for EWM confirmation</t>
  </si>
  <si>
    <t>Foreign trade data populated erroneously</t>
  </si>
  <si>
    <t>Final issue indicator (LIPS-KZESR) not set correctly</t>
  </si>
  <si>
    <t>VL_COMPLETE for outbound delivery: VRSLI-entries not removed</t>
  </si>
  <si>
    <t>Unchecked dly created even after a SYSFAIL in CRM outbound</t>
  </si>
  <si>
    <t>Documentary Batches not replicated to ECC Outbound Delivery</t>
  </si>
  <si>
    <t>Error message HUDIALOG112 in VL60 /BORGR</t>
  </si>
  <si>
    <t>1790720 incompletely implemented in higher releases</t>
  </si>
  <si>
    <t>Message M7022 during STO GR for inbound delivery from EWM</t>
  </si>
  <si>
    <t>Batch split replacement not working for Kit-to-stock inbound</t>
  </si>
  <si>
    <t>/SPE/IDOC_INPUT_DESADV1: Document Date not copied into dlv.</t>
  </si>
  <si>
    <t>VL636 when replacing an inbound delivery</t>
  </si>
  <si>
    <t>Full Replacement: Error message BORGR653 raised</t>
  </si>
  <si>
    <t>Duplicate delivery item for automatic goods receipt</t>
  </si>
  <si>
    <t>Header weights and volumes not transferred from EWM</t>
  </si>
  <si>
    <t>GR-queue blocked with error message BORGR527</t>
  </si>
  <si>
    <t>IBD can be created from EGR even order has deletion flag</t>
  </si>
  <si>
    <t>VL60: "Set in Yard" changed the delivery date and time</t>
  </si>
  <si>
    <t>Time stamp in VL60 displayed in incorrect time zone</t>
  </si>
  <si>
    <t>M7 037 in EWM inbound queue (SMQ2)</t>
  </si>
  <si>
    <t>POI process order upload: WM data not current</t>
  </si>
  <si>
    <t>Deleted transactions are transferred</t>
  </si>
  <si>
    <t>CC04: Manufacturer part number for equipment/funct. location</t>
  </si>
  <si>
    <t>MB01: No automatic delivery created when doing GR for items</t>
  </si>
  <si>
    <t>Multiple Procurement Distribution doesnot work automatically</t>
  </si>
  <si>
    <t>RCLEANFRET: Executing program in SE38 works incorectly.</t>
  </si>
  <si>
    <t>IE02: Error message "Internal UIIs only in IQ01 and IQ04"</t>
  </si>
  <si>
    <t>No XML created for movement types 711 or 712</t>
  </si>
  <si>
    <t>Missing IUID field checks if UII is not enabled</t>
  </si>
  <si>
    <t>Serial number can be entered multiple times</t>
  </si>
  <si>
    <t>WB21: purchase price is changed when pricing unit is changed</t>
  </si>
  <si>
    <t>Trading contract: condition record not found</t>
  </si>
  <si>
    <t>Short dump CX_SY_CONVERSION_OVERFLOW</t>
  </si>
  <si>
    <t>Family pricing: No error message for deleted info record</t>
  </si>
  <si>
    <t>Long runtimes when saving in sales price calculation</t>
  </si>
  <si>
    <t>bad performance in layout listing</t>
  </si>
  <si>
    <t>Report for adjusting listing data</t>
  </si>
  <si>
    <t>Listing: Termination when updating new listing</t>
  </si>
  <si>
    <t>WSOA1, WSOA2: No status check when adding subsidiaries</t>
  </si>
  <si>
    <t>error WM899 in RWSORT07A (TX WSMA4)</t>
  </si>
  <si>
    <t>report for creating missing article segments</t>
  </si>
  <si>
    <t>Jumping from WSPK to MM42 is not possible</t>
  </si>
  <si>
    <t>Performance improvements to assortment function module</t>
  </si>
  <si>
    <t>Poor performance when you create article segments</t>
  </si>
  <si>
    <t>The field WLK1 is not updated during listing</t>
  </si>
  <si>
    <t>ASSORTMENT_GET_ASORT_OF_USER: Performance improvement WRSZ</t>
  </si>
  <si>
    <t>WSL7: Incorrect display of material description</t>
  </si>
  <si>
    <t>Prices are not activated in transaction WAK16</t>
  </si>
  <si>
    <t>WB02 table for control parameter for MRP does not scroll</t>
  </si>
  <si>
    <t>Incorrect authorization check in transaction MM50</t>
  </si>
  <si>
    <t>MM_MATNR: Incorrect authorization check</t>
  </si>
  <si>
    <t>MM_SPSTOCK: Incorrect authorization check</t>
  </si>
  <si>
    <t>MM01 with template: warning msg. M3 349 despite initial EAN</t>
  </si>
  <si>
    <t>Planned changes for customer-specific fields in table MAKT</t>
  </si>
  <si>
    <t>MM_SPSTOCK - deletion run: no output of log messages</t>
  </si>
  <si>
    <t>MMSC: MSTA update cannot be deactivated</t>
  </si>
  <si>
    <t>Dump in class type 035 when reclassifying</t>
  </si>
  <si>
    <t>Enterprise Search Help does not index purchasing data</t>
  </si>
  <si>
    <t>Performance lack in VENDOR_MASTER_DATA_SELECT_01 and LFLR</t>
  </si>
  <si>
    <t>Search Engine: simple search with vendor name1</t>
  </si>
  <si>
    <t>Buffer mechanism for LFM2 data not working</t>
  </si>
  <si>
    <t>MKH1N does not show the full hierarchy</t>
  </si>
  <si>
    <t>CREMAS: Field LFA1-TERM_LI does not exist in SAPMF02K 0120</t>
  </si>
  <si>
    <t>IAV issues in Vendor Master Data Contact Persons</t>
  </si>
  <si>
    <t>Unchanged texts are deleted</t>
  </si>
  <si>
    <t>BP checks Authorisation Object S_TCODE with XD01, XD02...</t>
  </si>
  <si>
    <t>Incorrect contact persons address stored</t>
  </si>
  <si>
    <t>VAT registration for non EU country not checked</t>
  </si>
  <si>
    <t>Bank account deleted despite an active SEPA Mandate assigned</t>
  </si>
  <si>
    <t>XDCON : Runtime error OBJECTS_OBJREF_NOT_ASSIGNED</t>
  </si>
  <si>
    <t>Using MASS or XD99, field KNA1-XSUBT can't be cleared</t>
  </si>
  <si>
    <t>BAPI No message returned when lacking authorisations</t>
  </si>
  <si>
    <t>BP: Customer/Vendor IBAN not detected as sensitive field</t>
  </si>
  <si>
    <t>cl_erp_customer API fix following performance improvement</t>
  </si>
  <si>
    <t>Phone number truncated in contact person overview screen</t>
  </si>
  <si>
    <t>IAV: Contact Persons maintenance fail for Customers/Vendors</t>
  </si>
  <si>
    <t>Error raised while calling display transaction from program</t>
  </si>
  <si>
    <t>DEBMAS idoc type does not distribute field WRF12-KUNN2</t>
  </si>
  <si>
    <t>CS01/02 : Recursion not detected</t>
  </si>
  <si>
    <t>Can't change authorization group in BOM header via RFC.</t>
  </si>
  <si>
    <t>CS40: Performance issues</t>
  </si>
  <si>
    <t>Runtime error when entering the manual planning</t>
  </si>
  <si>
    <t>SQL error with HANA</t>
  </si>
  <si>
    <t>Error with daily period</t>
  </si>
  <si>
    <t>Message V1 045 for delivery items not relevant to risk</t>
  </si>
  <si>
    <t>Raw exposure: Changes in BAdI LOG_TRM_UPDATE_EXPOSURE_CUST</t>
  </si>
  <si>
    <t>Treasury and Risk Management Integration</t>
  </si>
  <si>
    <t>Correction of Service Groups</t>
  </si>
  <si>
    <t>One time location not sent to TM in order scheduling</t>
  </si>
  <si>
    <t>REPORT TMTRQINITIALSENDING wrong selection</t>
  </si>
  <si>
    <t>V_V2: Warning message appears incorrectly</t>
  </si>
  <si>
    <t>BADI SHP_APPL_SE_OBDLV_BULK_CRT_RQ: Incorrect typing</t>
  </si>
  <si>
    <t>VL09 fails with message HUFUNCTIONS254 for SIT delivery (2)</t>
  </si>
  <si>
    <t>PickHU of an unconfirmed transfer order can be changed</t>
  </si>
  <si>
    <t>VL60 : Dump during Reverse Quantity Posting</t>
  </si>
  <si>
    <t>HUMO freeze column option does not work</t>
  </si>
  <si>
    <t>HU supplements fields value lost during GR in ERP</t>
  </si>
  <si>
    <t>EWB: Advanced selection - texts in user fields</t>
  </si>
  <si>
    <t>Mass change of task list header data: Error OP 507</t>
  </si>
  <si>
    <t>CSCL: Intramaterial Position: Material disappears</t>
  </si>
  <si>
    <t>Changing several subitems =&gt; Message BOM210</t>
  </si>
  <si>
    <t>E359: Item category &amp; only supported in master recipes</t>
  </si>
  <si>
    <t>Performance of Read Statement on Table BOM_IDENT_W_ALT_TB</t>
  </si>
  <si>
    <t>CPCC_S_TASK_LIST_MAINTAIN: Renumbering of operations</t>
  </si>
  <si>
    <t>CCAP_REV_LEVEL_MAINTAIN: Error messages CC176 or CC131</t>
  </si>
  <si>
    <t>Dummy for PEV CMM - Rel. 618</t>
  </si>
  <si>
    <t>Period-End Valuation</t>
  </si>
  <si>
    <t>LO-CMM-PEV</t>
  </si>
  <si>
    <t>Commodity Management in Logistics</t>
  </si>
  <si>
    <t>MB56/BMBC: "Expand CO order" does not work</t>
  </si>
  <si>
    <t>MB56: Stock transport order expanded incorrectly</t>
  </si>
  <si>
    <t>MB56: Termination ITAB_DUPLICATE_KEY</t>
  </si>
  <si>
    <t>MB57: Termination CONVT_NO_NUMBER</t>
  </si>
  <si>
    <t>Batch where-used list for subcontracting</t>
  </si>
  <si>
    <t>Conversion exit input for the batch number - correction</t>
  </si>
  <si>
    <t>Conversion exit for the batch number</t>
  </si>
  <si>
    <t>MSC2N: Batch is separated</t>
  </si>
  <si>
    <t>SLIN: translate documentary batch to upper case</t>
  </si>
  <si>
    <t>Stock transport order: GR for outbound dely; copy doc. batch</t>
  </si>
  <si>
    <t>Goods movement reversal for delivery from EWM system</t>
  </si>
  <si>
    <t>Doc. batches: Subcontracting overlapping company charges</t>
  </si>
  <si>
    <t>Documentary batches: Support for stock transport orders</t>
  </si>
  <si>
    <t>Documentation batches: System requirements for STO</t>
  </si>
  <si>
    <t>Document batches after return transfer incorrect</t>
  </si>
  <si>
    <t>Converting documentary batch usage records</t>
  </si>
  <si>
    <t>BMSM: Error when creating/changing object dependencies</t>
  </si>
  <si>
    <t>Displaying batch determination: Not enough batches displayed</t>
  </si>
  <si>
    <t>VCH2 Error message VK651 by removing Quantity proposal value</t>
  </si>
  <si>
    <t>Runtime Error ASSERTION_FAILED while saving batch split item</t>
  </si>
  <si>
    <t>LO-ARM-SHP</t>
  </si>
  <si>
    <t>Button for next plant maintenance displayed with wrong color</t>
  </si>
  <si>
    <t>Protection against duplicate keys in ARM (II)</t>
  </si>
  <si>
    <t>Incorrect LFU release date and person responsible</t>
  </si>
  <si>
    <t>CX_MSR_TRC 064 issued with LFU 'Transfer to Specified Stock'</t>
  </si>
  <si>
    <t>ASSERTION_FAILED runtime error</t>
  </si>
  <si>
    <t>Returns order change triggers superfluous document creation</t>
  </si>
  <si>
    <t>Incorrect follow up document created from the inspection</t>
  </si>
  <si>
    <t>returns delivery with wrong document type</t>
  </si>
  <si>
    <t>AB: Base unit measure for material ledger not filled</t>
  </si>
  <si>
    <t>AB: Checking error in the module WLF_REGU_CHECK_AUFNRD</t>
  </si>
  <si>
    <t>AB: Document type not available in structure KOMLRK_LI</t>
  </si>
  <si>
    <t>AB: Insufficient organization data check</t>
  </si>
  <si>
    <t>Termination in IDOC editor</t>
  </si>
  <si>
    <t>Transaction WLF_IDOC</t>
  </si>
  <si>
    <t>LO-AB-IDM</t>
  </si>
  <si>
    <t>BAdIs for WLF_IDOC</t>
  </si>
  <si>
    <t>Termination when exiting an IDoc</t>
  </si>
  <si>
    <t>IDOC Monitor: Errors during selection</t>
  </si>
  <si>
    <t>AB: Balance in transaction currency on Credit Memo posting</t>
  </si>
  <si>
    <t>AB: Tax lines in agency business (part 2)</t>
  </si>
  <si>
    <t>AB: Wrong pricing type doesn't redetermine access sequence</t>
  </si>
  <si>
    <t>AB: Error handling during posting list reversal</t>
  </si>
  <si>
    <t>AB: CO-Fields for Customer are not usable (e.g. PRCTRD)</t>
  </si>
  <si>
    <t>AB: Unnecessary checks in BAPI_SETTLEMENTREQSLIST_CHANGE</t>
  </si>
  <si>
    <t>AB: Indicator: EU Triangular deal not correctly set</t>
  </si>
  <si>
    <t>AB: Text determination in manual input</t>
  </si>
  <si>
    <t>AB: Calculation schema determination</t>
  </si>
  <si>
    <t>AB: Settlement Block cannot be changed via BAPI</t>
  </si>
  <si>
    <t>AB: Error during BW delta update</t>
  </si>
  <si>
    <t>AB: Unnecessary reading of the table TMFK</t>
  </si>
  <si>
    <t>AB: Tax lines in the agency trade</t>
  </si>
  <si>
    <t>AB: Field Tax Classif. Material created in wrong structure</t>
  </si>
  <si>
    <t>Settlement type is overwritten for the remuneration list</t>
  </si>
  <si>
    <t>F5702 Error in transaction currency</t>
  </si>
  <si>
    <t>AB: WLFF Status update fails in mass processing</t>
  </si>
  <si>
    <t>AB: Orig. lang.(DE) errors in Domain WBART_FI (follow up)</t>
  </si>
  <si>
    <t>Cash discount base not filled in FI document</t>
  </si>
  <si>
    <t>AB: Invoice list conditions disappear for pricing type 'G'</t>
  </si>
  <si>
    <t>AB: BADI filter value filled incorrectly</t>
  </si>
  <si>
    <t>AB: Customer Settlement: FI document will not be created</t>
  </si>
  <si>
    <t>AB: Inactive SAVE-Button in IDOC-Processing</t>
  </si>
  <si>
    <t>AB: GetDetail Idoc customer settlement: Segment incomplete</t>
  </si>
  <si>
    <t>Update termination on remun. list: duplicate KONV records</t>
  </si>
  <si>
    <t>AB: Missing method in BADI WLF_DOCUMENT_INT</t>
  </si>
  <si>
    <t>Check for creation of payer in company code</t>
  </si>
  <si>
    <t>AB: Original language (DE) errors in Domain WBART_FI</t>
  </si>
  <si>
    <t>Unable to create FI document for expenses documents</t>
  </si>
  <si>
    <t>AB: Long runtimes for authorization check</t>
  </si>
  <si>
    <t>AB:Pricing complete changes values on Remun. List Reversal</t>
  </si>
  <si>
    <t>AB: VBD Settl. Type Mat. Adj. doesnt consider period close</t>
  </si>
  <si>
    <t>AB: Performance document creation</t>
  </si>
  <si>
    <t>Wrong cursor position when using Identification object</t>
  </si>
  <si>
    <t>Assignment is not passed on onto FI document</t>
  </si>
  <si>
    <t>AB: Texts are not taken over into the correction workbench</t>
  </si>
  <si>
    <t>AB: Error WS297 on cancellation of customer settlement</t>
  </si>
  <si>
    <t>AB: VAT ID in generation of follow-on documents (part 2)</t>
  </si>
  <si>
    <t>Agency Business - Header condition not distributed</t>
  </si>
  <si>
    <t>Agency Business fails because of document locking issue</t>
  </si>
  <si>
    <t>AB: SEPA integration</t>
  </si>
  <si>
    <t>Vendor consignment stock not picked from bulk storage</t>
  </si>
  <si>
    <t>LE-WM und EWM: Voraussetzung zur Benutzung von DAS</t>
  </si>
  <si>
    <t>Error message VW 181 while copying deadlines from deliveries</t>
  </si>
  <si>
    <t>Shipment Processing</t>
  </si>
  <si>
    <t>LE-TRA-TP-PR</t>
  </si>
  <si>
    <t>Accessing sales order in shipment processing</t>
  </si>
  <si>
    <t>Output Control</t>
  </si>
  <si>
    <t>LE-TRA-TP-OC</t>
  </si>
  <si>
    <t>EXIT_SAPLV55K_020 changing IDOC_CONTROL during Idoc process</t>
  </si>
  <si>
    <t>Update termination when shipment cost document is created</t>
  </si>
  <si>
    <t>Freight Cost Calcula</t>
  </si>
  <si>
    <t>LE-TRA-FC-CAL</t>
  </si>
  <si>
    <t>TM Shipment Int.: Output control routine 453 does not work</t>
  </si>
  <si>
    <t>STO with subcontracting: Document flow not updated in IBD</t>
  </si>
  <si>
    <t>eSOA2IDoc for shipment integration: Missing changeability</t>
  </si>
  <si>
    <t>SOA2IDoc: IDoc creation from FO is erroneous</t>
  </si>
  <si>
    <t>SOA2IDoc: Enable updates for empty Freight Orders to ERP</t>
  </si>
  <si>
    <t>SOA2IDoc: Planned transport duration incorrectly converted</t>
  </si>
  <si>
    <t>VL_COMPLETE: long run time due to superfluous outputs</t>
  </si>
  <si>
    <t>BAPI_OUTB_DELIVERY_CREATE_STO: Empties with errors</t>
  </si>
  <si>
    <t>Sales order confirmed sched. line before the requested date</t>
  </si>
  <si>
    <t>LECI: Msg 00089 'Entry too long' for allowed weight field</t>
  </si>
  <si>
    <t>Check-In</t>
  </si>
  <si>
    <t>LE-SHP-GF-CI</t>
  </si>
  <si>
    <t>VL03N: Unwanted pop-up with archived deliveries</t>
  </si>
  <si>
    <t>MB1B: error message AG004</t>
  </si>
  <si>
    <t>Manually deleted conditions are determined again</t>
  </si>
  <si>
    <t>Performance improvement FM SD_DELIVERY_ITEMS_RECEIVE</t>
  </si>
  <si>
    <t>SAPSQL_ARRAY_INSERT_DUPREC while creation of repl. delivery</t>
  </si>
  <si>
    <t>Incorrect SiT follow-on movement type with VLPOD posting</t>
  </si>
  <si>
    <t>Incorrect message text VL746 for SIT-VLPOD posting</t>
  </si>
  <si>
    <t>Incorrect inventory category for customer returns w/o WMS</t>
  </si>
  <si>
    <t>VLMOVE: not possible to enter reason code of goods movement</t>
  </si>
  <si>
    <t>Dump SAPSQL_ARRAY_INSERT_DUPREC due to dupl. inb. dely itm</t>
  </si>
  <si>
    <t>No check for eligibility of delivery additional item</t>
  </si>
  <si>
    <t>Inkonsistenz in Charge zwischen Prüflos und Anlieferung/WE</t>
  </si>
  <si>
    <t>Warenbewegungsstatus für Nullmengen in Anlieferungen</t>
  </si>
  <si>
    <t>No manufact. date with goods receipt for inbound delivery</t>
  </si>
  <si>
    <t>Func "Other Inbound Delivery" despite missing authorization</t>
  </si>
  <si>
    <t>Incorrect empties reference in inbound delivery</t>
  </si>
  <si>
    <t>IBD with subcontr. components: entry of quantity</t>
  </si>
  <si>
    <t>VL31N -Wrong delivery type determin. for "Accept. At Origin"</t>
  </si>
  <si>
    <t>Performance problem with messages in inbound deliveries</t>
  </si>
  <si>
    <t>VL10UC: wrong selection using the sold-to party criteria</t>
  </si>
  <si>
    <t>BAPI_OUTB_DELIVERY_CREATE_SLS item sequence unsorted</t>
  </si>
  <si>
    <t>VL10: Incorrect item numbering</t>
  </si>
  <si>
    <t>VL03N - Determination analysis for delivery output</t>
  </si>
  <si>
    <t>ITS screen mapping is missing in RF mobile customizing</t>
  </si>
  <si>
    <t>LM05 Getting message L3 893 when confirming a pick TO /2</t>
  </si>
  <si>
    <t>LM46 - TO for delivery not found</t>
  </si>
  <si>
    <t>Incorrect material staging indicator determined</t>
  </si>
  <si>
    <t>Change Request on consumption delivery was sent by mistake</t>
  </si>
  <si>
    <t>MEPO 043 'Please enter an order quantity' during STO update</t>
  </si>
  <si>
    <t>Lean Kit-to-Order: 'Deliver Sales Order' in VL02N</t>
  </si>
  <si>
    <t>VL 321 when creating delivery without reference</t>
  </si>
  <si>
    <t>Posting date is overwritten for quantity differences</t>
  </si>
  <si>
    <t>IO117: Inconsistent serial numbers after qty adjust. frm EWM</t>
  </si>
  <si>
    <t>SI_POD Replikation läuft endlos</t>
  </si>
  <si>
    <t>Incorrect influence of WRPP changes in the WRPL table</t>
  </si>
  <si>
    <t>Reverting changes made by Note 1861315</t>
  </si>
  <si>
    <t>Disabling Editing in Closed Stores.</t>
  </si>
  <si>
    <t>MM02: Message MA560 when executing forecast: note 1723668</t>
  </si>
  <si>
    <t>WDRD1: Recipients not correctly assigned to DC</t>
  </si>
  <si>
    <t>Value book quantity incorrect in PI document</t>
  </si>
  <si>
    <t>IS-R-LG-PI</t>
  </si>
  <si>
    <t>Me22n : Error W7 046 when trying to edit purchase order</t>
  </si>
  <si>
    <t>The area menus WBST and WVEB call each other recursively</t>
  </si>
  <si>
    <t>With MIGO error messages are not displayed for mvt 317</t>
  </si>
  <si>
    <t>Full products and tied empties in inbound delivery</t>
  </si>
  <si>
    <t>WB02: Missing message when changing region and city</t>
  </si>
  <si>
    <t>WB02: Simultaneous change of region and city code</t>
  </si>
  <si>
    <t>WR01_SAVESITEDATA module for creating sites</t>
  </si>
  <si>
    <t>Betriebe Adressbild Fehler bei Prüfung der Steuerdaten</t>
  </si>
  <si>
    <t>Erweiterung Feldlängen in Funktionsgruppen WR09 und WR11</t>
  </si>
  <si>
    <t>Customizing tables missing when you copy site</t>
  </si>
  <si>
    <t>Missing T005G-Entry during site creation</t>
  </si>
  <si>
    <t>BAPI_PROMO_CREATE: Laufzeitfehler SAPSQL_ARRAY_INSERT_DUPREC</t>
  </si>
  <si>
    <t>Incorrect data update in detail view WAK1 - Teil II</t>
  </si>
  <si>
    <t>Auslistung: Artikel werden nicht entlistet (Layout)</t>
  </si>
  <si>
    <t>alle Layoutbausteinversionen in MM42 / MM43</t>
  </si>
  <si>
    <t>Listing conditions are incorrectly deleted</t>
  </si>
  <si>
    <t>Article Grouping deletion possible though still used in BBY</t>
  </si>
  <si>
    <t>BBY message WBBY 004 not correct</t>
  </si>
  <si>
    <t>Elementary search help: Material for several classes visible</t>
  </si>
  <si>
    <t>Fehlende Knoten in der IMG</t>
  </si>
  <si>
    <t>IS - Retail</t>
  </si>
  <si>
    <t>Exchange fee option mising in MB03</t>
  </si>
  <si>
    <t>CO02 / CO03 Abbruchmeldung V0104</t>
  </si>
  <si>
    <t>Technical prerequisites for SAP Note 1870773</t>
  </si>
  <si>
    <t>IS-DFS Dummy EHP4 SP1</t>
  </si>
  <si>
    <t>Defense &amp; Security</t>
  </si>
  <si>
    <t>Technical prerequisite for note 1869209</t>
  </si>
  <si>
    <t>Technical prerequisite for note 1881096</t>
  </si>
  <si>
    <t>Technical prerequisite for Note 1871076</t>
  </si>
  <si>
    <t>M7073 MIGO für kontierte Lohnbearbeitungsbestellung</t>
  </si>
  <si>
    <t>Sharing Spare Parts</t>
  </si>
  <si>
    <t>IS-ADEC-SSP</t>
  </si>
  <si>
    <t>MD07 Material number is not displayed</t>
  </si>
  <si>
    <t>Incorrect notification completion via list transaction</t>
  </si>
  <si>
    <t>HB02: Update to Address results in err in subsequent Display</t>
  </si>
  <si>
    <t>Homebuilding</t>
  </si>
  <si>
    <t>IS-ADEC-HBS</t>
  </si>
  <si>
    <t>GPD600+: Introduce buffering in GRPG_FIND_GRPNR* functions</t>
  </si>
  <si>
    <t>Technical prerequisite for note 1904601</t>
  </si>
  <si>
    <t>Technical prerequisite for the note 1871674</t>
  </si>
  <si>
    <t>Technische Vorraussetzung für Hinweis 1857215</t>
  </si>
  <si>
    <t>IS-A-EMM</t>
  </si>
  <si>
    <t>IS-Automotive</t>
  </si>
  <si>
    <t>Sichern ohne Prüfen innerhalb IM52 (Budgetverteilung)</t>
  </si>
  <si>
    <t>IM27_REPEAT/IM27_CLOSE nachträglich für bestimmte Maßn./Anf.</t>
  </si>
  <si>
    <t>TNs IM27*: Carryforward even though budget types different</t>
  </si>
  <si>
    <t>Planning/budgeting: Incorrect values after total up</t>
  </si>
  <si>
    <t>Inconsistency after creating add. WBS elem. from appr. req.</t>
  </si>
  <si>
    <t>ECP-Kalkulation nicht änderbar</t>
  </si>
  <si>
    <t>Indic. for strat. appropriation request not taken into accnt</t>
  </si>
  <si>
    <t>Depr simu data w/ distributn &lt; 100% after creatn w/ template</t>
  </si>
  <si>
    <t>SEPA/Darlehen: IBAN fehlt im View V_FSEPA_INST_CD</t>
  </si>
  <si>
    <t>BP_CVI: Ermittlung der Kontengruppe eines Kunden/Lieferanten</t>
  </si>
  <si>
    <t>BP_CVI: Fehler beim FI SEPA Absprung aus debitorischen GPs</t>
  </si>
  <si>
    <t>BP_CVI: Address changes transferred to one SEPA mandate only</t>
  </si>
  <si>
    <t>BP_CVI: Error when creating a customer SEPA mandate</t>
  </si>
  <si>
    <t>BP_CVI: Kontonummer des abweichenden Zahlungsempfängers</t>
  </si>
  <si>
    <t>BP_CVI: Message CVIC_UI 042: Cannot change bank details</t>
  </si>
  <si>
    <t>BP_CVI: Wechseln in anderen Buchungskreis nicht möglich</t>
  </si>
  <si>
    <t>BP_CVI: Enhancing the FI SEPA integration to the BP</t>
  </si>
  <si>
    <t>TDF: Auto. Tax Code Det. MM - Change Request Implementation</t>
  </si>
  <si>
    <t>Tax Management Frame</t>
  </si>
  <si>
    <t>FIN-TMF-BR</t>
  </si>
  <si>
    <t>TDF: Auto. Tax Code Det. SD - I18N of delivered objects #2</t>
  </si>
  <si>
    <t>TDF: Automatic Tax Code Det. MM - Pre-Implement. Objects II</t>
  </si>
  <si>
    <t>BAPI Auto Tax Code Det. MM - implementation objects</t>
  </si>
  <si>
    <t>TDF: Automatic Tax Code Det. SD - Implementation Objects</t>
  </si>
  <si>
    <t>TDF: Automatic Tax Code Det. MM - Implementation Objects</t>
  </si>
  <si>
    <t>Tax Management Framework</t>
  </si>
  <si>
    <t>FIN-TMF</t>
  </si>
  <si>
    <t>Deaktivierung der Reports aus Hinweis 1893655</t>
  </si>
  <si>
    <t>ABAP Dictionary objects for SAP Note 1893542</t>
  </si>
  <si>
    <t>No change documents for free attributes and customer tab</t>
  </si>
  <si>
    <t>Short dump while executing RAEP1 - CX_SY_CONVERSION_OVERFLOW</t>
  </si>
  <si>
    <t>JBIRM: Short dump with Negative interest rate</t>
  </si>
  <si>
    <t>Abweichungen bei Devisenswapsätzen (TBD4)</t>
  </si>
  <si>
    <t>Marktdatenimport: Kurswert 0 für Wertpapiere nicht erlaubt</t>
  </si>
  <si>
    <t>Language Editing in Support Packages</t>
  </si>
  <si>
    <t>Profit center enhancement</t>
  </si>
  <si>
    <t>User exit functions error after applying note 1826731</t>
  </si>
  <si>
    <t>Error on processing SEPA &amp; non SEPA IDocs together at once</t>
  </si>
  <si>
    <t>Error when dispute cases are automatically taken off books</t>
  </si>
  <si>
    <t>Document synchronization FDM_PROCESS_BUFFER</t>
  </si>
  <si>
    <t>UDM_DISPUTE: Remove Objects</t>
  </si>
  <si>
    <t>Multi-system scenario: Performance during creation</t>
  </si>
  <si>
    <t>Forderungen bearbeiten: Doppelte Anzeige nach Belegänderung</t>
  </si>
  <si>
    <t>Process receivables: "Reference" text field is used twice</t>
  </si>
  <si>
    <t>Error: 'Process step missing' when posting FI documents</t>
  </si>
  <si>
    <t>FB08: Fehlermeldung FDM_COLLECTION056 (Sperrfehler)</t>
  </si>
  <si>
    <t>Noted items are added to amount "to be collected"</t>
  </si>
  <si>
    <t>Receivable processing: Days in arrears 99999 or -99999</t>
  </si>
  <si>
    <t>Exclude downpayment requests from collections list</t>
  </si>
  <si>
    <t>Completed purchase order in liquidity forecast</t>
  </si>
  <si>
    <t>Account Clearing: Provide IBAN</t>
  </si>
  <si>
    <t>FF73: Folgehinweis zu Hinweis 1846503</t>
  </si>
  <si>
    <t>BNK_AUDIT ohne Ergebnis</t>
  </si>
  <si>
    <t>RBNK_MERGE_RESET - P_BATNO Feldname statt Feldbezeichnung</t>
  </si>
  <si>
    <t>BNK_INI* Job terminates with error message BFIBL02 202</t>
  </si>
  <si>
    <t>SBWP: Anhang für zurückerhaltene Batches</t>
  </si>
  <si>
    <t>FTE_BSM: Serienstatus nicht korrekt</t>
  </si>
  <si>
    <t>BNK: Upload of pain.002.001.02 without PI</t>
  </si>
  <si>
    <t>CPON: Error /SAPPO/MSG 201 during postprocessing</t>
  </si>
  <si>
    <t>BNK: Error by status file upload with empty &lt;OrgnlMsgId&gt;</t>
  </si>
  <si>
    <t>BNK_APP: Batches are not available for approval</t>
  </si>
  <si>
    <t>Store payment medium in TemSe and file system II</t>
  </si>
  <si>
    <t>Correction Payer Direct with Shared Service Center</t>
  </si>
  <si>
    <t>EDX: Get last outbound PDF from archive</t>
  </si>
  <si>
    <t>EDX: Setting status "No further processing" in EDX_LIST</t>
  </si>
  <si>
    <t>EDX: Remove Physical path configuration</t>
  </si>
  <si>
    <t>EDX: Invalid Creation Date in EDX_POLL</t>
  </si>
  <si>
    <t>RPR_AIRP_LRS_TO_FI: CONVT_CODEPAGE</t>
  </si>
  <si>
    <t>New set class for company hierarchy</t>
  </si>
  <si>
    <t>FAGLGP52 - missing period allowed check</t>
  </si>
  <si>
    <t>GB01/GB11: Error message GI 516 when posting with reference</t>
  </si>
  <si>
    <t>Eingabehilfe für Rollups: keine Werteeinschränkung möglich</t>
  </si>
  <si>
    <t>GD23: Not all available ledgers are displayed in F4-help</t>
  </si>
  <si>
    <t>RW: Umstellung Datentransfer nach EIS auf Unicode</t>
  </si>
  <si>
    <t>RW: Improve performance for HANA II</t>
  </si>
  <si>
    <t>Translation tool: No automatic transport recording</t>
  </si>
  <si>
    <t>RW:Incorrect alignment of columns in HTML file export</t>
  </si>
  <si>
    <t>Enhancements for change and deletion history reports</t>
  </si>
  <si>
    <t>CCSS: No authorization check for statistical key figures</t>
  </si>
  <si>
    <t>No valid master data record found for 'Version'</t>
  </si>
  <si>
    <t>RW: Variation reports do not refresh for OI display XLSM</t>
  </si>
  <si>
    <t>No data being displayed in the report after saving extract.</t>
  </si>
  <si>
    <t>F4 input help for field VERSION in table FAGLFLEXR</t>
  </si>
  <si>
    <t>FI-SL document splitting called too often in test run</t>
  </si>
  <si>
    <t>PRCTR: Error message FAGL_REORGANIZATION008 returned</t>
  </si>
  <si>
    <t>PRCTR/SEG: Dump when generating APAR / 566 (VI)</t>
  </si>
  <si>
    <t>PRCTR/SEG: Dump when generating APAR / 566 (V)</t>
  </si>
  <si>
    <t>PRCTR/SEG: Fehlermeldung FAGL_REORGANIZATION 535</t>
  </si>
  <si>
    <t>PRCTR/SEG: Error message FAGL_REORGANIZATION 544</t>
  </si>
  <si>
    <t>PRCTR/SEG: Error message FAGL_REORGANIZATION 566 (IV)</t>
  </si>
  <si>
    <t>Reorg: Profit center in cost center cannot be changed (III)</t>
  </si>
  <si>
    <t>Object list: Assignment of fixed assets</t>
  </si>
  <si>
    <t>Reorg causes deadlock on table NRIV</t>
  </si>
  <si>
    <t>Reorganization: selection of asset</t>
  </si>
  <si>
    <t>Reorg: Profit center in cost center cannot be changed (II)</t>
  </si>
  <si>
    <t>PRCTR/SEG: General restrict. PRCTR assignment in cycles</t>
  </si>
  <si>
    <t>PRCTR: Check of transfer of billing documents (II)</t>
  </si>
  <si>
    <t>newGL mig: UC_OBJECTS_NOT_NUMLIKE by splitting</t>
  </si>
  <si>
    <t>Generation error in HDB views</t>
  </si>
  <si>
    <t>Line Item Browsers: Additional Corrections</t>
  </si>
  <si>
    <t>HDB views: Generation error after SAP Note 1886021</t>
  </si>
  <si>
    <t>Technical prerequisite for note 1028374 (2)</t>
  </si>
  <si>
    <t>SAPLBSPL: Corrections from note 1489749 missing</t>
  </si>
  <si>
    <t>Missing authorization check in FI-GL-IS</t>
  </si>
  <si>
    <t>RFBILA00/RFBILA00N: Error message FR595</t>
  </si>
  <si>
    <t>RFBNUM00N: Numbering Gaps after Specified Year</t>
  </si>
  <si>
    <t>EFS: Error 6 in program SAPLFIBS during check</t>
  </si>
  <si>
    <t>RFBILA00N: Exit FI_BILA_OUTPUT not processed</t>
  </si>
  <si>
    <t>RFSSLD00: Runtime error CX_SY_ARITHMETIC_OVERFLOW</t>
  </si>
  <si>
    <t>OBY7: runtime error SAPSQL_ARRAY_INSERT_DUPREC</t>
  </si>
  <si>
    <t>RFSOPO00/RFEPOJ00: Incomplete text displayed</t>
  </si>
  <si>
    <t>Financial Statements: Message FR595</t>
  </si>
  <si>
    <t>RFBILA10: Error Message GH102 - Correction</t>
  </si>
  <si>
    <t>OB58: Kopieren von Einträgen</t>
  </si>
  <si>
    <t>AIS: Delete TemSe Files</t>
  </si>
  <si>
    <t>Line Item Browsers: MOVE_TO_LIT_NOTALLOWED_NODATA</t>
  </si>
  <si>
    <t>Unnecessary fields in column set</t>
  </si>
  <si>
    <t>RFBILA00N: Several Problems (2)</t>
  </si>
  <si>
    <t>FAGL_ACTIVATE_OP:Msg. F5 808 value date is req.field (3)</t>
  </si>
  <si>
    <t>FBV2: XOPVW not set for GL accounts managed on an OI basis</t>
  </si>
  <si>
    <t>FI: Problems with parked documents of AWTYP BKPFF</t>
  </si>
  <si>
    <t>FB11: H2STE and H3STE not transferred to parked document</t>
  </si>
  <si>
    <t>FBV1: falsches Dynpro nach Vollständig Sichern</t>
  </si>
  <si>
    <t>FBV0: Several fields missing in asset item</t>
  </si>
  <si>
    <t>Import balance sheet/P&amp;L structure: unreadable error message</t>
  </si>
  <si>
    <t>WBS element in settlement run cannot be substituted</t>
  </si>
  <si>
    <t>Ableitung Default-Steuerkennzeichen bei ledgerspez. Buchung</t>
  </si>
  <si>
    <t>Exchange rate type not updated when BTE 1150 is active</t>
  </si>
  <si>
    <t>BAdI 'FI_GL_POSTING_SPLIT' for reference transaction 'BKKSU'</t>
  </si>
  <si>
    <t>Direct input: Some date fields are not converted</t>
  </si>
  <si>
    <t>BSEG-MNDID cannot be transferred using batch input</t>
  </si>
  <si>
    <t>FB05: Special G/L indicator not defined</t>
  </si>
  <si>
    <t>RFBIBL00: Daten nicht komplett übernommen</t>
  </si>
  <si>
    <t>RFAWVZ5A/P: Obsolete parameters, authorization check</t>
  </si>
  <si>
    <t>FAGL_FC_VAL: BUDAT fehlt in der List der ausgegl. Posten</t>
  </si>
  <si>
    <t>RFAWVZ40N: Sachkontengegenzeilen mit Steuerkennzeichen</t>
  </si>
  <si>
    <t>RFAWVZ40N: Invoice item as reversal of credit memo (MR8M)</t>
  </si>
  <si>
    <t>RFHABU00N: Select year-end closing postings</t>
  </si>
  <si>
    <t>FAGL_FC_VAL: Document type not visible in the posting list</t>
  </si>
  <si>
    <t>FAGL_FCV: Documents with hedged exchange rates are valuated</t>
  </si>
  <si>
    <t>RFAWVZ5A: Reporting down payments and vendor items</t>
  </si>
  <si>
    <t>RFAWVZ5A/P: Electronic presentation X.400 format obsolete</t>
  </si>
  <si>
    <t>FAGL_FC_VAL: FR600 mit "Fehler im Batch input Feld COBL-   "</t>
  </si>
  <si>
    <t>FAGL_FCV: Adjustment Account defined as tax account</t>
  </si>
  <si>
    <t>RFAWVZ5P: Field length of parameter "Source File"</t>
  </si>
  <si>
    <t>RFKLET01: Incorrect display for amounts</t>
  </si>
  <si>
    <t>SAPF100: Truncated list header</t>
  </si>
  <si>
    <t>FAGL_FCV: Ledger group check in G/L Balance Valuation</t>
  </si>
  <si>
    <t>FAGL_IT_01: Error in closing posting period in transaction</t>
  </si>
  <si>
    <t>FAGL_YEC_POSTINGS_EHP4: Account not processed</t>
  </si>
  <si>
    <t>FAGL_FCV: V_FAGL_SPLIT_FL2 for balance valuation</t>
  </si>
  <si>
    <t>RFAWVZ40N: Anwendung der Meldefreigrenze pro Rechnungsposten</t>
  </si>
  <si>
    <t>FAGL_104: Error 704 Inconsistent amounts</t>
  </si>
  <si>
    <t>newGL allocation: authorization check in the Cycle Overview</t>
  </si>
  <si>
    <t>F107, Methode 2: Abzinsung obwohl Eintrag in T056Z fehlt</t>
  </si>
  <si>
    <t>FAGL_FC_VAL: GR/IR accounts with trading partner</t>
  </si>
  <si>
    <t>FAGL_FCV: Consideration of default layouts</t>
  </si>
  <si>
    <t>FAGL_FCV: Probleme bei freien Abgrenzungen</t>
  </si>
  <si>
    <t>newGL allocations: line items aren't available in extract</t>
  </si>
  <si>
    <t>Allocation: Stored value of the Settings isn't displayed</t>
  </si>
  <si>
    <t>F107: Methode 10, Verdichtung auf Kontenebene</t>
  </si>
  <si>
    <t>SAPF100: List header information</t>
  </si>
  <si>
    <t>RFAWVZ5A: Reporting requirements as of July 2013</t>
  </si>
  <si>
    <t>SAPF100: Valuation of 2nd/3rd LC with Onlie Split S/L</t>
  </si>
  <si>
    <t>FAGL_FCV: Posting list in log storage is incomplete</t>
  </si>
  <si>
    <t>RFBILA00/RFBILA00N: Calling other reports - corrections</t>
  </si>
  <si>
    <t>FAGL_FC_VALUATION: Difference in second LC is not calculated</t>
  </si>
  <si>
    <t>FAGL_FCV: Incomplete posting list for reset</t>
  </si>
  <si>
    <t>RFBILA00N: Total of comparison period in incorrect currency</t>
  </si>
  <si>
    <t>RFBNUM00N: Archived documents</t>
  </si>
  <si>
    <t>FAGL_FC_VAL: unterschiedliche Rundungsdifferenzen</t>
  </si>
  <si>
    <t>FAGL_FC_VALUATION: G/L balance valuation - Multiple runs</t>
  </si>
  <si>
    <t>RFAWVZ40(N): Electronic presentation Z4 in CSV format</t>
  </si>
  <si>
    <t>FAGL_FCV: Additional local currency amount in direct posting</t>
  </si>
  <si>
    <t>RFBILA00N: Missing total values</t>
  </si>
  <si>
    <t>F107: Defaultkontierung wird nicht übernommen</t>
  </si>
  <si>
    <t>FAGL_FC_VALUATION: Force remeasurement in parallel currency</t>
  </si>
  <si>
    <t>FAGL_FCV: Force Remeasurment in parallel Currency Type</t>
  </si>
  <si>
    <t>F107: Error message FR 889</t>
  </si>
  <si>
    <t>FAGL_FC_VALUATION: Target Ledger group</t>
  </si>
  <si>
    <t>RFAWVZ40:Clearing document w/out line items (BKPF-BSTAT='A')</t>
  </si>
  <si>
    <t>Improved VAT Processes and Procedures South Africa</t>
  </si>
  <si>
    <t>Documentation: Improved VAT Processes in South Africa</t>
  </si>
  <si>
    <t>RFIDITSR00(BE): XML file not saved in local system.</t>
  </si>
  <si>
    <t>RFIDHU_DSP:Refinement of logic for Declaration Page ID 06</t>
  </si>
  <si>
    <t>Central Bank Reporting, Luxembourg</t>
  </si>
  <si>
    <t>PH: Reporting Discounts for invoices.</t>
  </si>
  <si>
    <t>LU eCDF: Platform for e-submission of financial data</t>
  </si>
  <si>
    <t>FOTV Luxembourg: Issue with BOX 72</t>
  </si>
  <si>
    <t>DIOT: Document displays with previous document data</t>
  </si>
  <si>
    <t>RFUVXX00: Changes to the XML-file of the VAT-report.</t>
  </si>
  <si>
    <t>RFIDITSR00:Multiple issues with the report.</t>
  </si>
  <si>
    <t>RFUMSV00: Cancellation Documents for Indonesian Companies.</t>
  </si>
  <si>
    <t>FI: Potential Directory Traversal - Spain</t>
  </si>
  <si>
    <t>RFIDHU_DSP:Branch Posting in FI and HUD Processing</t>
  </si>
  <si>
    <t>RFIDMXFORMAT29:Issue with invoice posted with different year</t>
  </si>
  <si>
    <t>RFUMSV00: Cannot Select Data by Business Place for Spain</t>
  </si>
  <si>
    <t>RFIDESM340: Issue with French Business Partner</t>
  </si>
  <si>
    <t>RFKORDES: Wrong official document number range assignment.</t>
  </si>
  <si>
    <t>RFIDPTFO: Missing Documents in the report</t>
  </si>
  <si>
    <t>RFIDESM340:Multiple Issues with Model 340</t>
  </si>
  <si>
    <t>Reverse charge VAT declaration for Hungary</t>
  </si>
  <si>
    <t>RFIDITSR12:Incorrect display of XML file for Import/export.</t>
  </si>
  <si>
    <t>CALCULATE_TAX_ITEM: clear komp missing</t>
  </si>
  <si>
    <t>Nichtabzugsfähige Beträge in FBR1 in Hauswährung falsch</t>
  </si>
  <si>
    <t>SAP Note 1055835: Forcing correction of SD reversal docs</t>
  </si>
  <si>
    <t>RFASLD20: Anpassung für XBRL-Ausgabe Niederlande</t>
  </si>
  <si>
    <t>Berechtigungsprüfungen für alle Buchungskreise FBTR</t>
  </si>
  <si>
    <t>Tax detail screen: Error due to screen request Note 1694800</t>
  </si>
  <si>
    <t>Falscher Returncode wird abgefragt</t>
  </si>
  <si>
    <t>IDoc/BAPI with direct tax item and jurisdiction code</t>
  </si>
  <si>
    <t>FF817: BSEG-TAXPS incorrectly filled</t>
  </si>
  <si>
    <t>MRKO: FF755 because document split not yet supported</t>
  </si>
  <si>
    <t>RFUMSV25: Umbuchungsbeleg mit falschen Vorzeichen</t>
  </si>
  <si>
    <t>VATDATE: Incorrect tax rate with batch input</t>
  </si>
  <si>
    <t>BAPI with down payment and expense items: BSET is incorrect</t>
  </si>
  <si>
    <t>VATDATE: Deletion of VATDATE if there is no tax code in doc</t>
  </si>
  <si>
    <t>Line-by-line tax (USA, CA) and missing checks</t>
  </si>
  <si>
    <t>RFUMSV00: New column for discounts</t>
  </si>
  <si>
    <t>VF11: Alternative tax rate not transferred from original</t>
  </si>
  <si>
    <t>For rate type &amp; rates with from-currency &amp; are relevant</t>
  </si>
  <si>
    <t>Wrong assignment of rounding diff. to local curr. tax amount</t>
  </si>
  <si>
    <t>RFPUMS00 bucht keine Steuer kleiner 0</t>
  </si>
  <si>
    <t>Steuerbasis in Hauswährung 2 oder 3 nicht wie eingegeben</t>
  </si>
  <si>
    <t>SAPDBBRF: Transac. figures for spec. year-end closing pstngs</t>
  </si>
  <si>
    <t>FAGLL03: Transaction type in G/L view not filled (2)</t>
  </si>
  <si>
    <t>FAGLL03: Saldovortragsb.(GLYEC) im Nebenledger ab EhP4</t>
  </si>
  <si>
    <t>FAGLB03: Drill down balance carryforward for short. fis. yr</t>
  </si>
  <si>
    <t>FAGL_GET_GLT0: Field RCLNT (Client) is not filled</t>
  </si>
  <si>
    <t>FAGLB03: "Select Carryfwd Postings" - items missing</t>
  </si>
  <si>
    <t>ADB Move&amp;Merge leaves residual balance</t>
  </si>
  <si>
    <t>FB03: Text of reference transaction not displayed</t>
  </si>
  <si>
    <t>SAPF120: Fehler 00 348 für Betragsfelder</t>
  </si>
  <si>
    <t>FBD1/FBM1: Fortschreibung Bestellentwicklung</t>
  </si>
  <si>
    <t>FB03: Wechsel in neuen Beleg führt zu falschem Titel</t>
  </si>
  <si>
    <t>FI: Message F5216 is incorrectly issued</t>
  </si>
  <si>
    <t>FBU3/new general ledger: Incorrect document overview (II)</t>
  </si>
  <si>
    <t>ENJOY: VBUND not checked after change of document type</t>
  </si>
  <si>
    <t>FB03L: Incorrect title in document overview</t>
  </si>
  <si>
    <t>Generation of customizing object V_TCURD for accessibility</t>
  </si>
  <si>
    <t>FB50L: 'FAGL_POST_SERVICE051' despite empty ledger group</t>
  </si>
  <si>
    <t>SU24/ENJOY: Some objects no longer have default values</t>
  </si>
  <si>
    <t>SU24/F.80: Some objects no longer have proposal</t>
  </si>
  <si>
    <t>RFOB5200 without complete intervals</t>
  </si>
  <si>
    <t>Tax code in distribution of documents from SD</t>
  </si>
  <si>
    <t>Simulation Hauptbuch: Zeile mit Wert Null in allen Währungen</t>
  </si>
  <si>
    <t>New G/L: Deleting a generated ledger group</t>
  </si>
  <si>
    <t>Performance bei Zuordnung Ledger zur Ledgergruppe</t>
  </si>
  <si>
    <t>Document split: Reversal of AWTYP = "EBKPF"</t>
  </si>
  <si>
    <t>Feld aus New G/L Summentabelle löschen: CONVT_NO_NUMBER</t>
  </si>
  <si>
    <t>NGLM: Error during data analysis</t>
  </si>
  <si>
    <t>FAGL_OBJCHECK: Enhancement of functions (3)</t>
  </si>
  <si>
    <t>Doc after reversal: MESSAGE_TYPE_X in P_ITEMS_POST(_PREPARE)</t>
  </si>
  <si>
    <t>Mengeneinheit in der Hauptbuchsicht trotz Menge 0 gefüllt</t>
  </si>
  <si>
    <t>Echter Storno: Probleme beim Stornieren in Sonderperioden</t>
  </si>
  <si>
    <t>JVA assignments in NON JVA CC during doc splitting- NewGL</t>
  </si>
  <si>
    <t>MR8M: Incorrect account assignments</t>
  </si>
  <si>
    <t>MCA Customizing Check Report: FXR for Balance Sheet accounts</t>
  </si>
  <si>
    <t>MCA Customizing: Parameters not needed for non P&amp;L Process</t>
  </si>
  <si>
    <t>GMCA_BILA: transaction currency in header</t>
  </si>
  <si>
    <t>Translation into first local currency is not performed</t>
  </si>
  <si>
    <t>GMCA_RUNADM: Feld Ledgerumgebung fehlt in Bewertungshistorie</t>
  </si>
  <si>
    <t>GMCA_FXV: posting to special periods</t>
  </si>
  <si>
    <t>MCA P&amp;L does not take reversed documents into account</t>
  </si>
  <si>
    <t>ALE FI FIDCCP02: GLT3 is not updated</t>
  </si>
  <si>
    <t>SAPF181 terminates with error FR 451</t>
  </si>
  <si>
    <t>BAPI_FAGL_PLANNING_POST füllt nicht LOGSYS</t>
  </si>
  <si>
    <t>EA-FI 200: Decoupling part</t>
  </si>
  <si>
    <t>Lange Laufzeit beim Kopieren von Belegnummernkreisen</t>
  </si>
  <si>
    <t>RGUCOMP4 and SAPFGVTR can not be called via RFC</t>
  </si>
  <si>
    <t>Simulate General Ledger does not derive segment</t>
  </si>
  <si>
    <t>HDBC: Runtime Error CONVT_OVERFLOW</t>
  </si>
  <si>
    <t>HDBC: Available Applications March 2013</t>
  </si>
  <si>
    <t>Utilityreports HANA: Ledgervergleich, Abgleich EP/Summen</t>
  </si>
  <si>
    <t>Prerequisite note for 1865662</t>
  </si>
  <si>
    <t>Zero-balance OIM lines: Enable BAdI acc.det. for sp. ledgers</t>
  </si>
  <si>
    <t>NO distinct memo record found error on second Intraday MT942</t>
  </si>
  <si>
    <t>FF7A - wrong sign on current day planning levels.</t>
  </si>
  <si>
    <t>Nachricht PAYMENTREQUEST_CREATE nicht konsistent mit BAPI</t>
  </si>
  <si>
    <t>SEPA/IHC: Mandate information for payment medium</t>
  </si>
  <si>
    <t>Rejected payment proposal contains only one entry</t>
  </si>
  <si>
    <t>Payment Program for Payment Requests: New Extensions (BTEs)</t>
  </si>
  <si>
    <t>RFPRQZLP: Fehler bei Nutzung von Systemvarianten 2</t>
  </si>
  <si>
    <t>SEPA/IHC: Check of T042B in PAYRQ_MANDATE_CHECK</t>
  </si>
  <si>
    <t>RFPRQZLP: Fehler bei Nutzung von Systemvarianten</t>
  </si>
  <si>
    <t>BAPI_PAYMENTREQ_STARTPAYMENT: Doppelte Zahllauf IDs</t>
  </si>
  <si>
    <t>Zahlungsbegleitliste : Transaktionswährung in ISO-Code</t>
  </si>
  <si>
    <t>SEPA credit transfers: Integration with HR</t>
  </si>
  <si>
    <t>Fehlende Zeichen im Verwendungszweck</t>
  </si>
  <si>
    <t>DIRDEB IDOC PEXR2003 with mandate data: Seq. type FRST/RCUR</t>
  </si>
  <si>
    <t>SEPA_DD: Transferring the sequence type from table REGUH</t>
  </si>
  <si>
    <t>Removing conversion to UTF-8 from BAdI</t>
  </si>
  <si>
    <t>FBPM1: Message F0 222, currency settings</t>
  </si>
  <si>
    <t>TA OBPM1: Fields empty after button 'Position'</t>
  </si>
  <si>
    <t>FBCJ: Short dump RAISE_EXCEPTION: TRANSNAME_NOT_FOUND</t>
  </si>
  <si>
    <t>FBCJ:Incorr. balance display w/ extended withholding tax III</t>
  </si>
  <si>
    <t>FBCJ: Balance incorrect after archiving</t>
  </si>
  <si>
    <t>RFCJ10: incorrect messages II</t>
  </si>
  <si>
    <t>FBCJ: Error messages displayed as information messages</t>
  </si>
  <si>
    <t>FBCJ: Trading partner missing in FI document</t>
  </si>
  <si>
    <t>FBCJ: Message KI 806: Posting not allowed</t>
  </si>
  <si>
    <t>Bank statement form not mirrored</t>
  </si>
  <si>
    <t>Bank statement: Potential directory traversal</t>
  </si>
  <si>
    <t>FTE_BSM: Hauptbuchkontosaldo kann nicht ermittelt werden</t>
  </si>
  <si>
    <t>Customizing: Hausbankdaten bei ausländischer Währung</t>
  </si>
  <si>
    <t>FTE_BSM: Häufige Ausgabe der Fehlermeldung FV204</t>
  </si>
  <si>
    <t>FTE_BSM: Kontoausüge werden nicht selektiert</t>
  </si>
  <si>
    <t>Account statement: Algorithm 019: Invalid REFFNO</t>
  </si>
  <si>
    <t>Electronic Bank Receipt</t>
  </si>
  <si>
    <t>ZENGINKYOU: CX_SY_CONVERSION_NO_NUMBER</t>
  </si>
  <si>
    <t>FB736: House bank table: No entry with bank key &amp; and acct &amp;</t>
  </si>
  <si>
    <t>DTAUS: Conversion error for server upload</t>
  </si>
  <si>
    <t>FIBPU: Bank chain without IBAN cannot be saved</t>
  </si>
  <si>
    <t>CHIP Customers per Risk Class shows incorrect data</t>
  </si>
  <si>
    <t>FI-AR-IS</t>
  </si>
  <si>
    <t>F.31: Incorrect Company codes displayed in balance list</t>
  </si>
  <si>
    <t>ENJOY: No functions despite corrected validation error</t>
  </si>
  <si>
    <t>SEPA event module in FI to enhance mandate data</t>
  </si>
  <si>
    <t>FI_APAR_SEPA_CONV: Mandates created twice</t>
  </si>
  <si>
    <t>F4-Hilfe zeigt zu viele Zahlwege an</t>
  </si>
  <si>
    <t>SEPA mandate customers:Enhancement for determining FRST/RCUR</t>
  </si>
  <si>
    <t>Leere Spooleinträge werden erzeugt</t>
  </si>
  <si>
    <t>FK16/FD16: Gültigkeitsdatum der IBAN</t>
  </si>
  <si>
    <t>SEPA: Vorbereitung für die Integration von IS-H</t>
  </si>
  <si>
    <t>Die Suchhilfen der Enterprise Search nicht sichtbar</t>
  </si>
  <si>
    <t>SEPA mandates customers: Fld description for customer incorr</t>
  </si>
  <si>
    <t>SAPMF02D: Matchcodefelder werden falsch gefüllt</t>
  </si>
  <si>
    <t>FIN_APAR_SEPA_CONV: log, data processing, dump</t>
  </si>
  <si>
    <t>Screen for creating mandates even if missing authorization</t>
  </si>
  <si>
    <t>RFDKVZ00/RFKKVZ00: only default e-mail address is displayed</t>
  </si>
  <si>
    <t>Authorization check is executed for empty fields</t>
  </si>
  <si>
    <t>F5 008 bei Anzahlungsanforderung mit abw. Abstimmkonto</t>
  </si>
  <si>
    <t>F5080 for agency business with different company codes</t>
  </si>
  <si>
    <t>FBWE: Incorrect file creation for PMW formats</t>
  </si>
  <si>
    <t>Line items: mass change - message MSITEM006 (field DKAC)</t>
  </si>
  <si>
    <t>FGI0/drilldown: incorrect selection of open items</t>
  </si>
  <si>
    <t>RFDSLD00/RFKSLD00: fields missing from one-time accnt data</t>
  </si>
  <si>
    <t>Line items: "Current cash discount amount" field incorrect</t>
  </si>
  <si>
    <t>F150: Falsche Protokollmeldungen II</t>
  </si>
  <si>
    <t>FINT: Error due to posting specifications that are not used</t>
  </si>
  <si>
    <t>F150: PDF Formulardruck - Mindestbeträge für Zinsen</t>
  </si>
  <si>
    <t>V_T047I: F4-Hilfe und Werteprüfung für Smartforms fehlen</t>
  </si>
  <si>
    <t>F150 löscht T047I Smartforms-Absender</t>
  </si>
  <si>
    <t>F150: print log not displayed in dunning logs</t>
  </si>
  <si>
    <t>F150: Mahnen mit E-Mail und SAPScript: Fehler beim Versenden</t>
  </si>
  <si>
    <t>F150: F4 help with free selection</t>
  </si>
  <si>
    <t>FINTSHOW: Reversal terminates</t>
  </si>
  <si>
    <t>F150: FINAA receives data from predecessor</t>
  </si>
  <si>
    <t>RFDZIS00_PDF: Gesamtsumme vom Vorgängerbrief übernommen</t>
  </si>
  <si>
    <t>Fixed amount for interest: from which date?</t>
  </si>
  <si>
    <t>F150: printing using Smart Forms - incorrect print preview</t>
  </si>
  <si>
    <t>FB70: falsche Ausnahme für FI_CUSTOMER_DATA</t>
  </si>
  <si>
    <t>CPD-Mandat: Daten des Zahlungsempfängers falsch</t>
  </si>
  <si>
    <t>FI: input help for special G/L indicators displayed wrongly</t>
  </si>
  <si>
    <t>FBR2: new VAT identification no. is not copied</t>
  </si>
  <si>
    <t>FB05: Tax code is passed on incorrectly</t>
  </si>
  <si>
    <t>Entry of SEPA mandate reference for FI postings</t>
  </si>
  <si>
    <t>SEPA: Enhancements for FI SEPA navigation from the CVI</t>
  </si>
  <si>
    <t>Auslaufende Währungen Dauerbelege fehlende Dokumentation</t>
  </si>
  <si>
    <t>FBV0: No posting possible due to message FP 148</t>
  </si>
  <si>
    <t>FBV0/BKPFF: Message 00349 for extended withholding tax</t>
  </si>
  <si>
    <t>RF0KQST5:WHT base amount is incorrect in case of credit memo</t>
  </si>
  <si>
    <t>RF0KQST5: WHT base amount is incorrect across fiscal years</t>
  </si>
  <si>
    <t>RF0KQST5:Withholding tax base amount is incorrectly reported</t>
  </si>
  <si>
    <t>RF0KQST5: 19 and 23 position should be right aligned in file</t>
  </si>
  <si>
    <t>J_1HDTAX:Multiple issues in case of partial payment document</t>
  </si>
  <si>
    <t>RF0KQST5: Wrong amount for position 21 in file output</t>
  </si>
  <si>
    <t>RFIDYYWT-Tax number(STENR) is not getting reported</t>
  </si>
  <si>
    <t>Philippines Legal Change- Addition of official key WI 142</t>
  </si>
  <si>
    <t>IE RCT Tax Registration Number Check-Correction</t>
  </si>
  <si>
    <t>RFIDYYWT-Error in Reporting of Down Payments and Invoices</t>
  </si>
  <si>
    <t>RFIDYYWT: Error in one-time vendor for Belgium</t>
  </si>
  <si>
    <t>IE_RCT_UPDATE:Automatic updation of payment block</t>
  </si>
  <si>
    <t>Colombia Legal Change for Withholding Tax adjustment</t>
  </si>
  <si>
    <t>RF0KQST5- Wrong amounts are getting displayed</t>
  </si>
  <si>
    <t>RFIDYYWT : Corrections to Thailand Withholding tax forms</t>
  </si>
  <si>
    <t>RF0KQST5 Corrections to file format</t>
  </si>
  <si>
    <t>Change of section code parameter of the note:1727705</t>
  </si>
  <si>
    <t>Change of section code parameter of the note:1820571</t>
  </si>
  <si>
    <t>F110/F111/SEPA: Runtime error CALL_FUNCTION_PARM_UNKNOWN</t>
  </si>
  <si>
    <t>Incorrect company code is transferred to the mandate</t>
  </si>
  <si>
    <t>No display of archived change documents</t>
  </si>
  <si>
    <t>FD02: no display of mandates without change authorization</t>
  </si>
  <si>
    <t>Change documents for contact persons</t>
  </si>
  <si>
    <t>RFKKVZ00/RFDKVZ00: Display irregularities page 2 and follow.</t>
  </si>
  <si>
    <t>INVOIC/FBV1: Error message FD 191 when item amount is 0</t>
  </si>
  <si>
    <t>F5 265 bei Buchung auf abweichenden Zahlungsempfänger</t>
  </si>
  <si>
    <t>MIRO : LWSTE und LWBAS falsch für Anzahlungsverrechnung</t>
  </si>
  <si>
    <t>Fehler F5 650 wird in einem ALE-Sendersystem ausgegeben</t>
  </si>
  <si>
    <t>Anzahlungsverrechnung bei WE: Falscher Rechnungsbezugstyp</t>
  </si>
  <si>
    <t>FF 753 after Direct Tax Posting using BAPI</t>
  </si>
  <si>
    <t>FOIQ: Withholding tax base amt for classic WT is incorrect</t>
  </si>
  <si>
    <t>Programm SAPF130K_PDF</t>
  </si>
  <si>
    <t>RFBNUM10: Belege mit mehreren Kontokorrentpositionen</t>
  </si>
  <si>
    <t>RFFOIT_FOR:Incorrect DME split because of currency differenc</t>
  </si>
  <si>
    <t>RFFOHK_A:Incorrect bank account selected for the Employee</t>
  </si>
  <si>
    <t>RFESR000: Field 'KUNNR' not being filled for cleared items</t>
  </si>
  <si>
    <t>RFFOPT_CBR: Vat Reg No. and Register ID fields in XML file</t>
  </si>
  <si>
    <t>V3_IZV: Incorrect values populated in nodes 3412 &amp; 3413</t>
  </si>
  <si>
    <t>RFEBNORDIC: Payment order not retreived from BANSTA file</t>
  </si>
  <si>
    <t>RFFOJP_L: Legal Change for Special Message to Bank</t>
  </si>
  <si>
    <t>RFIDATEB00:F4 help provided for codepage on selection screen</t>
  </si>
  <si>
    <t>RFFOPT_CBR: ISO code changes</t>
  </si>
  <si>
    <t>RFFOF__T:Date displayed as zeros if it's blank</t>
  </si>
  <si>
    <t>RFFOJP_L: DME File created in server when program terminates</t>
  </si>
  <si>
    <t>RFFOGB_T: RTI information passed wrongly to Non-RTI payments</t>
  </si>
  <si>
    <t>RFFOPT_CBR: Changes for the SDR curr and foreign transaction</t>
  </si>
  <si>
    <t>RFFOJP_L: Additional correction to note 1858211</t>
  </si>
  <si>
    <t>RFEBNO00: Error while converting bank account number</t>
  </si>
  <si>
    <t>Italy CUP/CIG: FM GET_CUP_CIG_IT Performance Issues</t>
  </si>
  <si>
    <t>RFFOIT_B:BONIF format SEPA compliant</t>
  </si>
  <si>
    <t>CH_EZAG: Transaction 37 not populated in the output DME file</t>
  </si>
  <si>
    <t>RFFONO_T: Error after the application of note 1820817</t>
  </si>
  <si>
    <t>PT-CBR: Portugal Central Bank Reporting</t>
  </si>
  <si>
    <t>F110/SEPA: Posting period check for direct debit pre-notif.</t>
  </si>
  <si>
    <t>F110/PRL: PRL Cash discount data in payment program</t>
  </si>
  <si>
    <t>FBZ0/SEPA: Error in maintenance of the proposal run</t>
  </si>
  <si>
    <t>F110/F111/SEPA: Duplicate first usage (FRST) due to lock</t>
  </si>
  <si>
    <t>F110/FBZ0 maintenance of proposal run after sensitive change</t>
  </si>
  <si>
    <t>SEPA F110: BAdI example implementation (for example, cont)</t>
  </si>
  <si>
    <t>F110: House bank is missing in the clearing item</t>
  </si>
  <si>
    <t>FBZ0: Anzahl vorgeschlagener Zahlungen ist nicht korrekt</t>
  </si>
  <si>
    <t>Tax number is not unique; FZ 529</t>
  </si>
  <si>
    <t>FBZP: Verrechnungskonto kann nicht gelöscht werden</t>
  </si>
  <si>
    <t>V_T042B: Text "Kreditor" statt "Gläubiger-Id"</t>
  </si>
  <si>
    <t>F110: Error after execution of BTE 1830</t>
  </si>
  <si>
    <t>F110: Error during clearing of payment requests</t>
  </si>
  <si>
    <t>PMW: IBAN der Hausbank nicht in der Zahlungsbegleitliste</t>
  </si>
  <si>
    <t>F110/SEPA: Individual payee for lease-outs</t>
  </si>
  <si>
    <t>SEPA F110 - BAdI for mandate selection per item</t>
  </si>
  <si>
    <t>FBZ0: Display error after maintenance of the proposal run</t>
  </si>
  <si>
    <t>SEPA: Unnecessary logging of used one-time mandates</t>
  </si>
  <si>
    <t>F110: Runtime error COLLECT_OVERFLOW</t>
  </si>
  <si>
    <t>F110/SEPA: Termination due to invalid factory calendar</t>
  </si>
  <si>
    <t>RFZALI20: IBAN der Hausbank nicht in Summenliste II.</t>
  </si>
  <si>
    <t>FIN_PRL:  Prozessschnittstelle 00001811 (intern verwendet)</t>
  </si>
  <si>
    <t>F110/SEPA sequence type for direct debit pre-notifications</t>
  </si>
  <si>
    <t>PRL: Assignment to non-existent list is possible</t>
  </si>
  <si>
    <t>SEPA: Supporting COR1 (1. Preparation note)</t>
  </si>
  <si>
    <t>SEPA: Supporting COR1 (3. Payment programs F110/F111)</t>
  </si>
  <si>
    <t>FBZ0: SEPA sequence type in payment data</t>
  </si>
  <si>
    <t>SEPA: Supporting COR1 (4. Payment medium)</t>
  </si>
  <si>
    <t>Check for inconsistencies when creating a payment run</t>
  </si>
  <si>
    <t>SEPA: Supporting COR1 (2. Customizing)</t>
  </si>
  <si>
    <t>FBZP: Input help for payt method in bank selection incorrect</t>
  </si>
  <si>
    <t>F110: Incorrect grouping for payment per due day</t>
  </si>
  <si>
    <t>F110: Withholding tax not calculated correctly</t>
  </si>
  <si>
    <t>F110: "Create Lists" indicator only in proposal run</t>
  </si>
  <si>
    <t>FBZ0/FBZ8: Text Correction</t>
  </si>
  <si>
    <t>F110/F111: House Bank IBAN</t>
  </si>
  <si>
    <t>F-58 check printing: Referece of invoice for partial payment</t>
  </si>
  <si>
    <t>ENJOY: IBAN&amp;BIC display in ENJOY transactions II</t>
  </si>
  <si>
    <t>FB60:Proposal for MWSKZ although rec. acct not tax-relev. II</t>
  </si>
  <si>
    <t>EnjoySAP: Transaction text is incorrect</t>
  </si>
  <si>
    <t>ENJOY: Manually entered local currency not considered</t>
  </si>
  <si>
    <t>FB02/FB03: Alt. ref.no. not displayed in ALV list display</t>
  </si>
  <si>
    <t>EnjoySAP: Changes in dealing with ZFBDT</t>
  </si>
  <si>
    <t>FB01/Installment payment: ZFBDT is not set correctly</t>
  </si>
  <si>
    <t>FI: BVTYP can be selected in simulation using F4 input help</t>
  </si>
  <si>
    <t>ENJOY: IBAN&amp;BIC display in ENJOY transactions</t>
  </si>
  <si>
    <t>MIRO: Due date determined incorrectly</t>
  </si>
  <si>
    <t>FB02/ALV list: ZFBDT is always ready for input</t>
  </si>
  <si>
    <t>FB01: Payment terms not transferred correctly</t>
  </si>
  <si>
    <t>Invoice Journal: Clarification Text BAdI Help</t>
  </si>
  <si>
    <t>Transaktionswährungsumstellung: BTE Prozess 00000119</t>
  </si>
  <si>
    <t>PEO: Balance Is not Zero in FB05</t>
  </si>
  <si>
    <t>Partly Exempt Org.</t>
  </si>
  <si>
    <t>FI-AF-PEO</t>
  </si>
  <si>
    <t>PEO: Asset Is in Process by User</t>
  </si>
  <si>
    <t>Report Sopo-Entwicklung - Falsche Einstellung / Auflösung</t>
  </si>
  <si>
    <t>RASIMU_ALV01 Jahreswerte in falschen Geschäftsjahren</t>
  </si>
  <si>
    <t>RAGITT_ALV01: Keine Abgangssimulation bei gebuchten Werten</t>
  </si>
  <si>
    <t>Falscher Restbuchwert bei gebuchten Abschreibungen</t>
  </si>
  <si>
    <t>RASIMU_ALV01 - Anzeigen Bestandsveränderungen</t>
  </si>
  <si>
    <t>Reporting - Kein Profit Center aus IMKEY</t>
  </si>
  <si>
    <t>RAGITT_ALV01 - Fehlende Bewegungen</t>
  </si>
  <si>
    <t>Reporting - runtime error UNCAUGHT_EXCEPTION</t>
  </si>
  <si>
    <t>Reporting - hidden fields in ALV list</t>
  </si>
  <si>
    <t>Worklist: No information about posting dates</t>
  </si>
  <si>
    <t>Totals list: Display of individual list for group level</t>
  </si>
  <si>
    <t>No depreciation vals displayed in transact data reports (II)</t>
  </si>
  <si>
    <t>BW - determination of asset bal. sh. acc. frm parallel areas</t>
  </si>
  <si>
    <t>RAAEND01: Runtime is slower in ERP 6.0</t>
  </si>
  <si>
    <t>Reporting: Selecting assets from worklist</t>
  </si>
  <si>
    <t>Fehler im Datentransfer aus einem Anlagen-Standardreport</t>
  </si>
  <si>
    <t>Impairment posting: AB 173 when using BAdI</t>
  </si>
  <si>
    <t>RAKOPL02: Abbruch mit Meldungsnummer AB18</t>
  </si>
  <si>
    <t>Direktes Buchen: Fehler AA481</t>
  </si>
  <si>
    <t>Schedule Monitor: RAPOST2000 with termination message</t>
  </si>
  <si>
    <t>FBA7: Fehler AA444 unberechtigt</t>
  </si>
  <si>
    <t>FF716 Fehler bei der Vergabe der Steuergruppe</t>
  </si>
  <si>
    <t>AA571 not triggered during settlement of Investment Measures</t>
  </si>
  <si>
    <t>Posting to asset: Terminatn SAPSQL_ARRAY_INSERT_DUPREC ANLC</t>
  </si>
  <si>
    <t>Settlement: runtime error COLLECT_OVERFLOW_TYPE_P</t>
  </si>
  <si>
    <t>F5 702 for settlement to G/L acc. and addtnl acc. assignment</t>
  </si>
  <si>
    <t>F110: Fehler AAPO219 bei Anzahlungsverrechnung</t>
  </si>
  <si>
    <t>Abrechnung an AiB: Dump COLLECT_OVERFLOW_TYPE_P</t>
  </si>
  <si>
    <t>Change of organizational unit with posting: error RW 008</t>
  </si>
  <si>
    <t>Settlement reversal: warning message AA 572 in the job log</t>
  </si>
  <si>
    <t>Posting back to closed fiscal years</t>
  </si>
  <si>
    <t>RAARCH01 - AuCs for investment measures deleted</t>
  </si>
  <si>
    <t>AAPM: Fehler IS806 beim Anlegen von Unternummern</t>
  </si>
  <si>
    <t>Substitution w/ prerequisite ANLB not executed</t>
  </si>
  <si>
    <t>AuC: Derivation of profit center and segment</t>
  </si>
  <si>
    <t>Derivation of profit centre: BAdI for control</t>
  </si>
  <si>
    <t>SV 043 when you enter the simulation versions</t>
  </si>
  <si>
    <t>Change organizational unit w/ posting: Parallel currency</t>
  </si>
  <si>
    <t>Maint. of rem. no. of units: Incorr. values in subs. periods</t>
  </si>
  <si>
    <t>Short dump when display customer in customer cockpit view.</t>
  </si>
  <si>
    <t>Short dump when display customer in customer cockpit</t>
  </si>
  <si>
    <t>POWL: Net  price displayed as zero for service masters</t>
  </si>
  <si>
    <t>Create RFQ popup terminates when using calendar F4 help</t>
  </si>
  <si>
    <t>Material POWL: No error message in event of conversion prob.</t>
  </si>
  <si>
    <t>Material POWL: No wildcard search for some fields</t>
  </si>
  <si>
    <t>CPPR: Central contract as SoS, no contract and item number</t>
  </si>
  <si>
    <t>CPPR: Central contract not working as source of supply</t>
  </si>
  <si>
    <t>Vendor Material Number truncated to 20 character</t>
  </si>
  <si>
    <t>MEREQ_UPDATE_EBAN_TECH terminates with duplicate entry</t>
  </si>
  <si>
    <t>CPPR: Supplier comparison wrong with plant conditions</t>
  </si>
  <si>
    <t>SPPR: Toolbar buttons do not trigger any action</t>
  </si>
  <si>
    <t>0CO_OM_CCA_P_AUTH returns incorrect intervals</t>
  </si>
  <si>
    <t>Technical prerequisite for SAP Note 1871621</t>
  </si>
  <si>
    <t>Unable to change SORTFIELD with BAPI_ALM_NOTIF_DATA_MODIFY</t>
  </si>
  <si>
    <t>Portal: Inconsistency in the data of structural display</t>
  </si>
  <si>
    <t>Display of the specification key is not correct</t>
  </si>
  <si>
    <t>1KE0 - Long runtime when transfering profitability segments</t>
  </si>
  <si>
    <t>BAPI_COSTACTPLN_POSTPRIMCOST does not return the error</t>
  </si>
  <si>
    <t>KE5Z: Filter auf Objekteklasse setzen</t>
  </si>
  <si>
    <t>EC-PCA-IS</t>
  </si>
  <si>
    <t>1KEJ: Anfangsbestand aufbauen bucht auch im Testlauf</t>
  </si>
  <si>
    <t>9KE0: Zu starke Verprobung des Partner Profit Center</t>
  </si>
  <si>
    <t>Allocations: Result overview shows non-existing documents</t>
  </si>
  <si>
    <t>ASSIGN_TYPE_ILLEGAL_CAST during download to appl. server</t>
  </si>
  <si>
    <t>Message KH 058 during navigation</t>
  </si>
  <si>
    <t>Periodentext in dre Navigation geschäftsjahresabhängig</t>
  </si>
  <si>
    <t>WRITE_TO_OFFSET_TOOLARGE - über EIS_REPORT_NAVIGATE_COMPLEX</t>
  </si>
  <si>
    <t>EC-EIS: Generierte Strukturen zur Datenübertragung</t>
  </si>
  <si>
    <t>EC-EIS-DCM</t>
  </si>
  <si>
    <t>EC-EIS: Hierarchieverarbeitung IS-B</t>
  </si>
  <si>
    <t>EC-EIS: Pufferung Nummernkreisobjekt</t>
  </si>
  <si>
    <t>Navigation to FI document ends up with an error</t>
  </si>
  <si>
    <t>Durchbuchung: Default-Geschäftsbereich wird nicht gesetzt</t>
  </si>
  <si>
    <t>Dump 'CALL_FUNCTION_PARM_UNKNOWN', Parameter 'KDAUF_AUFK'</t>
  </si>
  <si>
    <t>ECC_SRVCREQIDQR1 time zone specified in date/time fields</t>
  </si>
  <si>
    <t>BAPI_ALM_NOTIF_CREATE: QMEL-CROBJ not determined</t>
  </si>
  <si>
    <t>Fehlende Pflichtpartner auf Partner Tab in Meldung/Auftrag</t>
  </si>
  <si>
    <t>Changed sort field in object list is not transferred</t>
  </si>
  <si>
    <t>Service Contract</t>
  </si>
  <si>
    <t>CS-AG-SC</t>
  </si>
  <si>
    <t>Service Agreements</t>
  </si>
  <si>
    <t>CS-AG</t>
  </si>
  <si>
    <t>Deleted customers cause error in replication of Equipment</t>
  </si>
  <si>
    <t>Dump in initial download of material from ERP to CRM</t>
  </si>
  <si>
    <t>Consumer is not replicating correctly from ECC to CRM</t>
  </si>
  <si>
    <t>ERP VENDOR central block flag is not replicated to CRM</t>
  </si>
  <si>
    <t>Issue with lv_status while upload of multiple BPs CRM-&gt;R/3</t>
  </si>
  <si>
    <t>Bank details with control key not transferred correctly</t>
  </si>
  <si>
    <t>Support of IBAN only scenario in data exchange</t>
  </si>
  <si>
    <t>Tax Number Architecture</t>
  </si>
  <si>
    <t>Internet user in local system even with CUA</t>
  </si>
  <si>
    <t>On multipayee contract, the accrual posting is not reversed</t>
  </si>
  <si>
    <t>SAP SSF for Financials: Service Configurator (SAP_APPL)</t>
  </si>
  <si>
    <t>CRM-IC-ACO</t>
  </si>
  <si>
    <t>Interaction Center WebClient</t>
  </si>
  <si>
    <t>CRM-IC</t>
  </si>
  <si>
    <t>Missing whitelist check in CRM-FM-ACL</t>
  </si>
  <si>
    <t>Accruals</t>
  </si>
  <si>
    <t>CRM-FM-ACL</t>
  </si>
  <si>
    <t>CRM-FM</t>
  </si>
  <si>
    <t>Timeout in dealing with material documents in CRM logistic</t>
  </si>
  <si>
    <t>Missing texts in purchase order created from service order</t>
  </si>
  <si>
    <t>Item no of material doc not in confirmation item docflow</t>
  </si>
  <si>
    <t>Gross value on item level is no calculated in ERP from CRM</t>
  </si>
  <si>
    <t>Cancellation of confirmation does not work for ext. billing</t>
  </si>
  <si>
    <t>Very large SL documents when posting via CRM billing</t>
  </si>
  <si>
    <t>Transf.to Accounting</t>
  </si>
  <si>
    <t>CRM-BE-FI</t>
  </si>
  <si>
    <t>CK40N: Sending of error message by e-mail is not executed</t>
  </si>
  <si>
    <t>Sales order costing: Cancellation date is incorrect</t>
  </si>
  <si>
    <t>Calculation: Text in log display not specific enough</t>
  </si>
  <si>
    <t>CK11N: Termination with exception KEKO_NOT_FOUND</t>
  </si>
  <si>
    <t>Einzelkalkulation: Umlagerung aus anderem Buchungskreis</t>
  </si>
  <si>
    <t>CK74N, KKPAN: error message GM020; version not defined</t>
  </si>
  <si>
    <t>ECP: dump for Drag&amp;Drop</t>
  </si>
  <si>
    <t>CJ9ECP, CJ20N: Incorr totals for display of ECP for project</t>
  </si>
  <si>
    <t>BAPIs for marking/price change: incorrect value in ERROR</t>
  </si>
  <si>
    <t>BAPI_COSTESTIMATE_GETEXPLOSION: performance issues</t>
  </si>
  <si>
    <t>Order BOM cost estimate: Nav. to sales document not possible</t>
  </si>
  <si>
    <t>Sales order costing: status KA although total value &lt; 0</t>
  </si>
  <si>
    <t>Error message CK 457 when determining order credit</t>
  </si>
  <si>
    <t>ILM-Enablement für Archivierungsobjekt CO_COPC</t>
  </si>
  <si>
    <t>No profit center for planned overhead for network activity</t>
  </si>
  <si>
    <t>Dump CL_SPECIAL_FUNCTIONS_CK, CALL_FUNCTION_CONFLICT_LENG</t>
  </si>
  <si>
    <t>CK457: error in planned cost calculation for prod. order</t>
  </si>
  <si>
    <t>Error message CK468 for operation with subcontracting</t>
  </si>
  <si>
    <t>Cost estimate: Message CK869 when displaying itemization</t>
  </si>
  <si>
    <t>CKAPP03: only sales orders with a status object processed</t>
  </si>
  <si>
    <t>Costing: internal activities without values in itemization</t>
  </si>
  <si>
    <t>Product costing rework: overhead rates</t>
  </si>
  <si>
    <t>Incorrect goods receipt valuation after order split</t>
  </si>
  <si>
    <t>Overhead not calculated, no error message</t>
  </si>
  <si>
    <t>PKOSA: Fehlende Soll-Kosten für Zuschläge</t>
  </si>
  <si>
    <t>Overhead for debit is zero with balance that is not zero</t>
  </si>
  <si>
    <t>Order planned costs: timestamp not updated</t>
  </si>
  <si>
    <t>Reporting: ASL calculation not supported correctly</t>
  </si>
  <si>
    <t>IS Prod.Cst. by SO</t>
  </si>
  <si>
    <t>CO-PC-IS-MTO</t>
  </si>
  <si>
    <t>Product Drilldown: Production Version for Cost Collectors</t>
  </si>
  <si>
    <t>Production Version in CO Summarization of Cost Collectors</t>
  </si>
  <si>
    <t>Error KJ(464) during WIP determination with KKAO or KKAX</t>
  </si>
  <si>
    <t>FCML_CCS_REP - Doubled values</t>
  </si>
  <si>
    <t>FCML: Fehler in Schichtung. Ist-Schichtung nicht aktiv</t>
  </si>
  <si>
    <t>FCML: Preisdifferenzen nach CKMM</t>
  </si>
  <si>
    <t>CO_ML_BEL: Performance for archiving documents of same year</t>
  </si>
  <si>
    <t>FCML: performance optimization during online update</t>
  </si>
  <si>
    <t>Error for closing entry in test run</t>
  </si>
  <si>
    <t>Field overflow for external ending inventory valuation</t>
  </si>
  <si>
    <t>Do not display error msg CKMLLA 102 for actual price zero</t>
  </si>
  <si>
    <t>Archiving of segment levels - performance</t>
  </si>
  <si>
    <t>KE1x: Database locks in update tasks</t>
  </si>
  <si>
    <t>KE1V - doubled values after transfer</t>
  </si>
  <si>
    <t>KEAI: Display of differences between SD and FI</t>
  </si>
  <si>
    <t>Performance optimization KE24 for account-based CO-PA</t>
  </si>
  <si>
    <t>KE30: Fehlermeldung KE515</t>
  </si>
  <si>
    <t>Manual entries in 'reservation' profitability segment (II)</t>
  </si>
  <si>
    <t>KE28L: Decimal places for sender/receiver are incorrect</t>
  </si>
  <si>
    <t>KE28L - Empfänger mit initialer Bezugsbasis</t>
  </si>
  <si>
    <t>Ergebnisobjekt fehlt in Lieferung</t>
  </si>
  <si>
    <t>Allocation CO-PA: FAGL_COFI025 error issued</t>
  </si>
  <si>
    <t>Transfer of manual entries from prof.segmt of reservation</t>
  </si>
  <si>
    <t>SETTLEMENT: wrong fix/variable in company code currency</t>
  </si>
  <si>
    <t>HDBC: enhancements for Suite on HANA</t>
  </si>
  <si>
    <t>SLO: PA ledgers missing when copying CO-PA data</t>
  </si>
  <si>
    <t>HANA: Allocation: KEU5 ends with GA710 error</t>
  </si>
  <si>
    <t>KOB1: Termination MESSAGE_TYPE_X in SAPLKAEP</t>
  </si>
  <si>
    <t>Zuschläge: Geringfügige Korrektur für Plan-Zuschläge</t>
  </si>
  <si>
    <t>Settlement of refurbishment orders: Price differences</t>
  </si>
  <si>
    <t>Double overhead posting due to COKEY attributes</t>
  </si>
  <si>
    <t>OHA: Kumulierte Zuschlagskalkulation liest falsche Einträge</t>
  </si>
  <si>
    <t>Overhead: Double overhead when PSM active and Fund deactive</t>
  </si>
  <si>
    <t>Overhead Calc/CK11n: Object Currency not filled -&gt; WOGBTR</t>
  </si>
  <si>
    <t>Functional area update with multilevel settlement</t>
  </si>
  <si>
    <t>Commitment carried fwd: Sel.variant not for all order categs</t>
  </si>
  <si>
    <t>Testoption für RKANBU01</t>
  </si>
  <si>
    <t>Anpassungen für Aufruf FBs HDB_VIEW_DROP, HDB_VIEW_CREATE</t>
  </si>
  <si>
    <t>IM_AVCHANA_ORD/WBS: Dump SAPSQL_PARSE_ERROR</t>
  </si>
  <si>
    <t>BPFCTRA0: Unjustified message 00208</t>
  </si>
  <si>
    <t>IM_AVCHANA_ORD/WBS: Dumps DBSQL_SQL_ERROR, MESSAGE_TYPE_X</t>
  </si>
  <si>
    <t>Inconsistent assigned values after CJBN</t>
  </si>
  <si>
    <t>No check for GR/service entry despite SAP Note 696362</t>
  </si>
  <si>
    <t>Incorrect EM BP 671 upon activation of availability control</t>
  </si>
  <si>
    <t>Dump when activating bi content /ERP/</t>
  </si>
  <si>
    <t>Planung/Budgetierung: Unerklärliche Werte nach Hochsummieren</t>
  </si>
  <si>
    <t>Incorrect plant in distribution rule to material</t>
  </si>
  <si>
    <t>KZE2 message KA474 Enter fund, functional area or grant</t>
  </si>
  <si>
    <t>RWCOOM: Budgetbericht zeigt falsche Budgetdaten an</t>
  </si>
  <si>
    <t>CCSS-Reporting on cost objects with all objects</t>
  </si>
  <si>
    <t>KAEP: Line item reporting w/ SAP HANA: not enough hits</t>
  </si>
  <si>
    <t>Reports: Incorrect authorization check</t>
  </si>
  <si>
    <t>FS00: Cost elements are not created automatically</t>
  </si>
  <si>
    <t>Converted auxiliary objects in exit for customer fields</t>
  </si>
  <si>
    <t>Allocations: Kumulierung mit statistischen CO-Objekten</t>
  </si>
  <si>
    <t>Allocations: GA776 bei Kumulierung mit statistische Objekten</t>
  </si>
  <si>
    <t>ALLOCATIONS: Cost element group not taken into account</t>
  </si>
  <si>
    <t>ALLOCATION: performance of WBS elements</t>
  </si>
  <si>
    <t>Allocations: Cumulation with statistical CO objects</t>
  </si>
  <si>
    <t>Allocations: Incorrect entry for auxiliary account assignmt</t>
  </si>
  <si>
    <t>Allocations: Uploading and downloading cycles</t>
  </si>
  <si>
    <t>Abbruch MESSAGE_TYPE_X bei KB61 mit K5011</t>
  </si>
  <si>
    <t>KbxxN: initial screen after posting with transaction variant</t>
  </si>
  <si>
    <t>Duplicate commitment entries following FB01 posting</t>
  </si>
  <si>
    <t>CO-OM-CCA-D</t>
  </si>
  <si>
    <t>KP26: Undefined credit line is not deleted</t>
  </si>
  <si>
    <t>New planning applications in CO: check fixed/variable</t>
  </si>
  <si>
    <t>KS12: Meldung FAGL_REORGANIZATION 601 ist unberechtigt</t>
  </si>
  <si>
    <t>Error while trying to edit or refer cost center group</t>
  </si>
  <si>
    <t>KSII: Wrong revaluation</t>
  </si>
  <si>
    <t>Program RKSS0_KSS2: No detail lists in the spool</t>
  </si>
  <si>
    <t>BAPI_ACTTYPE_CHANGEMULTIPLE: Several errors are not issued</t>
  </si>
  <si>
    <t>Template allocation: Stat. key figures for sales orders</t>
  </si>
  <si>
    <t>Template allocation: Functional area not filled</t>
  </si>
  <si>
    <t>Activity-Based Costing</t>
  </si>
  <si>
    <t>Unterstützung von MDG-Logik in CO-OM Stammdaten-BAPIs</t>
  </si>
  <si>
    <t>Syntax error in include LFCOM_MD_ORDERF02</t>
  </si>
  <si>
    <t>CO-OM tools: Search function for drilldown</t>
  </si>
  <si>
    <t>CO-OM-Tools: Erweiterung Outer-Join-Selektion</t>
  </si>
  <si>
    <t>IS-PS dummy note</t>
  </si>
  <si>
    <t>Planning processor ignores lowercase for commercial unit</t>
  </si>
  <si>
    <t>CATS WD: Unable to approve timesheet data</t>
  </si>
  <si>
    <t>CATSWD: CVR = &lt;blank&gt; causes HR Enabled CATS to fail</t>
  </si>
  <si>
    <t>CAT2 - Incorrect transaction after double-clicking</t>
  </si>
  <si>
    <t>DOCUMENT_FLOW_SELECTED of BADI CATS_REPORTING is not called</t>
  </si>
  <si>
    <t>Dump in BAPI_CATIMESHEETRECORD_GETLIST</t>
  </si>
  <si>
    <t>Checkman, other errors and marginal corrections</t>
  </si>
  <si>
    <t>Web Survey</t>
  </si>
  <si>
    <t>CA-SUR</t>
  </si>
  <si>
    <t>Integration Prüflose ext. Prüfung in MD04 und ATP (Teil II)</t>
  </si>
  <si>
    <t>Inspection lot data changeable when insp. docs. are created</t>
  </si>
  <si>
    <t>EAM order: No transfer to MRS</t>
  </si>
  <si>
    <t>Enable multi uom prices transfer for prodloc using BADI</t>
  </si>
  <si>
    <t>Message navigation for partner functions</t>
  </si>
  <si>
    <t>Enhancements in enterprise services for MDG-F 7.0</t>
  </si>
  <si>
    <t>Error FBS_SE 202 during company replication CURR or CNTRY</t>
  </si>
  <si>
    <t>Error FBS_SE number 202 during company replication (LANGU)</t>
  </si>
  <si>
    <t>Inbound Problems SOA-replication FIN-objects</t>
  </si>
  <si>
    <t>MDG Local Copy: search service call always via RFC</t>
  </si>
  <si>
    <t>CA-MDG-APP-CUS-LO</t>
  </si>
  <si>
    <t>Vertriebstexte werden in CVI nicht übernommen</t>
  </si>
  <si>
    <t>Paketverwendung</t>
  </si>
  <si>
    <t>Req. entry fld checks in combined scenario for cust/supplier</t>
  </si>
  <si>
    <t>Check of partner functions for deleted objects</t>
  </si>
  <si>
    <t>FTWH/FTWY: Abbruch DBIF_RSQL_SQL_ERROR bei Dubletten</t>
  </si>
  <si>
    <t>FTW1A: SD-Fakturabelege beim Einsatz von FI-CA</t>
  </si>
  <si>
    <t>New standard views for SD data</t>
  </si>
  <si>
    <t>DMEE: performance improvement in DMEE_PROVIDE_ABA_FUNC</t>
  </si>
  <si>
    <t>Reference condition must not reference itself</t>
  </si>
  <si>
    <t>Downport CPE: Technical objects in SAP_APPL EHP5 SP04</t>
  </si>
  <si>
    <t>Insufficient msg while editing original of status type 'O'</t>
  </si>
  <si>
    <t>CAD integration PDM Config and PDM version are not mandatory</t>
  </si>
  <si>
    <t>All the jobs are not getting created via batch job</t>
  </si>
  <si>
    <t>EHP6_SP09:Revert downport changes in EHP6 SP09</t>
  </si>
  <si>
    <t>Enhancing Document Conver. with Previous Document Status</t>
  </si>
  <si>
    <t>Functionality Note for DMS Viewer Integration (ATS+2)</t>
  </si>
  <si>
    <t>Interface Note for DMS improvements: ATS+2</t>
  </si>
  <si>
    <t>Some of Originals are not stored during Conversion</t>
  </si>
  <si>
    <t>Original files not opening due to special characters</t>
  </si>
  <si>
    <t>ATS+2: VEG ERP integration DDIC changes</t>
  </si>
  <si>
    <t>VE Viewer Integration with DMS</t>
  </si>
  <si>
    <t>ECC_SET_DOC_STOR_RPT Binary search checkman</t>
  </si>
  <si>
    <t>Content versioning is not working for RH files</t>
  </si>
  <si>
    <t>After VEG conversion you see multiple copies of same file</t>
  </si>
  <si>
    <t>DMS : Wrong signature call of F.M CVALE_DOC_CHECKOUT</t>
  </si>
  <si>
    <t>Passing CM Relevance flag in BAPI_DOCUMENT_CREATE2</t>
  </si>
  <si>
    <t>DMS:Transistion of temporary keys to final,classification</t>
  </si>
  <si>
    <t>ATC checkman  issue Check ID W020</t>
  </si>
  <si>
    <t>Authorizations are not saved in a document</t>
  </si>
  <si>
    <t>Classification data is lost on entering wrong values</t>
  </si>
  <si>
    <t>Incorrect error handling in BAPI_DOCUMENT_CREATEFROMSRC2</t>
  </si>
  <si>
    <t>Error in displaying originals in Mac and Linux</t>
  </si>
  <si>
    <t>EhP7_SP01:Not able to view RH file in Order</t>
  </si>
  <si>
    <t>Customising for excluding viewer actions</t>
  </si>
  <si>
    <t>ECL Viewer: Opening files from remote SAP systems</t>
  </si>
  <si>
    <t>DVSARCH1: Translated texts for fields, messages on screen</t>
  </si>
  <si>
    <t>Log field of content version overwritten for multiple files</t>
  </si>
  <si>
    <t>SHDB: Popup not thrown for filling classification data</t>
  </si>
  <si>
    <t>DMS : Thumbnails not getting displyed for archived files</t>
  </si>
  <si>
    <t>Performance Issue with BAPI BAPI_DOCUMENT_GETDETAIL2</t>
  </si>
  <si>
    <t>DRFOUT does not send all variable price data</t>
  </si>
  <si>
    <t>DRFOUT: Deletion flag is ignored in transfer of info records</t>
  </si>
  <si>
    <t>DRFOUT: Vendor article number is ignored during transfer</t>
  </si>
  <si>
    <t>DRFOUT: Wrong net price calculation ignoring tax condition</t>
  </si>
  <si>
    <t>DRFOUT: Vendors not processed when delete flag is cleared</t>
  </si>
  <si>
    <t>Loc. hierarchy: Incorrect display of duplicate assignments</t>
  </si>
  <si>
    <t>Demand Data Found</t>
  </si>
  <si>
    <t>CA-DDF-RT</t>
  </si>
  <si>
    <t>Demand Data Foundation</t>
  </si>
  <si>
    <t>CA-DDF</t>
  </si>
  <si>
    <t>Error in TREX delta indexing</t>
  </si>
  <si>
    <t>Drilldown using material group hierarchy is incorrect</t>
  </si>
  <si>
    <t>SEPA debit memos: Integration with HR</t>
  </si>
  <si>
    <t>2LIS_11_V_SSL:wrong actual goods movemt date for a delivery</t>
  </si>
  <si>
    <t>No selection with FISCPER in 0PS_CSH_WBS and 0PS_CSH_NWA</t>
  </si>
  <si>
    <t>Datasource 2LIS_04_P_ARBPL does not extract DFZEXEH unit.</t>
  </si>
  <si>
    <t>0PM_SCH_PLND_ORDER only displays the last order called</t>
  </si>
  <si>
    <t>0PM_SCH_PLND_ORDER takes deleted activities into account</t>
  </si>
  <si>
    <t>0FUNCT_LOC_HIER PMEX_HIERARCHY_TRANSFER parameter I_REQUNR</t>
  </si>
  <si>
    <t>Expected value for limit is ignored</t>
  </si>
  <si>
    <t>0PM_PRM_PLCS_1: Planned costs too high for services</t>
  </si>
  <si>
    <t>2LIS_08TRTK: Fields KAPAGEW (Capacity weight) and KAPAVOL</t>
  </si>
  <si>
    <t>Performance TEst ONF TC1(3):2LIS_08TRTK: Fields KAPAGEW (Cap</t>
  </si>
  <si>
    <t>Performance Test ONF TC1(2): 2LIS_08TRTK:Fields KAPAGEW (Cap</t>
  </si>
  <si>
    <t>Performance Test ONF TC1(1):2LIS_08TRTK:Fields KAPGEW (Capac</t>
  </si>
  <si>
    <t>ONF3: 2LIS_08TRTK: Fields KAPAGEW and KAPAVOL not filled</t>
  </si>
  <si>
    <t>ONF: 2LIS_08TRTK: Fields KAPAGEW and KAKAVOL not filled</t>
  </si>
  <si>
    <t>Performance Test ONF TC3(3):2LIS_08TRTK:Fields KAPAGEW (Capa</t>
  </si>
  <si>
    <t>Performance Test ONF TC3(2):2LIS_08TRTK: Fields KAPAGEW (Cap</t>
  </si>
  <si>
    <t>Performance Test ONF TC3(1):2LIS_08TRTK:Fields KAPAGEW (Capa</t>
  </si>
  <si>
    <t>Performance TEST ONF TC2(1):2LIS_08TRTK:Fields KAPAGEW (Capa</t>
  </si>
  <si>
    <t>Performance TEST ONF TC1(1):2LIS_08TRTK:Fields KAPAGEW (Capa</t>
  </si>
  <si>
    <t>Performnce Test ONF TC1(1):2LIS_08TRTK: Fields KAPAGEW (Capa</t>
  </si>
  <si>
    <t>Performance TEst ONF TC3(1)- 2LIS_08TRTK: Fields KAPAGEW (Ca</t>
  </si>
  <si>
    <t>Performance Test ONF TC1</t>
  </si>
  <si>
    <t>Performance Test ONF TC2 (1)</t>
  </si>
  <si>
    <t>Log function incorrect if multiple ADDD datasources used</t>
  </si>
  <si>
    <t>Program changes for exclusive lock in BW delta extraction</t>
  </si>
  <si>
    <t>0FI_GL_14: Direct access not extracting some fields</t>
  </si>
  <si>
    <t>0FI_GL_14: Direct access does not work correctly</t>
  </si>
  <si>
    <t>Bad performance of 0FI_GL_14 for DB6</t>
  </si>
  <si>
    <t>0ASSET_AFAB_ATTR endet mit Fehler im Quellsystem</t>
  </si>
  <si>
    <t>DataSource 0CO_PC_PCP_20: No PCC cost estimates</t>
  </si>
  <si>
    <t>0CO_PC_PCP_10: Field KALNR is not transferred correctly</t>
  </si>
  <si>
    <t>0CO_PC_PCP_03: materials missing in extract</t>
  </si>
  <si>
    <t>BW-BCT: Field list of network extractors</t>
  </si>
  <si>
    <t>CO-OM: External call of total DataSources</t>
  </si>
  <si>
    <t>DRB: FI and CO documents are not found</t>
  </si>
  <si>
    <t>DRB Documents in remuneration list incorrectly determined</t>
  </si>
  <si>
    <t>ALO1: inconsistent behavior when "Max. number of hits" = 0</t>
  </si>
  <si>
    <t>DRB: Incomplete information for purchase orders</t>
  </si>
  <si>
    <t>DRB: Timeout for large EKPO table, extend selection</t>
  </si>
  <si>
    <t>Missing authorization check in BC-SRV-ALV (miniALV)</t>
  </si>
  <si>
    <t>Address data is not syncronized during Vendor-&gt;BP sync</t>
  </si>
  <si>
    <t>URL entry doubles after Syncronization</t>
  </si>
  <si>
    <t>Customer tax numbers not replicated from Customer to BP</t>
  </si>
  <si>
    <t>City is a required field error occurs during synchronization</t>
  </si>
  <si>
    <t>SAP BP SYN: Both old and new PPO orders are set to Green</t>
  </si>
  <si>
    <t>ECS: Errors from first-level check in incorrect ECS item</t>
  </si>
  <si>
    <t>Error F5 693 during mass correction of amounts in ECS</t>
  </si>
  <si>
    <t>Posting via BAPI without transaction currency</t>
  </si>
  <si>
    <t>Adding the "Partial reversal" field to ACCIT</t>
  </si>
  <si>
    <t>RW 011 when navigating to FI subsequent document</t>
  </si>
  <si>
    <t>Incorrect exchange rates with partial reversal from CRM</t>
  </si>
  <si>
    <t>Error message 3G 473 in account assignment block check (II)</t>
  </si>
  <si>
    <t>BAPI: Amount fields not filled in validation</t>
  </si>
  <si>
    <t>BAPI: RW 619 for direct tax posting</t>
  </si>
  <si>
    <t>SG 105 for foreign currency valuation posting using BAPI</t>
  </si>
  <si>
    <t>Foreign key check for customer field in FI fast entry</t>
  </si>
  <si>
    <t>Operation field (VORNR_AUF) disappears from coding block</t>
  </si>
  <si>
    <t>SAPKH60609</t>
  </si>
  <si>
    <t>Collective Checkman Note for BS MD</t>
  </si>
  <si>
    <t>Move SPECIAL-DATA2 fields through SAP_APPL generically</t>
  </si>
  <si>
    <t>Result Set of select statement is not sorted</t>
  </si>
  <si>
    <t>BC-EIM</t>
  </si>
  <si>
    <t>Enterprise Info-Mgmt - Please use subcomponents</t>
  </si>
  <si>
    <t>BC-EIM-ESH</t>
  </si>
  <si>
    <t>NW Enterpr Search</t>
  </si>
  <si>
    <t>Sammelhinweis für Enterprise Search @ HANA Entwicklung</t>
  </si>
  <si>
    <t>Documentation for SAP HANA Search</t>
  </si>
  <si>
    <t>Dummy-Hinweis: Übersetzung / CHECKMAN / Jlin / Build Error</t>
  </si>
  <si>
    <t>BW-BCT-MM-IM</t>
  </si>
  <si>
    <t>Potential problems in LOG_CONTENT_STOCK_SELECT</t>
  </si>
  <si>
    <t>Access to unsorted data by programs of Classification</t>
  </si>
  <si>
    <t>Checkman errors from HANA_CLSTR</t>
  </si>
  <si>
    <t>CA-GTF-AIF</t>
  </si>
  <si>
    <t>App. Interf. Framew.</t>
  </si>
  <si>
    <t>CA-GTF-CBN</t>
  </si>
  <si>
    <t>Contextual Business</t>
  </si>
  <si>
    <t>Löschen von doppelten GW Services</t>
  </si>
  <si>
    <t>PI_BASIS: Funktionalitäten der CPE und CPF</t>
  </si>
  <si>
    <t>CPE Daten werden im Trading Kontrakt nicht gesichert</t>
  </si>
  <si>
    <t>CA-GTF-HSB</t>
  </si>
  <si>
    <t>HANA Search for Bus.</t>
  </si>
  <si>
    <t>Search Models for Enterprise Search on HANA</t>
  </si>
  <si>
    <t>CHIP Material Stock and Requirements List in planning plant</t>
  </si>
  <si>
    <t>CA-MDG-APP-ISS</t>
  </si>
  <si>
    <t>Internal Self-Servic</t>
  </si>
  <si>
    <t>CA-OIW</t>
  </si>
  <si>
    <t>Open Info Warehouse</t>
  </si>
  <si>
    <t>BAPI_OIW_GET_DATA: Results columns moved</t>
  </si>
  <si>
    <t>Profitability Analysis</t>
  </si>
  <si>
    <t>Corrections according to formal code checks (IMS-FIN3)</t>
  </si>
  <si>
    <t>CPPR Bundle &amp; create PO functionality incorrect</t>
  </si>
  <si>
    <t>EHP6-SP03:Outline long text not copied from template</t>
  </si>
  <si>
    <t>SOS assignment possible after RFX creation</t>
  </si>
  <si>
    <t>Service structure not copied correctly from Catalog in SPPR</t>
  </si>
  <si>
    <t>EP-PCT-SRM</t>
  </si>
  <si>
    <t>SRM Packages</t>
  </si>
  <si>
    <t>EP-PCT-SRM-S</t>
  </si>
  <si>
    <t>BP SRM</t>
  </si>
  <si>
    <t>Correction for Search related BADIs</t>
  </si>
  <si>
    <t>Documentation for Portugal Public Sector</t>
  </si>
  <si>
    <t>Audit Informations System (AIS) 6.00 - Sammelhinweis</t>
  </si>
  <si>
    <t>Texte in falscher Sprache</t>
  </si>
  <si>
    <t>Checkman - Sorted database result expected</t>
  </si>
  <si>
    <t>TRM: sort sequence</t>
  </si>
  <si>
    <t>FIN-FSCM-TRM-AN</t>
  </si>
  <si>
    <t>Analyzer</t>
  </si>
  <si>
    <t>SQL Select</t>
  </si>
  <si>
    <t>Korrekturen in SP 1</t>
  </si>
  <si>
    <t>Dummy Note for EHP7 SP1 Corrections (E17)</t>
  </si>
  <si>
    <t>TRM: Unsorted result set might cause undefined program behav</t>
  </si>
  <si>
    <t>BP_CVI: Missing message in message class FSBP_ECC</t>
  </si>
  <si>
    <t>Technical prerequisites for SAP Note 1678300</t>
  </si>
  <si>
    <t>IS-CWM Correction of screen error SAPML03T</t>
  </si>
  <si>
    <t>Adjusting CPE new UI with Oil - Enhancement Point</t>
  </si>
  <si>
    <t>Package errors for SAP_UI server package in EA-Retail</t>
  </si>
  <si>
    <t>Program termination in MM42 caused by SAP Note 1858622</t>
  </si>
  <si>
    <t>Store Order T161P : Selectsort</t>
  </si>
  <si>
    <t>Select sort : Issues in IS-R: Inventory Management</t>
  </si>
  <si>
    <t>IS-R-LG-SPV</t>
  </si>
  <si>
    <t>Sales Price Valuat.</t>
  </si>
  <si>
    <t>Potential unsorted result list from a SQL-Select</t>
  </si>
  <si>
    <t>WRPL : SELECTSORT</t>
  </si>
  <si>
    <t>BAPI_OUTB_DELIVERY_CREATE_SLS: no info on overdelivered item</t>
  </si>
  <si>
    <t>check message for LE-TRA application</t>
  </si>
  <si>
    <t>Docu enhacements</t>
  </si>
  <si>
    <t>VL10A: Termination message CL517</t>
  </si>
  <si>
    <t>VB_READ_BATCH: Result of SQL-Select maybe not sorted</t>
  </si>
  <si>
    <t>LO-BM-INT</t>
  </si>
  <si>
    <t>RVBDEACT: Result of SQL-Select maybe not sorted</t>
  </si>
  <si>
    <t>LO-BM-OB</t>
  </si>
  <si>
    <t>Original Batch</t>
  </si>
  <si>
    <t>Short dump in program "SAPLVBOB"</t>
  </si>
  <si>
    <t>LO_CHVW: Result of SQL-Select maybe not sorted</t>
  </si>
  <si>
    <t>RM07CHDX: Result of SQL-Select maybe not sorted</t>
  </si>
  <si>
    <t>System Documentation for ERP 6.07</t>
  </si>
  <si>
    <t>Checkman: Suspicious Access to Unsorted DB Content</t>
  </si>
  <si>
    <t>Text corrections</t>
  </si>
  <si>
    <t>LO-GT-CMM</t>
  </si>
  <si>
    <t>CMM2.0 GTM collective corrections in EHP7 SP01</t>
  </si>
  <si>
    <t>Delivery Date not filled for confirmation data of POs</t>
  </si>
  <si>
    <t>E17 and E7S - Collective note</t>
  </si>
  <si>
    <t>SQL-Select Statement get unsorted result</t>
  </si>
  <si>
    <t>Potential disclosure of persisted data in MAP</t>
  </si>
  <si>
    <t>Transport COntainer for BOM</t>
  </si>
  <si>
    <t>Material BOM Explosion Optimization for HANA</t>
  </si>
  <si>
    <t>Mandates of customer are not replicated to CRM</t>
  </si>
  <si>
    <t>Various errors</t>
  </si>
  <si>
    <t>The result set of an SQL-Select Statement may not be sorted</t>
  </si>
  <si>
    <t>Validity Dates are not displayed in Material Info Record</t>
  </si>
  <si>
    <t>MMBE:  Unit of measure conversion error</t>
  </si>
  <si>
    <t>Prices changes for multiple UoMs not transferred to DMF</t>
  </si>
  <si>
    <t>Sorting Order of Select Statements not correct</t>
  </si>
  <si>
    <t>Pool-/cluster tables: Database upgrade -&gt; Other</t>
  </si>
  <si>
    <t>result set of select statement is not sorted</t>
  </si>
  <si>
    <t>Dummy Note - All non-customer relevant issues</t>
  </si>
  <si>
    <t>Correction regarding Checkman error (SELECTSORT)</t>
  </si>
  <si>
    <t>WAUF: selectsort</t>
  </si>
  <si>
    <t>LO-RIS</t>
  </si>
  <si>
    <t>RIS</t>
  </si>
  <si>
    <t>CLOI_QUEUE_CHECK: DELETE on unsorted DB Content</t>
  </si>
  <si>
    <t>Batch selection criteria not available in decentral system 2</t>
  </si>
  <si>
    <t>IDoc distribution for all systems only allowed if confirmed</t>
  </si>
  <si>
    <t>Sort Order Issue</t>
  </si>
  <si>
    <t>Switching to read-only mode when maintaining obj. dep.</t>
  </si>
  <si>
    <t>MM-CBP</t>
  </si>
  <si>
    <t>Cons.-based planning</t>
  </si>
  <si>
    <t>Sort in package WOD</t>
  </si>
  <si>
    <t>Wrong reference field for RANGE of LGORT</t>
  </si>
  <si>
    <t>SoH on anyDB optimization: MB5B &amp; MB5K</t>
  </si>
  <si>
    <t>MB5B - Display incorrect or incomplete</t>
  </si>
  <si>
    <t>MM-IM-SOH</t>
  </si>
  <si>
    <t>HDB Opt. for IM</t>
  </si>
  <si>
    <t>RUERP616HANA: MMBE not showing Storage Bin number</t>
  </si>
  <si>
    <t>Supplementary conditions not printed for Service item</t>
  </si>
  <si>
    <t>Outline header conditions not printed in Contract output</t>
  </si>
  <si>
    <t>Text 'position is fully delivered' is outputed incorrectly</t>
  </si>
  <si>
    <t>Delivered quantity incorrectly displayed in Adobe output</t>
  </si>
  <si>
    <t>Missing package usages</t>
  </si>
  <si>
    <t>Result of select statement not sorted</t>
  </si>
  <si>
    <t>V_V2 exits when serialized PO is rescheduled</t>
  </si>
  <si>
    <t>CPE: Composite SAP Note for SP01 for EHP7</t>
  </si>
  <si>
    <t>Error 6Q202 while creating contract with PR reference</t>
  </si>
  <si>
    <t>Error CX_SY_DYN_CALL_ILLEGAL_TYPE after implementing 1684314</t>
  </si>
  <si>
    <t>DA300 error while replicating contract in ERP</t>
  </si>
  <si>
    <t>Message 06248 not displayed in ME21N</t>
  </si>
  <si>
    <t>MEI1: Missing update of price during automatic adjustment</t>
  </si>
  <si>
    <t>short dump COMPUTE_BCD_OVERFLOW while using BAPI for release</t>
  </si>
  <si>
    <t>Short dump BCD_FIELD_OVERFLOW while changing PR in ME52N</t>
  </si>
  <si>
    <t>BAPI_CONTRACT_CHANGE resulted in error VK016</t>
  </si>
  <si>
    <t>SC Vendor flag can be set for Stock transfer Scheduling Agr.</t>
  </si>
  <si>
    <t>Incorrect price and price date update using BAPI_SAG_CHANGE</t>
  </si>
  <si>
    <t>ATC check message for MM-PUR application</t>
  </si>
  <si>
    <t>Messages created with BAPI context not cleared</t>
  </si>
  <si>
    <t>BAPI: Freight condition can't be added to STO after GI post</t>
  </si>
  <si>
    <t>BAPI: Central Contract changes not possible through BAPI</t>
  </si>
  <si>
    <t>EBAN APPEND fields get cleared while using BAPI_PR_CHANGE</t>
  </si>
  <si>
    <t>Syntax Optimization ME1L, ME2L, ME3L, ME2M and ME2K</t>
  </si>
  <si>
    <t>HANA Calculation View is invalidated and can't be activated</t>
  </si>
  <si>
    <t>BADI MMPUR_DBSYSOPT_POH not implementable</t>
  </si>
  <si>
    <t>MM-PUR: Performance Improvement of ME2* running on HANA DB</t>
  </si>
  <si>
    <t>MEQ8 fails with selection based on Minimum variance</t>
  </si>
  <si>
    <t>ME32K allows to maintain duplicate source list entires</t>
  </si>
  <si>
    <t>Missing Correction in EHP 607/617</t>
  </si>
  <si>
    <t>ME12: Purchase order text is not editable</t>
  </si>
  <si>
    <t>Park &amp; Hold: Error messages issued repeatedly in SRV doc's.</t>
  </si>
  <si>
    <t>Park &amp; Hold: Error messages issued repeatedly in SRV docs</t>
  </si>
  <si>
    <t>ATC check message for MM-SRV application</t>
  </si>
  <si>
    <t>Exception:CX_SY_DYNAMIC_OSQL_SYNTAX in msrv1-msrv6 with HANA</t>
  </si>
  <si>
    <t>BAPI_ENTRYSHEET_CREATE: SE182 error message display is wrong</t>
  </si>
  <si>
    <t>Material BOM Web UI: Redlining - subitems</t>
  </si>
  <si>
    <t>Enterprise Search on HANA: PM Corrections</t>
  </si>
  <si>
    <t>Result set of an SQL-Select Statement is not sorted</t>
  </si>
  <si>
    <t>Performance of SP icon display in PM order (operation view)</t>
  </si>
  <si>
    <t>SAP_APPL: Performance of the "Documents" button</t>
  </si>
  <si>
    <t>The result set of an SQL-Select Statement is not sorted</t>
  </si>
  <si>
    <t>EAM notification: User data fields overlap</t>
  </si>
  <si>
    <t>Table CRHH: Technical settings are missing</t>
  </si>
  <si>
    <t>Suspicious Access to Unsorted DB Content in Include LCY17FG1</t>
  </si>
  <si>
    <t>PP-IS</t>
  </si>
  <si>
    <t>Unsorted DB content in include LMCF4F20</t>
  </si>
  <si>
    <t>Status change of blocked kanban triggers replenishment</t>
  </si>
  <si>
    <t>PK13N: Number of blocked kanbans is always shown as zero</t>
  </si>
  <si>
    <t>PP-KAB-KE</t>
  </si>
  <si>
    <t>Evaluations</t>
  </si>
  <si>
    <t>PK18: selection using wild card * is not working</t>
  </si>
  <si>
    <t>PK11: User specific parameter selection setting not saved</t>
  </si>
  <si>
    <t>Components cannot be cleared from special stock</t>
  </si>
  <si>
    <t>Incorrect serial number check after order split</t>
  </si>
  <si>
    <t>SAP HANA: No SAP HANA optimization for MD02 product groups</t>
  </si>
  <si>
    <t>MRP on HANA - Einleseregel: LPEs ersetzen durch Abrufe</t>
  </si>
  <si>
    <t>HANA: User-Exit Planungslauf inperformant</t>
  </si>
  <si>
    <t>Performance: MRP on HANA - Materialstamm einlesen</t>
  </si>
  <si>
    <t>SAP HANA: User exit for planning run performs poorly - 02</t>
  </si>
  <si>
    <t>Sammelhinweis: Korekturen für PP-MRP on HANA for EhP7</t>
  </si>
  <si>
    <t>HANA: User-Exit parallele Planung funktioniert nicht</t>
  </si>
  <si>
    <t>HANA: LB-Strecken-Bestellungen im falschen LB-Abschnitt</t>
  </si>
  <si>
    <t>SAP HANA comparison report: Returns item KNTTP not deleted</t>
  </si>
  <si>
    <t>Newly marked purchase requisitions not displayed in MD04</t>
  </si>
  <si>
    <t>HANA: Kurzdump in Planungstransaktion / MD04</t>
  </si>
  <si>
    <t>HANA MD03: Bestellungen verschwinden in der Planung</t>
  </si>
  <si>
    <t>Vorplanungsbedarf: PBDNR nur für Vorplanungsabschnitt</t>
  </si>
  <si>
    <t>HANA: Verfügbarkeitskennzeichen bei Prognosebedarfen</t>
  </si>
  <si>
    <t>PP on SAP HANA: Performance  improvements with HANA SP02</t>
  </si>
  <si>
    <t>Missing objects in package interfaces in SP7</t>
  </si>
  <si>
    <t>Too few materials for multiple selection by MRP controller</t>
  </si>
  <si>
    <t>Order report for STO does not show issuing plant elements</t>
  </si>
  <si>
    <t>Checkman errors in EHP7 for HANA DB</t>
  </si>
  <si>
    <t>Performance Improvements for Planned Allocation Run</t>
  </si>
  <si>
    <t>SQL-Select Statement is not sorted</t>
  </si>
  <si>
    <t>Automatic and Periodic Allocations</t>
  </si>
  <si>
    <t>Result of an SQL-Select Statement may not be sorted in PS</t>
  </si>
  <si>
    <t>PS on HANA: Cost existence check optimization correction</t>
  </si>
  <si>
    <t>Network orders in Project displayed twice</t>
  </si>
  <si>
    <t>Sort Problem in PS</t>
  </si>
  <si>
    <t>Checkman issue in the generated structure AMLTX due to LANGU</t>
  </si>
  <si>
    <t>Sort issue with DB SELECT statements</t>
  </si>
  <si>
    <t>ESH Extraktor von Langtext</t>
  </si>
  <si>
    <t>Worklist notifications: Sort issue with DB SELECT statements</t>
  </si>
  <si>
    <t>INT-PPM: Performance of PPM integration model generation</t>
  </si>
  <si>
    <t>CIF: Select statement may not be sorted</t>
  </si>
  <si>
    <t>SCM-BAS-INT-EXT</t>
  </si>
  <si>
    <t>Interface to Externa</t>
  </si>
  <si>
    <t>SQL SELECT statement no ORDER BY</t>
  </si>
  <si>
    <t>Checkman Corrections: F&amp;R on ERP - Sort Order Issue</t>
  </si>
  <si>
    <t>Checkman Corrections: F&amp;R on ERP - Sort Order Issue - Part 2</t>
  </si>
  <si>
    <t>Checkman Corrections: F&amp;R on ERP - Sort Order Issue Part 3</t>
  </si>
  <si>
    <t>Corrections in system documentation required</t>
  </si>
  <si>
    <t>ABAP Exception in VF05</t>
  </si>
  <si>
    <t>Multiple quantity transfer to CO/statistics due to pro forma</t>
  </si>
  <si>
    <t>Sorting of internal tables within the rebate process</t>
  </si>
  <si>
    <t>Result set not sorted</t>
  </si>
  <si>
    <t>Missing sorting after select</t>
  </si>
  <si>
    <t>SD-POS-IN</t>
  </si>
  <si>
    <t>POS Interface - Inb.</t>
  </si>
  <si>
    <t>Sorted Queries in POS Inbound (SAP_APPL)</t>
  </si>
  <si>
    <t>123Sort Problem for HANA DB</t>
  </si>
  <si>
    <t>Docu link of business function LOG_SD_REPORT_OPT corrected</t>
  </si>
  <si>
    <t>Overflow error in FV45EFMA_BESCHAFFUNG_KALKULATI</t>
  </si>
  <si>
    <t>Search: Fortschreibung Change Pointer VBFA</t>
  </si>
  <si>
    <t>Sorted Queries in SD Open Sales Order Monitor</t>
  </si>
  <si>
    <t>Unsorted Result Set of an SQL-Select Statement</t>
  </si>
  <si>
    <t>Laufzeitfehler bei optimierter VA05</t>
  </si>
  <si>
    <t>ERP Logistics Integration</t>
  </si>
  <si>
    <t>Transportation Req.</t>
  </si>
  <si>
    <t>ERP_TM: Hand Over Location, Date and Shipping Type</t>
  </si>
  <si>
    <t>TR-CM</t>
  </si>
  <si>
    <t>Item category data determination for WEC with ERP back end</t>
  </si>
  <si>
    <t>Query result might not be sorted when doing binary search</t>
  </si>
  <si>
    <t>Deleting adjacent duplicates from potentially unsorted table</t>
  </si>
  <si>
    <t>SAP TM - ERP Localization Brazil BF Deletion on 617 release</t>
  </si>
  <si>
    <t>J1INQEFILE : Performance issue</t>
  </si>
  <si>
    <t>J_1IEWT_MIS : Vendor Mismatch in Excel Generated</t>
  </si>
  <si>
    <t>Data not retrieved in sorted format for cluster/pool tables</t>
  </si>
  <si>
    <t>J_3RMOBVED: Unsorted DB Content</t>
  </si>
  <si>
    <t>The result set of a Select Statement may not be sorted</t>
  </si>
  <si>
    <t>SAPKH61701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</si>
</sst>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">
    <xf numFmtId="0" fontId="0" fillId="0" borderId="0" xfId="0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3333"/>
  <sheetViews>
    <sheetView tabSelected="1" workbookViewId="0"/>
  </sheetViews>
  <sheetFormatPr defaultRowHeight="15" x14ac:dyDescent="0.25"/>
  <cols>
    <col min="1" max="1" width="12.5703125" customWidth="1"/>
    <col min="2" max="2" width="22" customWidth="1"/>
    <col min="3" max="3" width="46" customWidth="1"/>
    <col min="4" max="4" width="24.42578125" customWidth="1"/>
    <col min="5" max="5" width="16.42578125" customWidth="1"/>
    <col min="6" max="6" width="62.28515625" customWidth="1"/>
  </cols>
  <sheetData>
    <row r="1" spans="1:6" x14ac:dyDescent="0.25">
      <c r="A1" t="s">
        <v>79</v>
      </c>
      <c r="B1" t="s">
        <v>0</v>
      </c>
      <c r="C1" t="s">
        <v>1</v>
      </c>
      <c r="D1" t="s">
        <v>2</v>
      </c>
      <c r="E1" t="s">
        <v>3</v>
      </c>
      <c r="F1" t="s">
        <v>4</v>
      </c>
    </row>
    <row r="2" spans="1:6" x14ac:dyDescent="0.25">
      <c r="A2" t="s">
        <v>80</v>
      </c>
      <c r="B2" t="s">
        <v>5</v>
      </c>
      <c r="C2" t="s">
        <v>6</v>
      </c>
    </row>
    <row r="3" spans="1:6" x14ac:dyDescent="0.25">
      <c r="A3" t="s">
        <v>80</v>
      </c>
      <c r="B3" t="s">
        <v>7</v>
      </c>
      <c r="C3" t="s">
        <v>8</v>
      </c>
      <c r="D3" t="str">
        <f>HYPERLINK("http://service.sap.com/sap/support/notes/1619783","1619783")</f>
        <v>1619783</v>
      </c>
      <c r="E3">
        <v>3</v>
      </c>
      <c r="F3" t="s">
        <v>9</v>
      </c>
    </row>
    <row r="4" spans="1:6" x14ac:dyDescent="0.25">
      <c r="A4" t="s">
        <v>80</v>
      </c>
      <c r="B4" t="s">
        <v>7</v>
      </c>
      <c r="C4" t="s">
        <v>8</v>
      </c>
      <c r="D4" t="str">
        <f>HYPERLINK("http://service.sap.com/sap/support/notes/1623933","1623933")</f>
        <v>1623933</v>
      </c>
      <c r="E4">
        <v>1</v>
      </c>
      <c r="F4" t="s">
        <v>10</v>
      </c>
    </row>
    <row r="5" spans="1:6" x14ac:dyDescent="0.25">
      <c r="A5" t="s">
        <v>80</v>
      </c>
      <c r="B5" t="s">
        <v>7</v>
      </c>
      <c r="C5" t="s">
        <v>8</v>
      </c>
      <c r="D5" t="str">
        <f>HYPERLINK("http://service.sap.com/sap/support/notes/1673295","1673295")</f>
        <v>1673295</v>
      </c>
      <c r="E5">
        <v>1</v>
      </c>
      <c r="F5" t="s">
        <v>11</v>
      </c>
    </row>
    <row r="6" spans="1:6" x14ac:dyDescent="0.25">
      <c r="A6" t="s">
        <v>80</v>
      </c>
      <c r="B6" t="s">
        <v>7</v>
      </c>
      <c r="C6" t="s">
        <v>8</v>
      </c>
      <c r="D6" t="str">
        <f>HYPERLINK("http://service.sap.com/sap/support/notes/1677837","1677837")</f>
        <v>1677837</v>
      </c>
      <c r="E6">
        <v>1</v>
      </c>
      <c r="F6" t="s">
        <v>12</v>
      </c>
    </row>
    <row r="7" spans="1:6" x14ac:dyDescent="0.25">
      <c r="A7" t="s">
        <v>80</v>
      </c>
      <c r="B7" t="s">
        <v>7</v>
      </c>
      <c r="C7" t="s">
        <v>8</v>
      </c>
      <c r="D7" t="str">
        <f>HYPERLINK("http://service.sap.com/sap/support/notes/1678885","1678885")</f>
        <v>1678885</v>
      </c>
      <c r="E7">
        <v>1</v>
      </c>
      <c r="F7" t="s">
        <v>13</v>
      </c>
    </row>
    <row r="8" spans="1:6" x14ac:dyDescent="0.25">
      <c r="A8" t="s">
        <v>80</v>
      </c>
      <c r="B8" t="s">
        <v>7</v>
      </c>
      <c r="C8" t="s">
        <v>8</v>
      </c>
      <c r="D8" t="str">
        <f>HYPERLINK("http://service.sap.com/sap/support/notes/1722315","1722315")</f>
        <v>1722315</v>
      </c>
      <c r="E8">
        <v>1</v>
      </c>
      <c r="F8" t="s">
        <v>14</v>
      </c>
    </row>
    <row r="9" spans="1:6" x14ac:dyDescent="0.25">
      <c r="A9" t="s">
        <v>80</v>
      </c>
      <c r="B9" t="s">
        <v>15</v>
      </c>
      <c r="C9" t="s">
        <v>16</v>
      </c>
      <c r="D9" t="str">
        <f>HYPERLINK("http://service.sap.com/sap/support/notes/1672311","1672311")</f>
        <v>1672311</v>
      </c>
      <c r="E9">
        <v>6</v>
      </c>
      <c r="F9" t="s">
        <v>17</v>
      </c>
    </row>
    <row r="10" spans="1:6" x14ac:dyDescent="0.25">
      <c r="A10" t="s">
        <v>80</v>
      </c>
      <c r="B10" t="s">
        <v>15</v>
      </c>
      <c r="C10" t="s">
        <v>16</v>
      </c>
      <c r="D10" t="str">
        <f>HYPERLINK("http://service.sap.com/sap/support/notes/1675475","1675475")</f>
        <v>1675475</v>
      </c>
      <c r="E10">
        <v>5</v>
      </c>
      <c r="F10" t="s">
        <v>18</v>
      </c>
    </row>
    <row r="11" spans="1:6" x14ac:dyDescent="0.25">
      <c r="A11" t="s">
        <v>80</v>
      </c>
      <c r="B11" t="s">
        <v>15</v>
      </c>
      <c r="C11" t="s">
        <v>16</v>
      </c>
      <c r="D11" t="str">
        <f>HYPERLINK("http://service.sap.com/sap/support/notes/1679205","1679205")</f>
        <v>1679205</v>
      </c>
      <c r="E11">
        <v>2</v>
      </c>
      <c r="F11" t="s">
        <v>19</v>
      </c>
    </row>
    <row r="12" spans="1:6" x14ac:dyDescent="0.25">
      <c r="A12" t="s">
        <v>80</v>
      </c>
      <c r="B12" t="s">
        <v>15</v>
      </c>
      <c r="C12" t="s">
        <v>16</v>
      </c>
      <c r="D12" t="str">
        <f>HYPERLINK("http://service.sap.com/sap/support/notes/1685821","1685821")</f>
        <v>1685821</v>
      </c>
      <c r="E12">
        <v>4</v>
      </c>
      <c r="F12" t="s">
        <v>20</v>
      </c>
    </row>
    <row r="13" spans="1:6" x14ac:dyDescent="0.25">
      <c r="A13" t="s">
        <v>80</v>
      </c>
      <c r="B13" t="s">
        <v>15</v>
      </c>
      <c r="C13" t="s">
        <v>16</v>
      </c>
      <c r="D13" t="str">
        <f>HYPERLINK("http://service.sap.com/sap/support/notes/1687732","1687732")</f>
        <v>1687732</v>
      </c>
      <c r="E13">
        <v>2</v>
      </c>
      <c r="F13" t="s">
        <v>21</v>
      </c>
    </row>
    <row r="14" spans="1:6" x14ac:dyDescent="0.25">
      <c r="A14" t="s">
        <v>80</v>
      </c>
      <c r="B14" t="s">
        <v>15</v>
      </c>
      <c r="C14" t="s">
        <v>16</v>
      </c>
      <c r="D14" t="str">
        <f>HYPERLINK("http://service.sap.com/sap/support/notes/1688712","1688712")</f>
        <v>1688712</v>
      </c>
      <c r="E14">
        <v>1</v>
      </c>
      <c r="F14" t="s">
        <v>22</v>
      </c>
    </row>
    <row r="15" spans="1:6" x14ac:dyDescent="0.25">
      <c r="A15" t="s">
        <v>80</v>
      </c>
      <c r="B15" t="s">
        <v>15</v>
      </c>
      <c r="C15" t="s">
        <v>16</v>
      </c>
      <c r="D15" t="str">
        <f>HYPERLINK("http://service.sap.com/sap/support/notes/1711584","1711584")</f>
        <v>1711584</v>
      </c>
      <c r="E15">
        <v>2</v>
      </c>
      <c r="F15" t="s">
        <v>23</v>
      </c>
    </row>
    <row r="16" spans="1:6" x14ac:dyDescent="0.25">
      <c r="A16" t="s">
        <v>80</v>
      </c>
      <c r="B16" t="s">
        <v>15</v>
      </c>
      <c r="C16" t="s">
        <v>16</v>
      </c>
      <c r="D16" t="str">
        <f>HYPERLINK("http://service.sap.com/sap/support/notes/1712522","1712522")</f>
        <v>1712522</v>
      </c>
      <c r="E16">
        <v>1</v>
      </c>
      <c r="F16" t="s">
        <v>24</v>
      </c>
    </row>
    <row r="17" spans="1:6" x14ac:dyDescent="0.25">
      <c r="A17" t="s">
        <v>80</v>
      </c>
      <c r="B17" t="s">
        <v>15</v>
      </c>
      <c r="C17" t="s">
        <v>16</v>
      </c>
      <c r="D17" t="str">
        <f>HYPERLINK("http://service.sap.com/sap/support/notes/1714039","1714039")</f>
        <v>1714039</v>
      </c>
      <c r="E17">
        <v>1</v>
      </c>
      <c r="F17" t="s">
        <v>25</v>
      </c>
    </row>
    <row r="18" spans="1:6" x14ac:dyDescent="0.25">
      <c r="A18" t="s">
        <v>80</v>
      </c>
      <c r="B18" t="s">
        <v>15</v>
      </c>
      <c r="C18" t="s">
        <v>16</v>
      </c>
      <c r="D18" t="str">
        <f>HYPERLINK("http://service.sap.com/sap/support/notes/1724667","1724667")</f>
        <v>1724667</v>
      </c>
      <c r="E18">
        <v>6</v>
      </c>
      <c r="F18" t="s">
        <v>26</v>
      </c>
    </row>
    <row r="19" spans="1:6" x14ac:dyDescent="0.25">
      <c r="A19" t="s">
        <v>80</v>
      </c>
      <c r="B19" t="s">
        <v>15</v>
      </c>
      <c r="C19" t="s">
        <v>16</v>
      </c>
      <c r="D19" t="str">
        <f>HYPERLINK("http://service.sap.com/sap/support/notes/1735984","1735984")</f>
        <v>1735984</v>
      </c>
      <c r="E19">
        <v>3</v>
      </c>
      <c r="F19" t="s">
        <v>27</v>
      </c>
    </row>
    <row r="20" spans="1:6" x14ac:dyDescent="0.25">
      <c r="A20" t="s">
        <v>80</v>
      </c>
      <c r="B20" t="s">
        <v>28</v>
      </c>
      <c r="C20" t="s">
        <v>29</v>
      </c>
    </row>
    <row r="21" spans="1:6" x14ac:dyDescent="0.25">
      <c r="A21" t="s">
        <v>80</v>
      </c>
      <c r="B21" t="s">
        <v>30</v>
      </c>
      <c r="C21" t="s">
        <v>31</v>
      </c>
      <c r="D21" t="str">
        <f>HYPERLINK("http://service.sap.com/sap/support/notes/1671639","1671639")</f>
        <v>1671639</v>
      </c>
      <c r="E21">
        <v>2</v>
      </c>
      <c r="F21" t="s">
        <v>32</v>
      </c>
    </row>
    <row r="22" spans="1:6" x14ac:dyDescent="0.25">
      <c r="A22" t="s">
        <v>80</v>
      </c>
      <c r="B22" t="s">
        <v>30</v>
      </c>
      <c r="C22" t="s">
        <v>31</v>
      </c>
      <c r="D22" t="str">
        <f>HYPERLINK("http://service.sap.com/sap/support/notes/1676454","1676454")</f>
        <v>1676454</v>
      </c>
      <c r="E22">
        <v>1</v>
      </c>
      <c r="F22" t="s">
        <v>33</v>
      </c>
    </row>
    <row r="23" spans="1:6" x14ac:dyDescent="0.25">
      <c r="A23" t="s">
        <v>80</v>
      </c>
      <c r="B23" t="s">
        <v>30</v>
      </c>
      <c r="C23" t="s">
        <v>31</v>
      </c>
      <c r="D23" t="str">
        <f>HYPERLINK("http://service.sap.com/sap/support/notes/1680202","1680202")</f>
        <v>1680202</v>
      </c>
      <c r="E23">
        <v>1</v>
      </c>
      <c r="F23" t="s">
        <v>34</v>
      </c>
    </row>
    <row r="24" spans="1:6" x14ac:dyDescent="0.25">
      <c r="A24" t="s">
        <v>80</v>
      </c>
      <c r="B24" t="s">
        <v>30</v>
      </c>
      <c r="C24" t="s">
        <v>31</v>
      </c>
      <c r="D24" t="str">
        <f>HYPERLINK("http://service.sap.com/sap/support/notes/1692732","1692732")</f>
        <v>1692732</v>
      </c>
      <c r="E24">
        <v>1</v>
      </c>
      <c r="F24" t="s">
        <v>35</v>
      </c>
    </row>
    <row r="25" spans="1:6" x14ac:dyDescent="0.25">
      <c r="A25" t="s">
        <v>80</v>
      </c>
      <c r="B25" t="s">
        <v>30</v>
      </c>
      <c r="C25" t="s">
        <v>31</v>
      </c>
      <c r="D25" t="str">
        <f>HYPERLINK("http://service.sap.com/sap/support/notes/1732450","1732450")</f>
        <v>1732450</v>
      </c>
      <c r="E25">
        <v>1</v>
      </c>
      <c r="F25" t="s">
        <v>36</v>
      </c>
    </row>
    <row r="26" spans="1:6" x14ac:dyDescent="0.25">
      <c r="A26" t="s">
        <v>80</v>
      </c>
      <c r="B26" t="s">
        <v>30</v>
      </c>
      <c r="C26" t="s">
        <v>31</v>
      </c>
      <c r="D26" t="str">
        <f>HYPERLINK("http://service.sap.com/sap/support/notes/1737079","1737079")</f>
        <v>1737079</v>
      </c>
      <c r="E26">
        <v>2</v>
      </c>
      <c r="F26" t="s">
        <v>37</v>
      </c>
    </row>
    <row r="27" spans="1:6" x14ac:dyDescent="0.25">
      <c r="A27" t="s">
        <v>80</v>
      </c>
      <c r="B27" t="s">
        <v>38</v>
      </c>
      <c r="C27" t="s">
        <v>39</v>
      </c>
    </row>
    <row r="28" spans="1:6" x14ac:dyDescent="0.25">
      <c r="A28" t="s">
        <v>80</v>
      </c>
      <c r="B28" t="s">
        <v>40</v>
      </c>
      <c r="C28" t="s">
        <v>41</v>
      </c>
      <c r="D28" t="str">
        <f>HYPERLINK("http://service.sap.com/sap/support/notes/1625026","1625026")</f>
        <v>1625026</v>
      </c>
      <c r="E28">
        <v>1</v>
      </c>
      <c r="F28" t="s">
        <v>42</v>
      </c>
    </row>
    <row r="29" spans="1:6" x14ac:dyDescent="0.25">
      <c r="A29" t="s">
        <v>80</v>
      </c>
      <c r="B29" t="s">
        <v>40</v>
      </c>
      <c r="C29" t="s">
        <v>41</v>
      </c>
      <c r="D29" t="str">
        <f>HYPERLINK("http://service.sap.com/sap/support/notes/1684913","1684913")</f>
        <v>1684913</v>
      </c>
      <c r="E29">
        <v>1</v>
      </c>
      <c r="F29" t="s">
        <v>43</v>
      </c>
    </row>
    <row r="30" spans="1:6" x14ac:dyDescent="0.25">
      <c r="A30" t="s">
        <v>80</v>
      </c>
      <c r="B30" t="s">
        <v>40</v>
      </c>
      <c r="C30" t="s">
        <v>41</v>
      </c>
      <c r="D30" t="str">
        <f>HYPERLINK("http://service.sap.com/sap/support/notes/1718523","1718523")</f>
        <v>1718523</v>
      </c>
      <c r="E30">
        <v>1</v>
      </c>
      <c r="F30" t="s">
        <v>44</v>
      </c>
    </row>
    <row r="31" spans="1:6" x14ac:dyDescent="0.25">
      <c r="A31" t="s">
        <v>80</v>
      </c>
      <c r="B31" t="s">
        <v>40</v>
      </c>
      <c r="C31" t="s">
        <v>41</v>
      </c>
      <c r="D31" t="str">
        <f>HYPERLINK("http://service.sap.com/sap/support/notes/1721051","1721051")</f>
        <v>1721051</v>
      </c>
      <c r="E31">
        <v>1</v>
      </c>
      <c r="F31" t="s">
        <v>45</v>
      </c>
    </row>
    <row r="32" spans="1:6" x14ac:dyDescent="0.25">
      <c r="A32" t="s">
        <v>80</v>
      </c>
      <c r="B32" t="s">
        <v>40</v>
      </c>
      <c r="C32" t="s">
        <v>41</v>
      </c>
      <c r="D32" t="str">
        <f>HYPERLINK("http://service.sap.com/sap/support/notes/1732249","1732249")</f>
        <v>1732249</v>
      </c>
      <c r="E32">
        <v>1</v>
      </c>
      <c r="F32" t="s">
        <v>46</v>
      </c>
    </row>
    <row r="33" spans="1:6" x14ac:dyDescent="0.25">
      <c r="A33" t="s">
        <v>80</v>
      </c>
      <c r="B33" t="s">
        <v>47</v>
      </c>
      <c r="C33" t="s">
        <v>48</v>
      </c>
      <c r="D33" t="str">
        <f>HYPERLINK("http://service.sap.com/sap/support/notes/1668606","1668606")</f>
        <v>1668606</v>
      </c>
      <c r="E33">
        <v>2</v>
      </c>
      <c r="F33" t="s">
        <v>49</v>
      </c>
    </row>
    <row r="34" spans="1:6" x14ac:dyDescent="0.25">
      <c r="A34" t="s">
        <v>80</v>
      </c>
      <c r="B34" t="s">
        <v>47</v>
      </c>
      <c r="C34" t="s">
        <v>48</v>
      </c>
      <c r="D34" t="str">
        <f>HYPERLINK("http://service.sap.com/sap/support/notes/1675275","1675275")</f>
        <v>1675275</v>
      </c>
      <c r="E34">
        <v>1</v>
      </c>
      <c r="F34" t="s">
        <v>50</v>
      </c>
    </row>
    <row r="35" spans="1:6" x14ac:dyDescent="0.25">
      <c r="A35" t="s">
        <v>80</v>
      </c>
      <c r="B35" t="s">
        <v>47</v>
      </c>
      <c r="C35" t="s">
        <v>48</v>
      </c>
      <c r="D35" t="str">
        <f>HYPERLINK("http://service.sap.com/sap/support/notes/1675774","1675774")</f>
        <v>1675774</v>
      </c>
      <c r="E35">
        <v>2</v>
      </c>
      <c r="F35" t="s">
        <v>51</v>
      </c>
    </row>
    <row r="36" spans="1:6" x14ac:dyDescent="0.25">
      <c r="A36" t="s">
        <v>80</v>
      </c>
      <c r="B36" t="s">
        <v>47</v>
      </c>
      <c r="C36" t="s">
        <v>48</v>
      </c>
      <c r="D36" t="str">
        <f>HYPERLINK("http://service.sap.com/sap/support/notes/1678110","1678110")</f>
        <v>1678110</v>
      </c>
      <c r="E36">
        <v>1</v>
      </c>
      <c r="F36" t="s">
        <v>52</v>
      </c>
    </row>
    <row r="37" spans="1:6" x14ac:dyDescent="0.25">
      <c r="A37" t="s">
        <v>80</v>
      </c>
      <c r="B37" t="s">
        <v>47</v>
      </c>
      <c r="C37" t="s">
        <v>48</v>
      </c>
      <c r="D37" t="str">
        <f>HYPERLINK("http://service.sap.com/sap/support/notes/1714604","1714604")</f>
        <v>1714604</v>
      </c>
      <c r="E37">
        <v>1</v>
      </c>
      <c r="F37" t="s">
        <v>53</v>
      </c>
    </row>
    <row r="38" spans="1:6" x14ac:dyDescent="0.25">
      <c r="A38" t="s">
        <v>80</v>
      </c>
      <c r="B38" t="s">
        <v>47</v>
      </c>
      <c r="C38" t="s">
        <v>48</v>
      </c>
      <c r="D38" t="str">
        <f>HYPERLINK("http://service.sap.com/sap/support/notes/1719680","1719680")</f>
        <v>1719680</v>
      </c>
      <c r="E38">
        <v>1</v>
      </c>
      <c r="F38" t="s">
        <v>54</v>
      </c>
    </row>
    <row r="39" spans="1:6" x14ac:dyDescent="0.25">
      <c r="A39" t="s">
        <v>80</v>
      </c>
      <c r="B39" t="s">
        <v>47</v>
      </c>
      <c r="C39" t="s">
        <v>48</v>
      </c>
      <c r="D39" t="str">
        <f>HYPERLINK("http://service.sap.com/sap/support/notes/1720999","1720999")</f>
        <v>1720999</v>
      </c>
      <c r="E39">
        <v>3</v>
      </c>
      <c r="F39" t="s">
        <v>55</v>
      </c>
    </row>
    <row r="40" spans="1:6" x14ac:dyDescent="0.25">
      <c r="A40" t="s">
        <v>80</v>
      </c>
      <c r="B40" t="s">
        <v>56</v>
      </c>
      <c r="C40" t="s">
        <v>57</v>
      </c>
      <c r="D40" t="str">
        <f>HYPERLINK("http://service.sap.com/sap/support/notes/1663984","1663984")</f>
        <v>1663984</v>
      </c>
      <c r="E40">
        <v>3</v>
      </c>
      <c r="F40" t="s">
        <v>58</v>
      </c>
    </row>
    <row r="41" spans="1:6" x14ac:dyDescent="0.25">
      <c r="A41" t="s">
        <v>80</v>
      </c>
      <c r="B41" t="s">
        <v>56</v>
      </c>
      <c r="C41" t="s">
        <v>57</v>
      </c>
      <c r="D41" t="str">
        <f>HYPERLINK("http://service.sap.com/sap/support/notes/1685482","1685482")</f>
        <v>1685482</v>
      </c>
      <c r="E41">
        <v>1</v>
      </c>
      <c r="F41" t="s">
        <v>59</v>
      </c>
    </row>
    <row r="42" spans="1:6" x14ac:dyDescent="0.25">
      <c r="A42" t="s">
        <v>80</v>
      </c>
      <c r="B42" t="s">
        <v>56</v>
      </c>
      <c r="C42" t="s">
        <v>57</v>
      </c>
      <c r="D42" t="str">
        <f>HYPERLINK("http://service.sap.com/sap/support/notes/1743265","1743265")</f>
        <v>1743265</v>
      </c>
      <c r="E42">
        <v>1</v>
      </c>
      <c r="F42" t="s">
        <v>60</v>
      </c>
    </row>
    <row r="43" spans="1:6" x14ac:dyDescent="0.25">
      <c r="A43" t="s">
        <v>80</v>
      </c>
      <c r="B43" t="s">
        <v>61</v>
      </c>
      <c r="C43" t="s">
        <v>62</v>
      </c>
    </row>
    <row r="44" spans="1:6" x14ac:dyDescent="0.25">
      <c r="A44" t="s">
        <v>80</v>
      </c>
      <c r="B44" t="s">
        <v>63</v>
      </c>
      <c r="C44" t="s">
        <v>64</v>
      </c>
      <c r="D44" t="str">
        <f>HYPERLINK("http://service.sap.com/sap/support/notes/1447752","1447752")</f>
        <v>1447752</v>
      </c>
      <c r="E44">
        <v>5</v>
      </c>
      <c r="F44" t="s">
        <v>65</v>
      </c>
    </row>
    <row r="45" spans="1:6" x14ac:dyDescent="0.25">
      <c r="A45" t="s">
        <v>80</v>
      </c>
      <c r="B45" t="s">
        <v>63</v>
      </c>
      <c r="C45" t="s">
        <v>64</v>
      </c>
      <c r="D45" t="str">
        <f>HYPERLINK("http://service.sap.com/sap/support/notes/1669043","1669043")</f>
        <v>1669043</v>
      </c>
      <c r="E45">
        <v>2</v>
      </c>
      <c r="F45" t="s">
        <v>66</v>
      </c>
    </row>
    <row r="46" spans="1:6" x14ac:dyDescent="0.25">
      <c r="A46" t="s">
        <v>80</v>
      </c>
      <c r="B46" t="s">
        <v>67</v>
      </c>
      <c r="C46" t="s">
        <v>68</v>
      </c>
      <c r="D46" t="str">
        <f>HYPERLINK("http://service.sap.com/sap/support/notes/1689537","1689537")</f>
        <v>1689537</v>
      </c>
      <c r="E46">
        <v>1</v>
      </c>
      <c r="F46" t="s">
        <v>69</v>
      </c>
    </row>
    <row r="47" spans="1:6" x14ac:dyDescent="0.25">
      <c r="A47" t="s">
        <v>80</v>
      </c>
      <c r="B47" t="s">
        <v>70</v>
      </c>
      <c r="C47" t="s">
        <v>71</v>
      </c>
    </row>
    <row r="48" spans="1:6" x14ac:dyDescent="0.25">
      <c r="A48" t="s">
        <v>80</v>
      </c>
      <c r="B48" t="s">
        <v>72</v>
      </c>
      <c r="C48" t="s">
        <v>73</v>
      </c>
    </row>
    <row r="49" spans="1:6" x14ac:dyDescent="0.25">
      <c r="A49" t="s">
        <v>80</v>
      </c>
      <c r="B49" t="s">
        <v>74</v>
      </c>
      <c r="C49" t="s">
        <v>75</v>
      </c>
    </row>
    <row r="50" spans="1:6" x14ac:dyDescent="0.25">
      <c r="A50" t="s">
        <v>80</v>
      </c>
      <c r="B50" t="s">
        <v>76</v>
      </c>
      <c r="C50" t="s">
        <v>77</v>
      </c>
      <c r="D50" t="str">
        <f>HYPERLINK("http://service.sap.com/sap/support/notes/1676471","1676471")</f>
        <v>1676471</v>
      </c>
      <c r="E50">
        <v>1</v>
      </c>
      <c r="F50" t="s">
        <v>78</v>
      </c>
    </row>
    <row r="51" spans="1:6" x14ac:dyDescent="0.25">
      <c r="A51" t="s">
        <v>124</v>
      </c>
      <c r="B51" t="s">
        <v>5</v>
      </c>
      <c r="C51" t="s">
        <v>6</v>
      </c>
    </row>
    <row r="52" spans="1:6" x14ac:dyDescent="0.25">
      <c r="A52" t="s">
        <v>124</v>
      </c>
      <c r="B52" t="s">
        <v>7</v>
      </c>
      <c r="C52" t="s">
        <v>8</v>
      </c>
      <c r="D52" t="str">
        <f>HYPERLINK("http://service.sap.com/sap/support/notes/1731292","1731292")</f>
        <v>1731292</v>
      </c>
      <c r="E52">
        <v>1</v>
      </c>
      <c r="F52" t="s">
        <v>81</v>
      </c>
    </row>
    <row r="53" spans="1:6" x14ac:dyDescent="0.25">
      <c r="A53" t="s">
        <v>124</v>
      </c>
      <c r="B53" t="s">
        <v>7</v>
      </c>
      <c r="C53" t="s">
        <v>8</v>
      </c>
      <c r="D53" t="str">
        <f>HYPERLINK("http://service.sap.com/sap/support/notes/1745754","1745754")</f>
        <v>1745754</v>
      </c>
      <c r="E53">
        <v>3</v>
      </c>
      <c r="F53" t="s">
        <v>82</v>
      </c>
    </row>
    <row r="54" spans="1:6" x14ac:dyDescent="0.25">
      <c r="A54" t="s">
        <v>124</v>
      </c>
      <c r="B54" t="s">
        <v>7</v>
      </c>
      <c r="C54" t="s">
        <v>8</v>
      </c>
      <c r="D54" t="str">
        <f>HYPERLINK("http://service.sap.com/sap/support/notes/1762878","1762878")</f>
        <v>1762878</v>
      </c>
      <c r="E54">
        <v>2</v>
      </c>
      <c r="F54" t="s">
        <v>83</v>
      </c>
    </row>
    <row r="55" spans="1:6" x14ac:dyDescent="0.25">
      <c r="A55" t="s">
        <v>124</v>
      </c>
      <c r="B55" t="s">
        <v>7</v>
      </c>
      <c r="C55" t="s">
        <v>8</v>
      </c>
      <c r="D55" t="str">
        <f>HYPERLINK("http://service.sap.com/sap/support/notes/1765545","1765545")</f>
        <v>1765545</v>
      </c>
      <c r="E55">
        <v>1</v>
      </c>
      <c r="F55" t="s">
        <v>84</v>
      </c>
    </row>
    <row r="56" spans="1:6" x14ac:dyDescent="0.25">
      <c r="A56" t="s">
        <v>124</v>
      </c>
      <c r="B56" t="s">
        <v>7</v>
      </c>
      <c r="C56" t="s">
        <v>8</v>
      </c>
      <c r="D56" t="str">
        <f>HYPERLINK("http://service.sap.com/sap/support/notes/1785725","1785725")</f>
        <v>1785725</v>
      </c>
      <c r="E56">
        <v>1</v>
      </c>
      <c r="F56" t="s">
        <v>85</v>
      </c>
    </row>
    <row r="57" spans="1:6" x14ac:dyDescent="0.25">
      <c r="A57" t="s">
        <v>124</v>
      </c>
      <c r="B57" t="s">
        <v>7</v>
      </c>
      <c r="C57" t="s">
        <v>8</v>
      </c>
      <c r="D57" t="str">
        <f>HYPERLINK("http://service.sap.com/sap/support/notes/1786782","1786782")</f>
        <v>1786782</v>
      </c>
      <c r="E57">
        <v>1</v>
      </c>
      <c r="F57" t="s">
        <v>86</v>
      </c>
    </row>
    <row r="58" spans="1:6" x14ac:dyDescent="0.25">
      <c r="A58" t="s">
        <v>124</v>
      </c>
      <c r="B58" t="s">
        <v>7</v>
      </c>
      <c r="C58" t="s">
        <v>8</v>
      </c>
      <c r="D58" t="str">
        <f>HYPERLINK("http://service.sap.com/sap/support/notes/1797702","1797702")</f>
        <v>1797702</v>
      </c>
      <c r="E58">
        <v>1</v>
      </c>
      <c r="F58" t="s">
        <v>87</v>
      </c>
    </row>
    <row r="59" spans="1:6" x14ac:dyDescent="0.25">
      <c r="A59" t="s">
        <v>124</v>
      </c>
      <c r="B59" t="s">
        <v>88</v>
      </c>
      <c r="C59" t="s">
        <v>89</v>
      </c>
      <c r="D59" t="str">
        <f>HYPERLINK("http://service.sap.com/sap/support/notes/1744969","1744969")</f>
        <v>1744969</v>
      </c>
      <c r="E59">
        <v>2</v>
      </c>
      <c r="F59" t="s">
        <v>90</v>
      </c>
    </row>
    <row r="60" spans="1:6" x14ac:dyDescent="0.25">
      <c r="A60" t="s">
        <v>124</v>
      </c>
      <c r="B60" t="s">
        <v>88</v>
      </c>
      <c r="C60" t="s">
        <v>89</v>
      </c>
      <c r="D60" t="str">
        <f>HYPERLINK("http://service.sap.com/sap/support/notes/1745574","1745574")</f>
        <v>1745574</v>
      </c>
      <c r="E60">
        <v>4</v>
      </c>
      <c r="F60" t="s">
        <v>91</v>
      </c>
    </row>
    <row r="61" spans="1:6" x14ac:dyDescent="0.25">
      <c r="A61" t="s">
        <v>124</v>
      </c>
      <c r="B61" t="s">
        <v>88</v>
      </c>
      <c r="C61" t="s">
        <v>89</v>
      </c>
      <c r="D61" t="str">
        <f>HYPERLINK("http://service.sap.com/sap/support/notes/1764739","1764739")</f>
        <v>1764739</v>
      </c>
      <c r="E61">
        <v>2</v>
      </c>
      <c r="F61" t="s">
        <v>92</v>
      </c>
    </row>
    <row r="62" spans="1:6" x14ac:dyDescent="0.25">
      <c r="A62" t="s">
        <v>124</v>
      </c>
      <c r="B62" t="s">
        <v>93</v>
      </c>
      <c r="C62" t="s">
        <v>94</v>
      </c>
      <c r="D62" t="str">
        <f>HYPERLINK("http://service.sap.com/sap/support/notes/1793341","1793341")</f>
        <v>1793341</v>
      </c>
      <c r="E62">
        <v>1</v>
      </c>
      <c r="F62" t="s">
        <v>95</v>
      </c>
    </row>
    <row r="63" spans="1:6" x14ac:dyDescent="0.25">
      <c r="A63" t="s">
        <v>124</v>
      </c>
      <c r="B63" t="s">
        <v>15</v>
      </c>
      <c r="C63" t="s">
        <v>16</v>
      </c>
      <c r="D63" t="str">
        <f>HYPERLINK("http://service.sap.com/sap/support/notes/1757602","1757602")</f>
        <v>1757602</v>
      </c>
      <c r="E63">
        <v>1</v>
      </c>
      <c r="F63" t="s">
        <v>96</v>
      </c>
    </row>
    <row r="64" spans="1:6" x14ac:dyDescent="0.25">
      <c r="A64" t="s">
        <v>124</v>
      </c>
      <c r="B64" t="s">
        <v>15</v>
      </c>
      <c r="C64" t="s">
        <v>16</v>
      </c>
      <c r="D64" t="str">
        <f>HYPERLINK("http://service.sap.com/sap/support/notes/1776330","1776330")</f>
        <v>1776330</v>
      </c>
      <c r="E64">
        <v>2</v>
      </c>
      <c r="F64" t="s">
        <v>97</v>
      </c>
    </row>
    <row r="65" spans="1:6" x14ac:dyDescent="0.25">
      <c r="A65" t="s">
        <v>124</v>
      </c>
      <c r="B65" t="s">
        <v>15</v>
      </c>
      <c r="C65" t="s">
        <v>16</v>
      </c>
      <c r="D65" t="str">
        <f>HYPERLINK("http://service.sap.com/sap/support/notes/1782236","1782236")</f>
        <v>1782236</v>
      </c>
      <c r="E65">
        <v>1</v>
      </c>
      <c r="F65" t="s">
        <v>98</v>
      </c>
    </row>
    <row r="66" spans="1:6" x14ac:dyDescent="0.25">
      <c r="A66" t="s">
        <v>124</v>
      </c>
      <c r="B66" t="s">
        <v>15</v>
      </c>
      <c r="C66" t="s">
        <v>16</v>
      </c>
      <c r="D66" t="str">
        <f>HYPERLINK("http://service.sap.com/sap/support/notes/1783961","1783961")</f>
        <v>1783961</v>
      </c>
      <c r="E66">
        <v>1</v>
      </c>
      <c r="F66" t="s">
        <v>99</v>
      </c>
    </row>
    <row r="67" spans="1:6" x14ac:dyDescent="0.25">
      <c r="A67" t="s">
        <v>124</v>
      </c>
      <c r="B67" t="s">
        <v>15</v>
      </c>
      <c r="C67" t="s">
        <v>16</v>
      </c>
      <c r="D67" t="str">
        <f>HYPERLINK("http://service.sap.com/sap/support/notes/1789739","1789739")</f>
        <v>1789739</v>
      </c>
      <c r="E67">
        <v>1</v>
      </c>
      <c r="F67" t="s">
        <v>100</v>
      </c>
    </row>
    <row r="68" spans="1:6" x14ac:dyDescent="0.25">
      <c r="A68" t="s">
        <v>124</v>
      </c>
      <c r="B68" t="s">
        <v>15</v>
      </c>
      <c r="C68" t="s">
        <v>16</v>
      </c>
      <c r="D68" t="str">
        <f>HYPERLINK("http://service.sap.com/sap/support/notes/1791312","1791312")</f>
        <v>1791312</v>
      </c>
      <c r="E68">
        <v>3</v>
      </c>
      <c r="F68" t="s">
        <v>101</v>
      </c>
    </row>
    <row r="69" spans="1:6" x14ac:dyDescent="0.25">
      <c r="A69" t="s">
        <v>124</v>
      </c>
      <c r="B69" t="s">
        <v>15</v>
      </c>
      <c r="C69" t="s">
        <v>16</v>
      </c>
      <c r="D69" t="str">
        <f>HYPERLINK("http://service.sap.com/sap/support/notes/1792694","1792694")</f>
        <v>1792694</v>
      </c>
      <c r="E69">
        <v>1</v>
      </c>
      <c r="F69" t="s">
        <v>102</v>
      </c>
    </row>
    <row r="70" spans="1:6" x14ac:dyDescent="0.25">
      <c r="A70" t="s">
        <v>124</v>
      </c>
      <c r="B70" t="s">
        <v>28</v>
      </c>
      <c r="C70" t="s">
        <v>29</v>
      </c>
    </row>
    <row r="71" spans="1:6" x14ac:dyDescent="0.25">
      <c r="A71" t="s">
        <v>124</v>
      </c>
      <c r="B71" t="s">
        <v>30</v>
      </c>
      <c r="C71" t="s">
        <v>31</v>
      </c>
      <c r="D71" t="str">
        <f>HYPERLINK("http://service.sap.com/sap/support/notes/1365645","1365645")</f>
        <v>1365645</v>
      </c>
      <c r="E71">
        <v>6</v>
      </c>
      <c r="F71" t="s">
        <v>103</v>
      </c>
    </row>
    <row r="72" spans="1:6" x14ac:dyDescent="0.25">
      <c r="A72" t="s">
        <v>124</v>
      </c>
      <c r="B72" t="s">
        <v>30</v>
      </c>
      <c r="C72" t="s">
        <v>31</v>
      </c>
      <c r="D72" t="str">
        <f>HYPERLINK("http://service.sap.com/sap/support/notes/1766939","1766939")</f>
        <v>1766939</v>
      </c>
      <c r="E72">
        <v>1</v>
      </c>
      <c r="F72" t="s">
        <v>104</v>
      </c>
    </row>
    <row r="73" spans="1:6" x14ac:dyDescent="0.25">
      <c r="A73" t="s">
        <v>124</v>
      </c>
      <c r="B73" t="s">
        <v>30</v>
      </c>
      <c r="C73" t="s">
        <v>31</v>
      </c>
      <c r="D73" t="str">
        <f>HYPERLINK("http://service.sap.com/sap/support/notes/1777237","1777237")</f>
        <v>1777237</v>
      </c>
      <c r="E73">
        <v>1</v>
      </c>
      <c r="F73" t="s">
        <v>105</v>
      </c>
    </row>
    <row r="74" spans="1:6" x14ac:dyDescent="0.25">
      <c r="A74" t="s">
        <v>124</v>
      </c>
      <c r="B74" t="s">
        <v>30</v>
      </c>
      <c r="C74" t="s">
        <v>31</v>
      </c>
      <c r="D74" t="str">
        <f>HYPERLINK("http://service.sap.com/sap/support/notes/1793243","1793243")</f>
        <v>1793243</v>
      </c>
      <c r="E74">
        <v>1</v>
      </c>
      <c r="F74" t="s">
        <v>106</v>
      </c>
    </row>
    <row r="75" spans="1:6" x14ac:dyDescent="0.25">
      <c r="A75" t="s">
        <v>124</v>
      </c>
      <c r="B75" t="s">
        <v>38</v>
      </c>
      <c r="C75" t="s">
        <v>39</v>
      </c>
    </row>
    <row r="76" spans="1:6" x14ac:dyDescent="0.25">
      <c r="A76" t="s">
        <v>124</v>
      </c>
      <c r="B76" t="s">
        <v>40</v>
      </c>
      <c r="C76" t="s">
        <v>41</v>
      </c>
      <c r="D76" t="str">
        <f>HYPERLINK("http://service.sap.com/sap/support/notes/1719032","1719032")</f>
        <v>1719032</v>
      </c>
      <c r="E76">
        <v>1</v>
      </c>
      <c r="F76" t="s">
        <v>107</v>
      </c>
    </row>
    <row r="77" spans="1:6" x14ac:dyDescent="0.25">
      <c r="A77" t="s">
        <v>124</v>
      </c>
      <c r="B77" t="s">
        <v>40</v>
      </c>
      <c r="C77" t="s">
        <v>41</v>
      </c>
      <c r="D77" t="str">
        <f>HYPERLINK("http://service.sap.com/sap/support/notes/1749304","1749304")</f>
        <v>1749304</v>
      </c>
      <c r="E77">
        <v>1</v>
      </c>
      <c r="F77" t="s">
        <v>108</v>
      </c>
    </row>
    <row r="78" spans="1:6" x14ac:dyDescent="0.25">
      <c r="A78" t="s">
        <v>124</v>
      </c>
      <c r="B78" t="s">
        <v>40</v>
      </c>
      <c r="C78" t="s">
        <v>41</v>
      </c>
      <c r="D78" t="str">
        <f>HYPERLINK("http://service.sap.com/sap/support/notes/1764171","1764171")</f>
        <v>1764171</v>
      </c>
      <c r="E78">
        <v>1</v>
      </c>
      <c r="F78" t="s">
        <v>107</v>
      </c>
    </row>
    <row r="79" spans="1:6" x14ac:dyDescent="0.25">
      <c r="A79" t="s">
        <v>124</v>
      </c>
      <c r="B79" t="s">
        <v>47</v>
      </c>
      <c r="C79" t="s">
        <v>48</v>
      </c>
      <c r="D79" t="str">
        <f>HYPERLINK("http://service.sap.com/sap/support/notes/1750814","1750814")</f>
        <v>1750814</v>
      </c>
      <c r="E79">
        <v>3</v>
      </c>
      <c r="F79" t="s">
        <v>109</v>
      </c>
    </row>
    <row r="80" spans="1:6" x14ac:dyDescent="0.25">
      <c r="A80" t="s">
        <v>124</v>
      </c>
      <c r="B80" t="s">
        <v>47</v>
      </c>
      <c r="C80" t="s">
        <v>48</v>
      </c>
      <c r="D80" t="str">
        <f>HYPERLINK("http://service.sap.com/sap/support/notes/1757105","1757105")</f>
        <v>1757105</v>
      </c>
      <c r="E80">
        <v>3</v>
      </c>
      <c r="F80" t="s">
        <v>110</v>
      </c>
    </row>
    <row r="81" spans="1:6" x14ac:dyDescent="0.25">
      <c r="A81" t="s">
        <v>124</v>
      </c>
      <c r="B81" t="s">
        <v>47</v>
      </c>
      <c r="C81" t="s">
        <v>48</v>
      </c>
      <c r="D81" t="str">
        <f>HYPERLINK("http://service.sap.com/sap/support/notes/1767437","1767437")</f>
        <v>1767437</v>
      </c>
      <c r="E81">
        <v>1</v>
      </c>
      <c r="F81" t="s">
        <v>111</v>
      </c>
    </row>
    <row r="82" spans="1:6" x14ac:dyDescent="0.25">
      <c r="A82" t="s">
        <v>124</v>
      </c>
      <c r="B82" t="s">
        <v>47</v>
      </c>
      <c r="C82" t="s">
        <v>48</v>
      </c>
      <c r="D82" t="str">
        <f>HYPERLINK("http://service.sap.com/sap/support/notes/1768517","1768517")</f>
        <v>1768517</v>
      </c>
      <c r="E82">
        <v>1</v>
      </c>
      <c r="F82" t="s">
        <v>112</v>
      </c>
    </row>
    <row r="83" spans="1:6" x14ac:dyDescent="0.25">
      <c r="A83" t="s">
        <v>124</v>
      </c>
      <c r="B83" t="s">
        <v>113</v>
      </c>
      <c r="C83" t="s">
        <v>114</v>
      </c>
      <c r="D83" t="str">
        <f>HYPERLINK("http://service.sap.com/sap/support/notes/1757736","1757736")</f>
        <v>1757736</v>
      </c>
      <c r="E83">
        <v>1</v>
      </c>
      <c r="F83" t="s">
        <v>115</v>
      </c>
    </row>
    <row r="84" spans="1:6" x14ac:dyDescent="0.25">
      <c r="A84" t="s">
        <v>124</v>
      </c>
      <c r="B84" t="s">
        <v>56</v>
      </c>
      <c r="C84" t="s">
        <v>57</v>
      </c>
      <c r="D84" t="str">
        <f>HYPERLINK("http://service.sap.com/sap/support/notes/1743265","1743265")</f>
        <v>1743265</v>
      </c>
      <c r="E84">
        <v>1</v>
      </c>
      <c r="F84" t="s">
        <v>60</v>
      </c>
    </row>
    <row r="85" spans="1:6" x14ac:dyDescent="0.25">
      <c r="A85" t="s">
        <v>124</v>
      </c>
      <c r="B85" t="s">
        <v>116</v>
      </c>
      <c r="C85" t="s">
        <v>117</v>
      </c>
    </row>
    <row r="86" spans="1:6" x14ac:dyDescent="0.25">
      <c r="A86" t="s">
        <v>124</v>
      </c>
      <c r="B86" t="s">
        <v>118</v>
      </c>
      <c r="C86" t="s">
        <v>119</v>
      </c>
      <c r="D86" t="str">
        <f>HYPERLINK("http://service.sap.com/sap/support/notes/1776016","1776016")</f>
        <v>1776016</v>
      </c>
      <c r="E86">
        <v>1</v>
      </c>
      <c r="F86" t="s">
        <v>120</v>
      </c>
    </row>
    <row r="87" spans="1:6" x14ac:dyDescent="0.25">
      <c r="A87" t="s">
        <v>124</v>
      </c>
      <c r="B87" t="s">
        <v>118</v>
      </c>
      <c r="C87" t="s">
        <v>119</v>
      </c>
      <c r="D87" t="str">
        <f>HYPERLINK("http://service.sap.com/sap/support/notes/1793401","1793401")</f>
        <v>1793401</v>
      </c>
      <c r="E87">
        <v>2</v>
      </c>
      <c r="F87" t="s">
        <v>121</v>
      </c>
    </row>
    <row r="88" spans="1:6" x14ac:dyDescent="0.25">
      <c r="A88" t="s">
        <v>124</v>
      </c>
      <c r="B88" t="s">
        <v>61</v>
      </c>
      <c r="C88" t="s">
        <v>62</v>
      </c>
    </row>
    <row r="89" spans="1:6" x14ac:dyDescent="0.25">
      <c r="A89" t="s">
        <v>124</v>
      </c>
      <c r="B89" t="s">
        <v>63</v>
      </c>
      <c r="C89" t="s">
        <v>64</v>
      </c>
      <c r="D89" t="str">
        <f>HYPERLINK("http://service.sap.com/sap/support/notes/1795425","1795425")</f>
        <v>1795425</v>
      </c>
      <c r="E89">
        <v>1</v>
      </c>
      <c r="F89" t="s">
        <v>122</v>
      </c>
    </row>
    <row r="90" spans="1:6" x14ac:dyDescent="0.25">
      <c r="A90" t="s">
        <v>124</v>
      </c>
      <c r="B90" t="s">
        <v>70</v>
      </c>
      <c r="C90" t="s">
        <v>71</v>
      </c>
    </row>
    <row r="91" spans="1:6" x14ac:dyDescent="0.25">
      <c r="A91" t="s">
        <v>124</v>
      </c>
      <c r="B91" t="s">
        <v>72</v>
      </c>
      <c r="C91" t="s">
        <v>73</v>
      </c>
    </row>
    <row r="92" spans="1:6" x14ac:dyDescent="0.25">
      <c r="A92" t="s">
        <v>124</v>
      </c>
      <c r="B92" t="s">
        <v>74</v>
      </c>
      <c r="C92" t="s">
        <v>75</v>
      </c>
    </row>
    <row r="93" spans="1:6" x14ac:dyDescent="0.25">
      <c r="A93" t="s">
        <v>124</v>
      </c>
      <c r="B93" t="s">
        <v>76</v>
      </c>
      <c r="C93" t="s">
        <v>77</v>
      </c>
      <c r="D93" t="str">
        <f>HYPERLINK("http://service.sap.com/sap/support/notes/1761068","1761068")</f>
        <v>1761068</v>
      </c>
      <c r="E93">
        <v>3</v>
      </c>
      <c r="F93" t="s">
        <v>78</v>
      </c>
    </row>
    <row r="94" spans="1:6" x14ac:dyDescent="0.25">
      <c r="A94" t="s">
        <v>124</v>
      </c>
      <c r="B94" t="s">
        <v>76</v>
      </c>
      <c r="C94" t="s">
        <v>77</v>
      </c>
      <c r="D94" t="str">
        <f>HYPERLINK("http://service.sap.com/sap/support/notes/1795266","1795266")</f>
        <v>1795266</v>
      </c>
      <c r="E94">
        <v>1</v>
      </c>
      <c r="F94" t="s">
        <v>123</v>
      </c>
    </row>
    <row r="96" spans="1:6" x14ac:dyDescent="0.25">
      <c r="A96" t="s">
        <v>4200</v>
      </c>
      <c r="B96" t="s">
        <v>128</v>
      </c>
      <c r="C96" t="s">
        <v>129</v>
      </c>
    </row>
    <row r="97" spans="1:6" x14ac:dyDescent="0.25">
      <c r="A97" t="s">
        <v>4200</v>
      </c>
      <c r="B97" t="s">
        <v>130</v>
      </c>
      <c r="C97" t="s">
        <v>131</v>
      </c>
      <c r="D97" t="str">
        <f>HYPERLINK("http://service.sap.com/sap/support/notes/1729250","1729250")</f>
        <v>1729250</v>
      </c>
      <c r="E97">
        <v>1</v>
      </c>
      <c r="F97" t="s">
        <v>132</v>
      </c>
    </row>
    <row r="98" spans="1:6" x14ac:dyDescent="0.25">
      <c r="A98" t="s">
        <v>4200</v>
      </c>
      <c r="B98" t="s">
        <v>130</v>
      </c>
      <c r="C98" t="s">
        <v>131</v>
      </c>
      <c r="D98" t="str">
        <f>HYPERLINK("http://service.sap.com/sap/support/notes/1732654","1732654")</f>
        <v>1732654</v>
      </c>
      <c r="E98">
        <v>1</v>
      </c>
      <c r="F98" t="s">
        <v>133</v>
      </c>
    </row>
    <row r="99" spans="1:6" x14ac:dyDescent="0.25">
      <c r="A99" t="s">
        <v>4200</v>
      </c>
      <c r="B99" t="s">
        <v>130</v>
      </c>
      <c r="C99" t="s">
        <v>131</v>
      </c>
      <c r="D99" t="str">
        <f>HYPERLINK("http://service.sap.com/sap/support/notes/1744468","1744468")</f>
        <v>1744468</v>
      </c>
      <c r="E99">
        <v>1</v>
      </c>
      <c r="F99" t="s">
        <v>134</v>
      </c>
    </row>
    <row r="100" spans="1:6" x14ac:dyDescent="0.25">
      <c r="A100" t="s">
        <v>4200</v>
      </c>
      <c r="B100" t="s">
        <v>130</v>
      </c>
      <c r="C100" t="s">
        <v>131</v>
      </c>
      <c r="D100" t="str">
        <f>HYPERLINK("http://service.sap.com/sap/support/notes/1744716","1744716")</f>
        <v>1744716</v>
      </c>
      <c r="E100">
        <v>4</v>
      </c>
      <c r="F100" t="s">
        <v>135</v>
      </c>
    </row>
    <row r="101" spans="1:6" x14ac:dyDescent="0.25">
      <c r="A101" t="s">
        <v>4200</v>
      </c>
      <c r="B101" t="s">
        <v>130</v>
      </c>
      <c r="C101" t="s">
        <v>131</v>
      </c>
      <c r="D101" t="str">
        <f>HYPERLINK("http://service.sap.com/sap/support/notes/1745273","1745273")</f>
        <v>1745273</v>
      </c>
      <c r="E101">
        <v>1</v>
      </c>
      <c r="F101" t="s">
        <v>136</v>
      </c>
    </row>
    <row r="102" spans="1:6" x14ac:dyDescent="0.25">
      <c r="A102" t="s">
        <v>4200</v>
      </c>
      <c r="B102" t="s">
        <v>130</v>
      </c>
      <c r="C102" t="s">
        <v>131</v>
      </c>
      <c r="D102" t="str">
        <f>HYPERLINK("http://service.sap.com/sap/support/notes/1751067","1751067")</f>
        <v>1751067</v>
      </c>
      <c r="E102">
        <v>1</v>
      </c>
      <c r="F102" t="s">
        <v>137</v>
      </c>
    </row>
    <row r="103" spans="1:6" x14ac:dyDescent="0.25">
      <c r="A103" t="s">
        <v>4200</v>
      </c>
      <c r="B103" t="s">
        <v>130</v>
      </c>
      <c r="C103" t="s">
        <v>131</v>
      </c>
      <c r="D103" t="str">
        <f>HYPERLINK("http://service.sap.com/sap/support/notes/1760715","1760715")</f>
        <v>1760715</v>
      </c>
      <c r="E103">
        <v>2</v>
      </c>
      <c r="F103" t="s">
        <v>138</v>
      </c>
    </row>
    <row r="104" spans="1:6" x14ac:dyDescent="0.25">
      <c r="A104" t="s">
        <v>4200</v>
      </c>
      <c r="B104" t="s">
        <v>139</v>
      </c>
      <c r="C104" t="s">
        <v>140</v>
      </c>
      <c r="D104" t="str">
        <f>HYPERLINK("http://service.sap.com/sap/support/notes/1648706","1648706")</f>
        <v>1648706</v>
      </c>
      <c r="E104">
        <v>3</v>
      </c>
      <c r="F104" t="s">
        <v>141</v>
      </c>
    </row>
    <row r="105" spans="1:6" x14ac:dyDescent="0.25">
      <c r="A105" t="s">
        <v>4200</v>
      </c>
      <c r="B105" t="s">
        <v>139</v>
      </c>
      <c r="C105" t="s">
        <v>140</v>
      </c>
      <c r="D105" t="str">
        <f>HYPERLINK("http://service.sap.com/sap/support/notes/1746760","1746760")</f>
        <v>1746760</v>
      </c>
      <c r="E105">
        <v>1</v>
      </c>
      <c r="F105" t="s">
        <v>142</v>
      </c>
    </row>
    <row r="106" spans="1:6" x14ac:dyDescent="0.25">
      <c r="A106" t="s">
        <v>4200</v>
      </c>
      <c r="B106" t="s">
        <v>139</v>
      </c>
      <c r="C106" t="s">
        <v>140</v>
      </c>
      <c r="D106" t="str">
        <f>HYPERLINK("http://service.sap.com/sap/support/notes/1767946","1767946")</f>
        <v>1767946</v>
      </c>
      <c r="E106">
        <v>1</v>
      </c>
      <c r="F106" t="s">
        <v>143</v>
      </c>
    </row>
    <row r="107" spans="1:6" x14ac:dyDescent="0.25">
      <c r="A107" t="s">
        <v>4200</v>
      </c>
      <c r="B107" t="s">
        <v>144</v>
      </c>
      <c r="C107" t="s">
        <v>145</v>
      </c>
      <c r="D107" t="str">
        <f>HYPERLINK("http://service.sap.com/sap/support/notes/1750825","1750825")</f>
        <v>1750825</v>
      </c>
      <c r="E107">
        <v>2</v>
      </c>
      <c r="F107" t="s">
        <v>146</v>
      </c>
    </row>
    <row r="108" spans="1:6" x14ac:dyDescent="0.25">
      <c r="A108" t="s">
        <v>4200</v>
      </c>
      <c r="B108" t="s">
        <v>144</v>
      </c>
      <c r="C108" t="s">
        <v>145</v>
      </c>
      <c r="D108" t="str">
        <f>HYPERLINK("http://service.sap.com/sap/support/notes/1765493","1765493")</f>
        <v>1765493</v>
      </c>
      <c r="E108">
        <v>1</v>
      </c>
      <c r="F108" t="s">
        <v>147</v>
      </c>
    </row>
    <row r="109" spans="1:6" x14ac:dyDescent="0.25">
      <c r="A109" t="s">
        <v>4200</v>
      </c>
      <c r="B109" t="s">
        <v>5</v>
      </c>
      <c r="C109" t="s">
        <v>6</v>
      </c>
    </row>
    <row r="110" spans="1:6" x14ac:dyDescent="0.25">
      <c r="A110" t="s">
        <v>4200</v>
      </c>
      <c r="B110" t="s">
        <v>7</v>
      </c>
      <c r="C110" t="s">
        <v>148</v>
      </c>
      <c r="D110" t="str">
        <f>HYPERLINK("http://service.sap.com/sap/support/notes/1630407","1630407")</f>
        <v>1630407</v>
      </c>
      <c r="E110">
        <v>4</v>
      </c>
      <c r="F110" t="s">
        <v>149</v>
      </c>
    </row>
    <row r="111" spans="1:6" x14ac:dyDescent="0.25">
      <c r="A111" t="s">
        <v>4200</v>
      </c>
      <c r="B111" t="s">
        <v>28</v>
      </c>
      <c r="C111" t="s">
        <v>29</v>
      </c>
    </row>
    <row r="112" spans="1:6" x14ac:dyDescent="0.25">
      <c r="A112" t="s">
        <v>4200</v>
      </c>
      <c r="B112" t="s">
        <v>150</v>
      </c>
      <c r="C112" t="s">
        <v>151</v>
      </c>
    </row>
    <row r="113" spans="1:6" x14ac:dyDescent="0.25">
      <c r="A113" t="s">
        <v>4200</v>
      </c>
      <c r="B113" t="s">
        <v>152</v>
      </c>
      <c r="C113" t="s">
        <v>153</v>
      </c>
      <c r="D113" t="str">
        <f>HYPERLINK("http://service.sap.com/sap/support/notes/1751570","1751570")</f>
        <v>1751570</v>
      </c>
      <c r="E113">
        <v>1</v>
      </c>
      <c r="F113" t="s">
        <v>154</v>
      </c>
    </row>
    <row r="114" spans="1:6" x14ac:dyDescent="0.25">
      <c r="A114" t="s">
        <v>4200</v>
      </c>
      <c r="B114" t="s">
        <v>152</v>
      </c>
      <c r="C114" t="s">
        <v>153</v>
      </c>
      <c r="D114" t="str">
        <f>HYPERLINK("http://service.sap.com/sap/support/notes/1751914","1751914")</f>
        <v>1751914</v>
      </c>
      <c r="E114">
        <v>3</v>
      </c>
      <c r="F114" t="s">
        <v>155</v>
      </c>
    </row>
    <row r="115" spans="1:6" x14ac:dyDescent="0.25">
      <c r="A115" t="s">
        <v>4200</v>
      </c>
      <c r="B115" t="s">
        <v>152</v>
      </c>
      <c r="C115" t="s">
        <v>153</v>
      </c>
      <c r="D115" t="str">
        <f>HYPERLINK("http://service.sap.com/sap/support/notes/1753135","1753135")</f>
        <v>1753135</v>
      </c>
      <c r="E115">
        <v>2</v>
      </c>
      <c r="F115" t="s">
        <v>156</v>
      </c>
    </row>
    <row r="116" spans="1:6" x14ac:dyDescent="0.25">
      <c r="A116" t="s">
        <v>4200</v>
      </c>
      <c r="B116" t="s">
        <v>125</v>
      </c>
      <c r="C116" t="s">
        <v>126</v>
      </c>
      <c r="D116" t="str">
        <f>HYPERLINK("http://service.sap.com/sap/support/notes/1736585","1736585")</f>
        <v>1736585</v>
      </c>
      <c r="E116">
        <v>1</v>
      </c>
      <c r="F116" t="s">
        <v>157</v>
      </c>
    </row>
    <row r="117" spans="1:6" x14ac:dyDescent="0.25">
      <c r="A117" t="s">
        <v>4200</v>
      </c>
      <c r="B117" t="s">
        <v>125</v>
      </c>
      <c r="C117" t="s">
        <v>126</v>
      </c>
      <c r="D117" t="str">
        <f>HYPERLINK("http://service.sap.com/sap/support/notes/1744578","1744578")</f>
        <v>1744578</v>
      </c>
      <c r="E117">
        <v>2</v>
      </c>
      <c r="F117" t="s">
        <v>158</v>
      </c>
    </row>
    <row r="118" spans="1:6" x14ac:dyDescent="0.25">
      <c r="A118" t="s">
        <v>4200</v>
      </c>
      <c r="B118" t="s">
        <v>159</v>
      </c>
      <c r="C118" t="s">
        <v>160</v>
      </c>
      <c r="D118" t="str">
        <f>HYPERLINK("http://service.sap.com/sap/support/notes/1751648","1751648")</f>
        <v>1751648</v>
      </c>
      <c r="E118">
        <v>2</v>
      </c>
      <c r="F118" t="s">
        <v>161</v>
      </c>
    </row>
    <row r="119" spans="1:6" x14ac:dyDescent="0.25">
      <c r="A119" t="s">
        <v>4200</v>
      </c>
      <c r="B119" t="s">
        <v>159</v>
      </c>
      <c r="C119" t="s">
        <v>160</v>
      </c>
      <c r="D119" t="str">
        <f>HYPERLINK("http://service.sap.com/sap/support/notes/1759135","1759135")</f>
        <v>1759135</v>
      </c>
      <c r="E119">
        <v>1</v>
      </c>
      <c r="F119" t="s">
        <v>162</v>
      </c>
    </row>
    <row r="120" spans="1:6" x14ac:dyDescent="0.25">
      <c r="A120" t="s">
        <v>4200</v>
      </c>
      <c r="B120" t="s">
        <v>159</v>
      </c>
      <c r="C120" t="s">
        <v>160</v>
      </c>
      <c r="D120" t="str">
        <f>HYPERLINK("http://service.sap.com/sap/support/notes/1762604","1762604")</f>
        <v>1762604</v>
      </c>
      <c r="E120">
        <v>2</v>
      </c>
      <c r="F120" t="s">
        <v>163</v>
      </c>
    </row>
    <row r="121" spans="1:6" x14ac:dyDescent="0.25">
      <c r="A121" t="s">
        <v>4200</v>
      </c>
      <c r="B121" t="s">
        <v>164</v>
      </c>
      <c r="C121" t="s">
        <v>165</v>
      </c>
    </row>
    <row r="122" spans="1:6" x14ac:dyDescent="0.25">
      <c r="A122" t="s">
        <v>4200</v>
      </c>
      <c r="B122" t="s">
        <v>166</v>
      </c>
      <c r="C122" t="s">
        <v>167</v>
      </c>
    </row>
    <row r="123" spans="1:6" x14ac:dyDescent="0.25">
      <c r="A123" t="s">
        <v>4200</v>
      </c>
      <c r="B123" t="s">
        <v>168</v>
      </c>
      <c r="C123" t="s">
        <v>169</v>
      </c>
    </row>
    <row r="124" spans="1:6" x14ac:dyDescent="0.25">
      <c r="A124" t="s">
        <v>4200</v>
      </c>
      <c r="B124" t="s">
        <v>170</v>
      </c>
      <c r="C124" t="s">
        <v>171</v>
      </c>
      <c r="D124" t="str">
        <f>HYPERLINK("http://service.sap.com/sap/support/notes/1657032","1657032")</f>
        <v>1657032</v>
      </c>
      <c r="E124">
        <v>10</v>
      </c>
      <c r="F124" t="s">
        <v>172</v>
      </c>
    </row>
    <row r="125" spans="1:6" x14ac:dyDescent="0.25">
      <c r="A125" t="s">
        <v>4200</v>
      </c>
      <c r="B125" t="s">
        <v>170</v>
      </c>
      <c r="C125" t="s">
        <v>171</v>
      </c>
      <c r="D125" t="str">
        <f>HYPERLINK("http://service.sap.com/sap/support/notes/1728470","1728470")</f>
        <v>1728470</v>
      </c>
      <c r="E125">
        <v>3</v>
      </c>
      <c r="F125" t="s">
        <v>173</v>
      </c>
    </row>
    <row r="126" spans="1:6" x14ac:dyDescent="0.25">
      <c r="A126" t="s">
        <v>4200</v>
      </c>
      <c r="B126" t="s">
        <v>170</v>
      </c>
      <c r="C126" t="s">
        <v>171</v>
      </c>
      <c r="D126" t="str">
        <f>HYPERLINK("http://service.sap.com/sap/support/notes/1728666","1728666")</f>
        <v>1728666</v>
      </c>
      <c r="E126">
        <v>4</v>
      </c>
      <c r="F126" t="s">
        <v>174</v>
      </c>
    </row>
    <row r="127" spans="1:6" x14ac:dyDescent="0.25">
      <c r="A127" t="s">
        <v>4200</v>
      </c>
      <c r="B127" t="s">
        <v>175</v>
      </c>
      <c r="C127" t="s">
        <v>176</v>
      </c>
    </row>
    <row r="128" spans="1:6" x14ac:dyDescent="0.25">
      <c r="A128" t="s">
        <v>4200</v>
      </c>
      <c r="B128" t="s">
        <v>177</v>
      </c>
      <c r="C128" t="s">
        <v>178</v>
      </c>
    </row>
    <row r="129" spans="1:6" x14ac:dyDescent="0.25">
      <c r="A129" t="s">
        <v>4200</v>
      </c>
      <c r="B129" t="s">
        <v>179</v>
      </c>
      <c r="C129" t="s">
        <v>180</v>
      </c>
      <c r="D129" t="str">
        <f>HYPERLINK("http://service.sap.com/sap/support/notes/1737637","1737637")</f>
        <v>1737637</v>
      </c>
      <c r="E129">
        <v>2</v>
      </c>
      <c r="F129" t="s">
        <v>181</v>
      </c>
    </row>
    <row r="130" spans="1:6" x14ac:dyDescent="0.25">
      <c r="A130" t="s">
        <v>4200</v>
      </c>
      <c r="B130" t="s">
        <v>182</v>
      </c>
      <c r="C130" t="s">
        <v>183</v>
      </c>
    </row>
    <row r="131" spans="1:6" x14ac:dyDescent="0.25">
      <c r="A131" t="s">
        <v>4200</v>
      </c>
      <c r="B131" t="s">
        <v>184</v>
      </c>
      <c r="C131" t="s">
        <v>185</v>
      </c>
      <c r="D131" t="str">
        <f>HYPERLINK("http://service.sap.com/sap/support/notes/1699454","1699454")</f>
        <v>1699454</v>
      </c>
      <c r="E131">
        <v>3</v>
      </c>
      <c r="F131" t="s">
        <v>186</v>
      </c>
    </row>
    <row r="132" spans="1:6" x14ac:dyDescent="0.25">
      <c r="A132" t="s">
        <v>4200</v>
      </c>
      <c r="B132" t="s">
        <v>184</v>
      </c>
      <c r="C132" t="s">
        <v>185</v>
      </c>
      <c r="D132" t="str">
        <f>HYPERLINK("http://service.sap.com/sap/support/notes/1724949","1724949")</f>
        <v>1724949</v>
      </c>
      <c r="E132">
        <v>2</v>
      </c>
      <c r="F132" t="s">
        <v>187</v>
      </c>
    </row>
    <row r="133" spans="1:6" x14ac:dyDescent="0.25">
      <c r="A133" t="s">
        <v>4200</v>
      </c>
      <c r="B133" t="s">
        <v>184</v>
      </c>
      <c r="C133" t="s">
        <v>185</v>
      </c>
      <c r="D133" t="str">
        <f>HYPERLINK("http://service.sap.com/sap/support/notes/1761782","1761782")</f>
        <v>1761782</v>
      </c>
      <c r="E133">
        <v>4</v>
      </c>
      <c r="F133" t="s">
        <v>188</v>
      </c>
    </row>
    <row r="134" spans="1:6" x14ac:dyDescent="0.25">
      <c r="A134" t="s">
        <v>4200</v>
      </c>
      <c r="B134" t="s">
        <v>189</v>
      </c>
      <c r="C134" t="s">
        <v>190</v>
      </c>
      <c r="D134" t="str">
        <f>HYPERLINK("http://service.sap.com/sap/support/notes/1760399","1760399")</f>
        <v>1760399</v>
      </c>
      <c r="E134">
        <v>1</v>
      </c>
      <c r="F134" t="s">
        <v>191</v>
      </c>
    </row>
    <row r="135" spans="1:6" x14ac:dyDescent="0.25">
      <c r="A135" t="s">
        <v>4200</v>
      </c>
      <c r="B135" t="s">
        <v>192</v>
      </c>
      <c r="C135" t="s">
        <v>193</v>
      </c>
      <c r="D135" t="str">
        <f>HYPERLINK("http://service.sap.com/sap/support/notes/1384501","1384501")</f>
        <v>1384501</v>
      </c>
      <c r="E135">
        <v>2</v>
      </c>
      <c r="F135" t="s">
        <v>194</v>
      </c>
    </row>
    <row r="136" spans="1:6" x14ac:dyDescent="0.25">
      <c r="A136" t="s">
        <v>4200</v>
      </c>
      <c r="B136" t="s">
        <v>192</v>
      </c>
      <c r="C136" t="s">
        <v>193</v>
      </c>
      <c r="D136" t="str">
        <f>HYPERLINK("http://service.sap.com/sap/support/notes/1704392","1704392")</f>
        <v>1704392</v>
      </c>
      <c r="E136">
        <v>2</v>
      </c>
      <c r="F136" t="s">
        <v>195</v>
      </c>
    </row>
    <row r="137" spans="1:6" x14ac:dyDescent="0.25">
      <c r="A137" t="s">
        <v>4200</v>
      </c>
      <c r="B137" t="s">
        <v>192</v>
      </c>
      <c r="C137" t="s">
        <v>193</v>
      </c>
      <c r="D137" t="str">
        <f>HYPERLINK("http://service.sap.com/sap/support/notes/1737535","1737535")</f>
        <v>1737535</v>
      </c>
      <c r="E137">
        <v>1</v>
      </c>
      <c r="F137" t="s">
        <v>196</v>
      </c>
    </row>
    <row r="138" spans="1:6" x14ac:dyDescent="0.25">
      <c r="A138" t="s">
        <v>4200</v>
      </c>
      <c r="B138" t="s">
        <v>197</v>
      </c>
      <c r="C138" t="s">
        <v>198</v>
      </c>
      <c r="D138" t="str">
        <f>HYPERLINK("http://service.sap.com/sap/support/notes/1748123","1748123")</f>
        <v>1748123</v>
      </c>
      <c r="E138">
        <v>1</v>
      </c>
      <c r="F138" t="s">
        <v>199</v>
      </c>
    </row>
    <row r="139" spans="1:6" x14ac:dyDescent="0.25">
      <c r="A139" t="s">
        <v>4200</v>
      </c>
      <c r="B139" t="s">
        <v>200</v>
      </c>
      <c r="C139" t="s">
        <v>201</v>
      </c>
      <c r="D139" t="str">
        <f>HYPERLINK("http://service.sap.com/sap/support/notes/1675865","1675865")</f>
        <v>1675865</v>
      </c>
      <c r="E139">
        <v>2</v>
      </c>
      <c r="F139" t="s">
        <v>202</v>
      </c>
    </row>
    <row r="140" spans="1:6" x14ac:dyDescent="0.25">
      <c r="A140" t="s">
        <v>4200</v>
      </c>
      <c r="B140" t="s">
        <v>200</v>
      </c>
      <c r="C140" t="s">
        <v>201</v>
      </c>
      <c r="D140" t="str">
        <f>HYPERLINK("http://service.sap.com/sap/support/notes/1685833","1685833")</f>
        <v>1685833</v>
      </c>
      <c r="E140">
        <v>1</v>
      </c>
      <c r="F140" t="s">
        <v>203</v>
      </c>
    </row>
    <row r="141" spans="1:6" x14ac:dyDescent="0.25">
      <c r="A141" t="s">
        <v>4200</v>
      </c>
      <c r="B141" t="s">
        <v>200</v>
      </c>
      <c r="C141" t="s">
        <v>201</v>
      </c>
      <c r="D141" t="str">
        <f>HYPERLINK("http://service.sap.com/sap/support/notes/1718060","1718060")</f>
        <v>1718060</v>
      </c>
      <c r="E141">
        <v>1</v>
      </c>
      <c r="F141" t="s">
        <v>204</v>
      </c>
    </row>
    <row r="142" spans="1:6" x14ac:dyDescent="0.25">
      <c r="A142" t="s">
        <v>4200</v>
      </c>
      <c r="B142" t="s">
        <v>200</v>
      </c>
      <c r="C142" t="s">
        <v>201</v>
      </c>
      <c r="D142" t="str">
        <f>HYPERLINK("http://service.sap.com/sap/support/notes/1721787","1721787")</f>
        <v>1721787</v>
      </c>
      <c r="E142">
        <v>1</v>
      </c>
      <c r="F142" t="s">
        <v>205</v>
      </c>
    </row>
    <row r="143" spans="1:6" x14ac:dyDescent="0.25">
      <c r="A143" t="s">
        <v>4200</v>
      </c>
      <c r="B143" t="s">
        <v>206</v>
      </c>
      <c r="C143" t="s">
        <v>207</v>
      </c>
      <c r="D143" t="str">
        <f>HYPERLINK("http://service.sap.com/sap/support/notes/1741260","1741260")</f>
        <v>1741260</v>
      </c>
      <c r="E143">
        <v>1</v>
      </c>
      <c r="F143" t="s">
        <v>208</v>
      </c>
    </row>
    <row r="144" spans="1:6" x14ac:dyDescent="0.25">
      <c r="A144" t="s">
        <v>4200</v>
      </c>
      <c r="B144" t="s">
        <v>209</v>
      </c>
      <c r="C144" t="s">
        <v>210</v>
      </c>
    </row>
    <row r="145" spans="1:6" x14ac:dyDescent="0.25">
      <c r="A145" t="s">
        <v>4200</v>
      </c>
      <c r="B145" t="s">
        <v>211</v>
      </c>
      <c r="C145" t="s">
        <v>212</v>
      </c>
      <c r="D145" t="str">
        <f>HYPERLINK("http://service.sap.com/sap/support/notes/1758241","1758241")</f>
        <v>1758241</v>
      </c>
      <c r="E145">
        <v>1</v>
      </c>
      <c r="F145" t="s">
        <v>213</v>
      </c>
    </row>
    <row r="146" spans="1:6" x14ac:dyDescent="0.25">
      <c r="A146" t="s">
        <v>4200</v>
      </c>
      <c r="B146" t="s">
        <v>214</v>
      </c>
      <c r="C146" t="s">
        <v>215</v>
      </c>
      <c r="D146" t="str">
        <f>HYPERLINK("http://service.sap.com/sap/support/notes/1731695","1731695")</f>
        <v>1731695</v>
      </c>
      <c r="E146">
        <v>1</v>
      </c>
      <c r="F146" t="s">
        <v>216</v>
      </c>
    </row>
    <row r="147" spans="1:6" x14ac:dyDescent="0.25">
      <c r="A147" t="s">
        <v>4200</v>
      </c>
      <c r="B147" t="s">
        <v>217</v>
      </c>
      <c r="C147" t="s">
        <v>218</v>
      </c>
    </row>
    <row r="148" spans="1:6" x14ac:dyDescent="0.25">
      <c r="A148" t="s">
        <v>4200</v>
      </c>
      <c r="B148" t="s">
        <v>219</v>
      </c>
      <c r="C148" t="s">
        <v>220</v>
      </c>
      <c r="D148" t="str">
        <f>HYPERLINK("http://service.sap.com/sap/support/notes/1593659","1593659")</f>
        <v>1593659</v>
      </c>
      <c r="E148">
        <v>3</v>
      </c>
      <c r="F148" t="s">
        <v>221</v>
      </c>
    </row>
    <row r="149" spans="1:6" x14ac:dyDescent="0.25">
      <c r="A149" t="s">
        <v>4200</v>
      </c>
      <c r="B149" t="s">
        <v>222</v>
      </c>
      <c r="C149" t="s">
        <v>223</v>
      </c>
    </row>
    <row r="150" spans="1:6" x14ac:dyDescent="0.25">
      <c r="A150" t="s">
        <v>4200</v>
      </c>
      <c r="B150" t="s">
        <v>224</v>
      </c>
      <c r="C150" t="s">
        <v>225</v>
      </c>
      <c r="D150" t="str">
        <f>HYPERLINK("http://service.sap.com/sap/support/notes/1721651","1721651")</f>
        <v>1721651</v>
      </c>
      <c r="E150">
        <v>1</v>
      </c>
      <c r="F150" t="s">
        <v>226</v>
      </c>
    </row>
    <row r="151" spans="1:6" x14ac:dyDescent="0.25">
      <c r="A151" t="s">
        <v>4200</v>
      </c>
      <c r="B151" t="s">
        <v>224</v>
      </c>
      <c r="C151" t="s">
        <v>225</v>
      </c>
      <c r="D151" t="str">
        <f>HYPERLINK("http://service.sap.com/sap/support/notes/1735960","1735960")</f>
        <v>1735960</v>
      </c>
      <c r="E151">
        <v>1</v>
      </c>
      <c r="F151" t="s">
        <v>227</v>
      </c>
    </row>
    <row r="152" spans="1:6" x14ac:dyDescent="0.25">
      <c r="A152" t="s">
        <v>4200</v>
      </c>
      <c r="B152" t="s">
        <v>224</v>
      </c>
      <c r="C152" t="s">
        <v>225</v>
      </c>
      <c r="D152" t="str">
        <f>HYPERLINK("http://service.sap.com/sap/support/notes/1752170","1752170")</f>
        <v>1752170</v>
      </c>
      <c r="E152">
        <v>1</v>
      </c>
      <c r="F152" t="s">
        <v>228</v>
      </c>
    </row>
    <row r="153" spans="1:6" x14ac:dyDescent="0.25">
      <c r="A153" t="s">
        <v>4200</v>
      </c>
      <c r="B153" t="s">
        <v>224</v>
      </c>
      <c r="C153" t="s">
        <v>225</v>
      </c>
      <c r="D153" t="str">
        <f>HYPERLINK("http://service.sap.com/sap/support/notes/1752223","1752223")</f>
        <v>1752223</v>
      </c>
      <c r="E153">
        <v>3</v>
      </c>
      <c r="F153" t="s">
        <v>229</v>
      </c>
    </row>
    <row r="154" spans="1:6" x14ac:dyDescent="0.25">
      <c r="A154" t="s">
        <v>4200</v>
      </c>
      <c r="B154" t="s">
        <v>224</v>
      </c>
      <c r="C154" t="s">
        <v>225</v>
      </c>
      <c r="D154" t="str">
        <f>HYPERLINK("http://service.sap.com/sap/support/notes/1752337","1752337")</f>
        <v>1752337</v>
      </c>
      <c r="E154">
        <v>1</v>
      </c>
      <c r="F154" t="s">
        <v>230</v>
      </c>
    </row>
    <row r="155" spans="1:6" x14ac:dyDescent="0.25">
      <c r="A155" t="s">
        <v>4200</v>
      </c>
      <c r="B155" t="s">
        <v>224</v>
      </c>
      <c r="C155" t="s">
        <v>225</v>
      </c>
      <c r="D155" t="str">
        <f>HYPERLINK("http://service.sap.com/sap/support/notes/1754759","1754759")</f>
        <v>1754759</v>
      </c>
      <c r="E155">
        <v>1</v>
      </c>
      <c r="F155" t="s">
        <v>231</v>
      </c>
    </row>
    <row r="156" spans="1:6" x14ac:dyDescent="0.25">
      <c r="A156" t="s">
        <v>4200</v>
      </c>
      <c r="B156" t="s">
        <v>232</v>
      </c>
      <c r="C156" t="s">
        <v>233</v>
      </c>
      <c r="D156" t="str">
        <f>HYPERLINK("http://service.sap.com/sap/support/notes/1708971","1708971")</f>
        <v>1708971</v>
      </c>
      <c r="E156">
        <v>2</v>
      </c>
      <c r="F156" t="s">
        <v>234</v>
      </c>
    </row>
    <row r="157" spans="1:6" x14ac:dyDescent="0.25">
      <c r="A157" t="s">
        <v>4200</v>
      </c>
      <c r="B157" t="s">
        <v>232</v>
      </c>
      <c r="C157" t="s">
        <v>233</v>
      </c>
      <c r="D157" t="str">
        <f>HYPERLINK("http://service.sap.com/sap/support/notes/1758099","1758099")</f>
        <v>1758099</v>
      </c>
      <c r="E157">
        <v>1</v>
      </c>
      <c r="F157" t="s">
        <v>235</v>
      </c>
    </row>
    <row r="158" spans="1:6" x14ac:dyDescent="0.25">
      <c r="A158" t="s">
        <v>4200</v>
      </c>
      <c r="B158" t="s">
        <v>232</v>
      </c>
      <c r="C158" t="s">
        <v>233</v>
      </c>
      <c r="D158" t="str">
        <f>HYPERLINK("http://service.sap.com/sap/support/notes/1763143","1763143")</f>
        <v>1763143</v>
      </c>
      <c r="E158">
        <v>1</v>
      </c>
      <c r="F158" t="s">
        <v>236</v>
      </c>
    </row>
    <row r="159" spans="1:6" x14ac:dyDescent="0.25">
      <c r="A159" t="s">
        <v>4200</v>
      </c>
      <c r="B159" t="s">
        <v>237</v>
      </c>
      <c r="C159" t="s">
        <v>238</v>
      </c>
    </row>
    <row r="160" spans="1:6" x14ac:dyDescent="0.25">
      <c r="A160" t="s">
        <v>4200</v>
      </c>
      <c r="B160" t="s">
        <v>239</v>
      </c>
      <c r="C160" t="s">
        <v>240</v>
      </c>
      <c r="D160" t="str">
        <f>HYPERLINK("http://service.sap.com/sap/support/notes/1725200","1725200")</f>
        <v>1725200</v>
      </c>
      <c r="E160">
        <v>2</v>
      </c>
      <c r="F160" t="s">
        <v>241</v>
      </c>
    </row>
    <row r="161" spans="1:6" x14ac:dyDescent="0.25">
      <c r="A161" t="s">
        <v>4200</v>
      </c>
      <c r="B161" t="s">
        <v>239</v>
      </c>
      <c r="C161" t="s">
        <v>240</v>
      </c>
      <c r="D161" t="str">
        <f>HYPERLINK("http://service.sap.com/sap/support/notes/1738361","1738361")</f>
        <v>1738361</v>
      </c>
      <c r="E161">
        <v>2</v>
      </c>
      <c r="F161" t="s">
        <v>242</v>
      </c>
    </row>
    <row r="162" spans="1:6" x14ac:dyDescent="0.25">
      <c r="A162" t="s">
        <v>4200</v>
      </c>
      <c r="B162" t="s">
        <v>243</v>
      </c>
      <c r="C162" t="s">
        <v>244</v>
      </c>
    </row>
    <row r="163" spans="1:6" x14ac:dyDescent="0.25">
      <c r="A163" t="s">
        <v>4200</v>
      </c>
      <c r="B163" t="s">
        <v>245</v>
      </c>
      <c r="C163" t="s">
        <v>246</v>
      </c>
      <c r="D163" t="str">
        <f>HYPERLINK("http://service.sap.com/sap/support/notes/1748407","1748407")</f>
        <v>1748407</v>
      </c>
      <c r="E163">
        <v>1</v>
      </c>
      <c r="F163" t="s">
        <v>247</v>
      </c>
    </row>
    <row r="164" spans="1:6" x14ac:dyDescent="0.25">
      <c r="A164" t="s">
        <v>4200</v>
      </c>
      <c r="B164" t="s">
        <v>248</v>
      </c>
      <c r="C164" t="s">
        <v>249</v>
      </c>
    </row>
    <row r="165" spans="1:6" x14ac:dyDescent="0.25">
      <c r="A165" t="s">
        <v>4200</v>
      </c>
      <c r="B165" t="s">
        <v>250</v>
      </c>
      <c r="C165" t="s">
        <v>251</v>
      </c>
      <c r="D165" t="str">
        <f>HYPERLINK("http://service.sap.com/sap/support/notes/1666987","1666987")</f>
        <v>1666987</v>
      </c>
      <c r="E165">
        <v>2</v>
      </c>
      <c r="F165" t="s">
        <v>252</v>
      </c>
    </row>
    <row r="166" spans="1:6" x14ac:dyDescent="0.25">
      <c r="A166" t="s">
        <v>4200</v>
      </c>
      <c r="B166" t="s">
        <v>253</v>
      </c>
      <c r="C166" t="s">
        <v>254</v>
      </c>
    </row>
    <row r="167" spans="1:6" x14ac:dyDescent="0.25">
      <c r="A167" t="s">
        <v>4200</v>
      </c>
      <c r="B167" t="s">
        <v>255</v>
      </c>
      <c r="C167" t="s">
        <v>256</v>
      </c>
      <c r="D167" t="str">
        <f>HYPERLINK("http://service.sap.com/sap/support/notes/1752557","1752557")</f>
        <v>1752557</v>
      </c>
      <c r="E167">
        <v>1</v>
      </c>
      <c r="F167" t="s">
        <v>257</v>
      </c>
    </row>
    <row r="168" spans="1:6" x14ac:dyDescent="0.25">
      <c r="A168" t="s">
        <v>4200</v>
      </c>
      <c r="B168" t="s">
        <v>258</v>
      </c>
      <c r="C168" t="s">
        <v>259</v>
      </c>
      <c r="D168" t="str">
        <f>HYPERLINK("http://service.sap.com/sap/support/notes/1735839","1735839")</f>
        <v>1735839</v>
      </c>
      <c r="E168">
        <v>1</v>
      </c>
      <c r="F168" t="s">
        <v>260</v>
      </c>
    </row>
    <row r="169" spans="1:6" x14ac:dyDescent="0.25">
      <c r="A169" t="s">
        <v>4200</v>
      </c>
      <c r="B169" t="s">
        <v>261</v>
      </c>
      <c r="C169" t="s">
        <v>262</v>
      </c>
      <c r="D169" t="str">
        <f>HYPERLINK("http://service.sap.com/sap/support/notes/1738993","1738993")</f>
        <v>1738993</v>
      </c>
      <c r="E169">
        <v>1</v>
      </c>
      <c r="F169" t="s">
        <v>263</v>
      </c>
    </row>
    <row r="170" spans="1:6" x14ac:dyDescent="0.25">
      <c r="A170" t="s">
        <v>4200</v>
      </c>
      <c r="B170" t="s">
        <v>264</v>
      </c>
      <c r="C170" t="s">
        <v>265</v>
      </c>
      <c r="D170" t="str">
        <f>HYPERLINK("http://service.sap.com/sap/support/notes/1760354","1760354")</f>
        <v>1760354</v>
      </c>
      <c r="E170">
        <v>1</v>
      </c>
      <c r="F170" t="s">
        <v>266</v>
      </c>
    </row>
    <row r="171" spans="1:6" x14ac:dyDescent="0.25">
      <c r="A171" t="s">
        <v>4200</v>
      </c>
      <c r="B171" t="s">
        <v>267</v>
      </c>
      <c r="C171" t="s">
        <v>268</v>
      </c>
    </row>
    <row r="172" spans="1:6" x14ac:dyDescent="0.25">
      <c r="A172" t="s">
        <v>4200</v>
      </c>
      <c r="B172" t="s">
        <v>269</v>
      </c>
      <c r="C172" t="s">
        <v>270</v>
      </c>
      <c r="D172" t="str">
        <f>HYPERLINK("http://service.sap.com/sap/support/notes/1756777","1756777")</f>
        <v>1756777</v>
      </c>
      <c r="E172">
        <v>2</v>
      </c>
      <c r="F172" t="s">
        <v>271</v>
      </c>
    </row>
    <row r="173" spans="1:6" x14ac:dyDescent="0.25">
      <c r="A173" t="s">
        <v>4200</v>
      </c>
      <c r="B173" t="s">
        <v>269</v>
      </c>
      <c r="C173" t="s">
        <v>270</v>
      </c>
      <c r="D173" t="str">
        <f>HYPERLINK("http://service.sap.com/sap/support/notes/1757772","1757772")</f>
        <v>1757772</v>
      </c>
      <c r="E173">
        <v>1</v>
      </c>
      <c r="F173" t="s">
        <v>272</v>
      </c>
    </row>
    <row r="174" spans="1:6" x14ac:dyDescent="0.25">
      <c r="A174" t="s">
        <v>4200</v>
      </c>
      <c r="B174" t="s">
        <v>269</v>
      </c>
      <c r="C174" t="s">
        <v>270</v>
      </c>
      <c r="D174" t="str">
        <f>HYPERLINK("http://service.sap.com/sap/support/notes/1763618","1763618")</f>
        <v>1763618</v>
      </c>
      <c r="E174">
        <v>3</v>
      </c>
      <c r="F174" t="s">
        <v>273</v>
      </c>
    </row>
    <row r="175" spans="1:6" x14ac:dyDescent="0.25">
      <c r="A175" t="s">
        <v>4200</v>
      </c>
      <c r="B175" t="s">
        <v>274</v>
      </c>
      <c r="C175" t="s">
        <v>275</v>
      </c>
      <c r="D175" t="str">
        <f>HYPERLINK("http://service.sap.com/sap/support/notes/1759893","1759893")</f>
        <v>1759893</v>
      </c>
      <c r="E175">
        <v>1</v>
      </c>
      <c r="F175" t="s">
        <v>276</v>
      </c>
    </row>
    <row r="176" spans="1:6" x14ac:dyDescent="0.25">
      <c r="A176" t="s">
        <v>4200</v>
      </c>
      <c r="B176" t="s">
        <v>277</v>
      </c>
      <c r="C176" t="s">
        <v>278</v>
      </c>
      <c r="D176" t="str">
        <f>HYPERLINK("http://service.sap.com/sap/support/notes/1141581","1141581")</f>
        <v>1141581</v>
      </c>
      <c r="E176">
        <v>18</v>
      </c>
      <c r="F176" t="s">
        <v>279</v>
      </c>
    </row>
    <row r="177" spans="1:6" x14ac:dyDescent="0.25">
      <c r="A177" t="s">
        <v>4200</v>
      </c>
      <c r="B177" t="s">
        <v>277</v>
      </c>
      <c r="C177" t="s">
        <v>278</v>
      </c>
      <c r="D177" t="str">
        <f>HYPERLINK("http://service.sap.com/sap/support/notes/1721073","1721073")</f>
        <v>1721073</v>
      </c>
      <c r="E177">
        <v>1</v>
      </c>
      <c r="F177" t="s">
        <v>280</v>
      </c>
    </row>
    <row r="178" spans="1:6" x14ac:dyDescent="0.25">
      <c r="A178" t="s">
        <v>4200</v>
      </c>
      <c r="B178" t="s">
        <v>277</v>
      </c>
      <c r="C178" t="s">
        <v>278</v>
      </c>
      <c r="D178" t="str">
        <f>HYPERLINK("http://service.sap.com/sap/support/notes/1725378","1725378")</f>
        <v>1725378</v>
      </c>
      <c r="E178">
        <v>2</v>
      </c>
      <c r="F178" t="s">
        <v>281</v>
      </c>
    </row>
    <row r="179" spans="1:6" x14ac:dyDescent="0.25">
      <c r="A179" t="s">
        <v>4200</v>
      </c>
      <c r="B179" t="s">
        <v>277</v>
      </c>
      <c r="C179" t="s">
        <v>278</v>
      </c>
      <c r="D179" t="str">
        <f>HYPERLINK("http://service.sap.com/sap/support/notes/1735976","1735976")</f>
        <v>1735976</v>
      </c>
      <c r="E179">
        <v>1</v>
      </c>
      <c r="F179" t="s">
        <v>282</v>
      </c>
    </row>
    <row r="180" spans="1:6" x14ac:dyDescent="0.25">
      <c r="A180" t="s">
        <v>4200</v>
      </c>
      <c r="B180" t="s">
        <v>277</v>
      </c>
      <c r="C180" t="s">
        <v>278</v>
      </c>
      <c r="D180" t="str">
        <f>HYPERLINK("http://service.sap.com/sap/support/notes/1736993","1736993")</f>
        <v>1736993</v>
      </c>
      <c r="E180">
        <v>1</v>
      </c>
      <c r="F180" t="s">
        <v>283</v>
      </c>
    </row>
    <row r="181" spans="1:6" x14ac:dyDescent="0.25">
      <c r="A181" t="s">
        <v>4200</v>
      </c>
      <c r="B181" t="s">
        <v>277</v>
      </c>
      <c r="C181" t="s">
        <v>278</v>
      </c>
      <c r="D181" t="str">
        <f>HYPERLINK("http://service.sap.com/sap/support/notes/1746196","1746196")</f>
        <v>1746196</v>
      </c>
      <c r="E181">
        <v>1</v>
      </c>
      <c r="F181" t="s">
        <v>284</v>
      </c>
    </row>
    <row r="182" spans="1:6" x14ac:dyDescent="0.25">
      <c r="A182" t="s">
        <v>4200</v>
      </c>
      <c r="B182" t="s">
        <v>277</v>
      </c>
      <c r="C182" t="s">
        <v>278</v>
      </c>
      <c r="D182" t="str">
        <f>HYPERLINK("http://service.sap.com/sap/support/notes/1748270","1748270")</f>
        <v>1748270</v>
      </c>
      <c r="E182">
        <v>1</v>
      </c>
      <c r="F182" t="s">
        <v>285</v>
      </c>
    </row>
    <row r="183" spans="1:6" x14ac:dyDescent="0.25">
      <c r="A183" t="s">
        <v>4200</v>
      </c>
      <c r="B183" t="s">
        <v>277</v>
      </c>
      <c r="C183" t="s">
        <v>278</v>
      </c>
      <c r="D183" t="str">
        <f>HYPERLINK("http://service.sap.com/sap/support/notes/1759533","1759533")</f>
        <v>1759533</v>
      </c>
      <c r="E183">
        <v>1</v>
      </c>
      <c r="F183" t="s">
        <v>286</v>
      </c>
    </row>
    <row r="184" spans="1:6" x14ac:dyDescent="0.25">
      <c r="A184" t="s">
        <v>4200</v>
      </c>
      <c r="B184" t="s">
        <v>277</v>
      </c>
      <c r="C184" t="s">
        <v>278</v>
      </c>
      <c r="D184" t="str">
        <f>HYPERLINK("http://service.sap.com/sap/support/notes/1759616","1759616")</f>
        <v>1759616</v>
      </c>
      <c r="E184">
        <v>1</v>
      </c>
      <c r="F184" t="s">
        <v>287</v>
      </c>
    </row>
    <row r="185" spans="1:6" x14ac:dyDescent="0.25">
      <c r="A185" t="s">
        <v>4200</v>
      </c>
      <c r="B185" t="s">
        <v>288</v>
      </c>
      <c r="C185" t="s">
        <v>289</v>
      </c>
      <c r="D185" t="str">
        <f>HYPERLINK("http://service.sap.com/sap/support/notes/1736375","1736375")</f>
        <v>1736375</v>
      </c>
      <c r="E185">
        <v>1</v>
      </c>
      <c r="F185" t="s">
        <v>290</v>
      </c>
    </row>
    <row r="186" spans="1:6" x14ac:dyDescent="0.25">
      <c r="A186" t="s">
        <v>4200</v>
      </c>
      <c r="B186" t="s">
        <v>288</v>
      </c>
      <c r="C186" t="s">
        <v>289</v>
      </c>
      <c r="D186" t="str">
        <f>HYPERLINK("http://service.sap.com/sap/support/notes/1756876","1756876")</f>
        <v>1756876</v>
      </c>
      <c r="E186">
        <v>1</v>
      </c>
      <c r="F186" t="s">
        <v>24</v>
      </c>
    </row>
    <row r="187" spans="1:6" x14ac:dyDescent="0.25">
      <c r="A187" t="s">
        <v>4200</v>
      </c>
      <c r="B187" t="s">
        <v>288</v>
      </c>
      <c r="C187" t="s">
        <v>289</v>
      </c>
      <c r="D187" t="str">
        <f>HYPERLINK("http://service.sap.com/sap/support/notes/1758584","1758584")</f>
        <v>1758584</v>
      </c>
      <c r="E187">
        <v>1</v>
      </c>
      <c r="F187" t="s">
        <v>291</v>
      </c>
    </row>
    <row r="188" spans="1:6" x14ac:dyDescent="0.25">
      <c r="A188" t="s">
        <v>4200</v>
      </c>
      <c r="B188" t="s">
        <v>288</v>
      </c>
      <c r="C188" t="s">
        <v>289</v>
      </c>
      <c r="D188" t="str">
        <f>HYPERLINK("http://service.sap.com/sap/support/notes/1761466","1761466")</f>
        <v>1761466</v>
      </c>
      <c r="E188">
        <v>1</v>
      </c>
      <c r="F188" t="s">
        <v>292</v>
      </c>
    </row>
    <row r="189" spans="1:6" x14ac:dyDescent="0.25">
      <c r="A189" t="s">
        <v>4200</v>
      </c>
      <c r="B189" t="s">
        <v>293</v>
      </c>
      <c r="C189" t="s">
        <v>294</v>
      </c>
      <c r="D189" t="str">
        <f>HYPERLINK("http://service.sap.com/sap/support/notes/1719449","1719449")</f>
        <v>1719449</v>
      </c>
      <c r="E189">
        <v>2</v>
      </c>
      <c r="F189" t="s">
        <v>295</v>
      </c>
    </row>
    <row r="190" spans="1:6" x14ac:dyDescent="0.25">
      <c r="A190" t="s">
        <v>4200</v>
      </c>
      <c r="B190" t="s">
        <v>293</v>
      </c>
      <c r="C190" t="s">
        <v>294</v>
      </c>
      <c r="D190" t="str">
        <f>HYPERLINK("http://service.sap.com/sap/support/notes/1758982","1758982")</f>
        <v>1758982</v>
      </c>
      <c r="E190">
        <v>1</v>
      </c>
      <c r="F190" t="s">
        <v>296</v>
      </c>
    </row>
    <row r="191" spans="1:6" x14ac:dyDescent="0.25">
      <c r="A191" t="s">
        <v>4200</v>
      </c>
      <c r="B191" t="s">
        <v>297</v>
      </c>
      <c r="C191" t="s">
        <v>298</v>
      </c>
      <c r="D191" t="str">
        <f>HYPERLINK("http://service.sap.com/sap/support/notes/951049","951049")</f>
        <v>951049</v>
      </c>
      <c r="E191">
        <v>7</v>
      </c>
      <c r="F191" t="s">
        <v>299</v>
      </c>
    </row>
    <row r="192" spans="1:6" x14ac:dyDescent="0.25">
      <c r="A192" t="s">
        <v>4200</v>
      </c>
      <c r="B192" t="s">
        <v>300</v>
      </c>
      <c r="C192" t="s">
        <v>301</v>
      </c>
    </row>
    <row r="193" spans="1:6" x14ac:dyDescent="0.25">
      <c r="A193" t="s">
        <v>4200</v>
      </c>
      <c r="B193" t="s">
        <v>302</v>
      </c>
      <c r="C193" t="s">
        <v>303</v>
      </c>
    </row>
    <row r="194" spans="1:6" x14ac:dyDescent="0.25">
      <c r="A194" t="s">
        <v>4200</v>
      </c>
      <c r="B194" t="s">
        <v>304</v>
      </c>
      <c r="C194" t="s">
        <v>303</v>
      </c>
      <c r="D194" t="str">
        <f>HYPERLINK("http://service.sap.com/sap/support/notes/1745384","1745384")</f>
        <v>1745384</v>
      </c>
      <c r="E194">
        <v>1</v>
      </c>
      <c r="F194" t="s">
        <v>305</v>
      </c>
    </row>
    <row r="195" spans="1:6" x14ac:dyDescent="0.25">
      <c r="A195" t="s">
        <v>4200</v>
      </c>
      <c r="B195" t="s">
        <v>304</v>
      </c>
      <c r="C195" t="s">
        <v>303</v>
      </c>
      <c r="D195" t="str">
        <f>HYPERLINK("http://service.sap.com/sap/support/notes/1756579","1756579")</f>
        <v>1756579</v>
      </c>
      <c r="E195">
        <v>1</v>
      </c>
      <c r="F195" t="s">
        <v>306</v>
      </c>
    </row>
    <row r="196" spans="1:6" x14ac:dyDescent="0.25">
      <c r="A196" t="s">
        <v>4200</v>
      </c>
      <c r="B196" t="s">
        <v>307</v>
      </c>
      <c r="C196" t="s">
        <v>308</v>
      </c>
    </row>
    <row r="197" spans="1:6" x14ac:dyDescent="0.25">
      <c r="A197" t="s">
        <v>4200</v>
      </c>
      <c r="B197" t="s">
        <v>309</v>
      </c>
      <c r="C197" t="s">
        <v>310</v>
      </c>
      <c r="D197" t="str">
        <f>HYPERLINK("http://service.sap.com/sap/support/notes/1148279","1148279")</f>
        <v>1148279</v>
      </c>
      <c r="E197">
        <v>3</v>
      </c>
      <c r="F197" t="s">
        <v>311</v>
      </c>
    </row>
    <row r="198" spans="1:6" x14ac:dyDescent="0.25">
      <c r="A198" t="s">
        <v>4200</v>
      </c>
      <c r="B198" t="s">
        <v>312</v>
      </c>
      <c r="C198" t="s">
        <v>313</v>
      </c>
    </row>
    <row r="199" spans="1:6" x14ac:dyDescent="0.25">
      <c r="A199" t="s">
        <v>4200</v>
      </c>
      <c r="B199" t="s">
        <v>314</v>
      </c>
      <c r="C199" t="s">
        <v>315</v>
      </c>
    </row>
    <row r="200" spans="1:6" x14ac:dyDescent="0.25">
      <c r="A200" t="s">
        <v>4200</v>
      </c>
      <c r="B200" t="s">
        <v>316</v>
      </c>
      <c r="C200" t="s">
        <v>317</v>
      </c>
      <c r="D200" t="str">
        <f>HYPERLINK("http://service.sap.com/sap/support/notes/1638908","1638908")</f>
        <v>1638908</v>
      </c>
      <c r="E200">
        <v>11</v>
      </c>
      <c r="F200" t="s">
        <v>318</v>
      </c>
    </row>
    <row r="201" spans="1:6" x14ac:dyDescent="0.25">
      <c r="A201" t="s">
        <v>4200</v>
      </c>
      <c r="B201" t="s">
        <v>316</v>
      </c>
      <c r="C201" t="s">
        <v>317</v>
      </c>
      <c r="D201" t="str">
        <f>HYPERLINK("http://service.sap.com/sap/support/notes/1708863","1708863")</f>
        <v>1708863</v>
      </c>
      <c r="E201">
        <v>4</v>
      </c>
      <c r="F201" t="s">
        <v>319</v>
      </c>
    </row>
    <row r="202" spans="1:6" x14ac:dyDescent="0.25">
      <c r="A202" t="s">
        <v>4200</v>
      </c>
      <c r="B202" t="s">
        <v>316</v>
      </c>
      <c r="C202" t="s">
        <v>317</v>
      </c>
      <c r="D202" t="str">
        <f>HYPERLINK("http://service.sap.com/sap/support/notes/1722636","1722636")</f>
        <v>1722636</v>
      </c>
      <c r="E202">
        <v>2</v>
      </c>
      <c r="F202" t="s">
        <v>320</v>
      </c>
    </row>
    <row r="203" spans="1:6" x14ac:dyDescent="0.25">
      <c r="A203" t="s">
        <v>4200</v>
      </c>
      <c r="B203" t="s">
        <v>321</v>
      </c>
      <c r="C203" t="s">
        <v>322</v>
      </c>
      <c r="D203" t="str">
        <f>HYPERLINK("http://service.sap.com/sap/support/notes/1708350","1708350")</f>
        <v>1708350</v>
      </c>
      <c r="E203">
        <v>2</v>
      </c>
      <c r="F203" t="s">
        <v>323</v>
      </c>
    </row>
    <row r="204" spans="1:6" x14ac:dyDescent="0.25">
      <c r="A204" t="s">
        <v>4200</v>
      </c>
      <c r="B204" t="s">
        <v>321</v>
      </c>
      <c r="C204" t="s">
        <v>322</v>
      </c>
      <c r="D204" t="str">
        <f>HYPERLINK("http://service.sap.com/sap/support/notes/1730124","1730124")</f>
        <v>1730124</v>
      </c>
      <c r="E204">
        <v>2</v>
      </c>
      <c r="F204" t="s">
        <v>324</v>
      </c>
    </row>
    <row r="205" spans="1:6" x14ac:dyDescent="0.25">
      <c r="A205" t="s">
        <v>4200</v>
      </c>
      <c r="B205" t="s">
        <v>321</v>
      </c>
      <c r="C205" t="s">
        <v>322</v>
      </c>
      <c r="D205" t="str">
        <f>HYPERLINK("http://service.sap.com/sap/support/notes/1730327","1730327")</f>
        <v>1730327</v>
      </c>
      <c r="E205">
        <v>1</v>
      </c>
      <c r="F205" t="s">
        <v>325</v>
      </c>
    </row>
    <row r="206" spans="1:6" x14ac:dyDescent="0.25">
      <c r="A206" t="s">
        <v>4200</v>
      </c>
      <c r="B206" t="s">
        <v>326</v>
      </c>
      <c r="C206" t="s">
        <v>327</v>
      </c>
    </row>
    <row r="207" spans="1:6" x14ac:dyDescent="0.25">
      <c r="A207" t="s">
        <v>4200</v>
      </c>
      <c r="B207" t="s">
        <v>328</v>
      </c>
      <c r="C207" t="s">
        <v>329</v>
      </c>
      <c r="D207" t="str">
        <f>HYPERLINK("http://service.sap.com/sap/support/notes/1084124","1084124")</f>
        <v>1084124</v>
      </c>
      <c r="E207">
        <v>5</v>
      </c>
      <c r="F207" t="s">
        <v>330</v>
      </c>
    </row>
    <row r="208" spans="1:6" x14ac:dyDescent="0.25">
      <c r="A208" t="s">
        <v>4200</v>
      </c>
      <c r="B208" t="s">
        <v>331</v>
      </c>
      <c r="C208" t="s">
        <v>332</v>
      </c>
      <c r="D208" t="str">
        <f>HYPERLINK("http://service.sap.com/sap/support/notes/1731882","1731882")</f>
        <v>1731882</v>
      </c>
      <c r="E208">
        <v>2</v>
      </c>
      <c r="F208" t="s">
        <v>333</v>
      </c>
    </row>
    <row r="209" spans="1:6" x14ac:dyDescent="0.25">
      <c r="A209" t="s">
        <v>4200</v>
      </c>
      <c r="B209" t="s">
        <v>331</v>
      </c>
      <c r="C209" t="s">
        <v>332</v>
      </c>
      <c r="D209" t="str">
        <f>HYPERLINK("http://service.sap.com/sap/support/notes/1762119","1762119")</f>
        <v>1762119</v>
      </c>
      <c r="E209">
        <v>2</v>
      </c>
      <c r="F209" t="s">
        <v>334</v>
      </c>
    </row>
    <row r="210" spans="1:6" x14ac:dyDescent="0.25">
      <c r="A210" t="s">
        <v>4200</v>
      </c>
      <c r="B210" t="s">
        <v>335</v>
      </c>
      <c r="C210" t="s">
        <v>336</v>
      </c>
      <c r="D210" t="str">
        <f>HYPERLINK("http://service.sap.com/sap/support/notes/1743008","1743008")</f>
        <v>1743008</v>
      </c>
      <c r="E210">
        <v>1</v>
      </c>
      <c r="F210" t="s">
        <v>337</v>
      </c>
    </row>
    <row r="211" spans="1:6" x14ac:dyDescent="0.25">
      <c r="A211" t="s">
        <v>4200</v>
      </c>
      <c r="B211" t="s">
        <v>338</v>
      </c>
      <c r="C211" t="s">
        <v>339</v>
      </c>
    </row>
    <row r="212" spans="1:6" x14ac:dyDescent="0.25">
      <c r="A212" t="s">
        <v>4200</v>
      </c>
      <c r="B212" t="s">
        <v>340</v>
      </c>
      <c r="C212" t="s">
        <v>341</v>
      </c>
    </row>
    <row r="213" spans="1:6" x14ac:dyDescent="0.25">
      <c r="A213" t="s">
        <v>4200</v>
      </c>
      <c r="B213" t="s">
        <v>342</v>
      </c>
      <c r="C213" t="s">
        <v>343</v>
      </c>
      <c r="D213" t="str">
        <f>HYPERLINK("http://service.sap.com/sap/support/notes/1737126","1737126")</f>
        <v>1737126</v>
      </c>
      <c r="E213">
        <v>3</v>
      </c>
      <c r="F213" t="s">
        <v>344</v>
      </c>
    </row>
    <row r="214" spans="1:6" x14ac:dyDescent="0.25">
      <c r="A214" t="s">
        <v>4200</v>
      </c>
      <c r="B214" t="s">
        <v>342</v>
      </c>
      <c r="C214" t="s">
        <v>343</v>
      </c>
      <c r="D214" t="str">
        <f>HYPERLINK("http://service.sap.com/sap/support/notes/1742472","1742472")</f>
        <v>1742472</v>
      </c>
      <c r="E214">
        <v>1</v>
      </c>
      <c r="F214" t="s">
        <v>345</v>
      </c>
    </row>
    <row r="215" spans="1:6" x14ac:dyDescent="0.25">
      <c r="A215" t="s">
        <v>4200</v>
      </c>
      <c r="B215" t="s">
        <v>342</v>
      </c>
      <c r="C215" t="s">
        <v>343</v>
      </c>
      <c r="D215" t="str">
        <f>HYPERLINK("http://service.sap.com/sap/support/notes/1744067","1744067")</f>
        <v>1744067</v>
      </c>
      <c r="E215">
        <v>2</v>
      </c>
      <c r="F215" t="s">
        <v>346</v>
      </c>
    </row>
    <row r="216" spans="1:6" x14ac:dyDescent="0.25">
      <c r="A216" t="s">
        <v>4200</v>
      </c>
      <c r="B216" t="s">
        <v>347</v>
      </c>
      <c r="C216" t="s">
        <v>348</v>
      </c>
      <c r="D216" t="str">
        <f>HYPERLINK("http://service.sap.com/sap/support/notes/1730318","1730318")</f>
        <v>1730318</v>
      </c>
      <c r="E216">
        <v>2</v>
      </c>
      <c r="F216" t="s">
        <v>349</v>
      </c>
    </row>
    <row r="217" spans="1:6" x14ac:dyDescent="0.25">
      <c r="A217" t="s">
        <v>4200</v>
      </c>
      <c r="B217" t="s">
        <v>347</v>
      </c>
      <c r="C217" t="s">
        <v>348</v>
      </c>
      <c r="D217" t="str">
        <f>HYPERLINK("http://service.sap.com/sap/support/notes/1731133","1731133")</f>
        <v>1731133</v>
      </c>
      <c r="E217">
        <v>1</v>
      </c>
      <c r="F217" t="s">
        <v>350</v>
      </c>
    </row>
    <row r="218" spans="1:6" x14ac:dyDescent="0.25">
      <c r="A218" t="s">
        <v>4200</v>
      </c>
      <c r="B218" t="s">
        <v>347</v>
      </c>
      <c r="C218" t="s">
        <v>348</v>
      </c>
      <c r="D218" t="str">
        <f>HYPERLINK("http://service.sap.com/sap/support/notes/1733094","1733094")</f>
        <v>1733094</v>
      </c>
      <c r="E218">
        <v>1</v>
      </c>
      <c r="F218" t="s">
        <v>351</v>
      </c>
    </row>
    <row r="219" spans="1:6" x14ac:dyDescent="0.25">
      <c r="A219" t="s">
        <v>4200</v>
      </c>
      <c r="B219" t="s">
        <v>347</v>
      </c>
      <c r="C219" t="s">
        <v>348</v>
      </c>
      <c r="D219" t="str">
        <f>HYPERLINK("http://service.sap.com/sap/support/notes/1733561","1733561")</f>
        <v>1733561</v>
      </c>
      <c r="E219">
        <v>1</v>
      </c>
      <c r="F219" t="s">
        <v>352</v>
      </c>
    </row>
    <row r="220" spans="1:6" x14ac:dyDescent="0.25">
      <c r="A220" t="s">
        <v>4200</v>
      </c>
      <c r="B220" t="s">
        <v>347</v>
      </c>
      <c r="C220" t="s">
        <v>348</v>
      </c>
      <c r="D220" t="str">
        <f>HYPERLINK("http://service.sap.com/sap/support/notes/1749973","1749973")</f>
        <v>1749973</v>
      </c>
      <c r="E220">
        <v>2</v>
      </c>
      <c r="F220" t="s">
        <v>353</v>
      </c>
    </row>
    <row r="221" spans="1:6" x14ac:dyDescent="0.25">
      <c r="A221" t="s">
        <v>4200</v>
      </c>
      <c r="B221" t="s">
        <v>347</v>
      </c>
      <c r="C221" t="s">
        <v>348</v>
      </c>
      <c r="D221" t="str">
        <f>HYPERLINK("http://service.sap.com/sap/support/notes/1753417","1753417")</f>
        <v>1753417</v>
      </c>
      <c r="E221">
        <v>1</v>
      </c>
      <c r="F221" t="s">
        <v>354</v>
      </c>
    </row>
    <row r="222" spans="1:6" x14ac:dyDescent="0.25">
      <c r="A222" t="s">
        <v>4200</v>
      </c>
      <c r="B222" t="s">
        <v>347</v>
      </c>
      <c r="C222" t="s">
        <v>348</v>
      </c>
      <c r="D222" t="str">
        <f>HYPERLINK("http://service.sap.com/sap/support/notes/1759660","1759660")</f>
        <v>1759660</v>
      </c>
      <c r="E222">
        <v>1</v>
      </c>
      <c r="F222" t="s">
        <v>355</v>
      </c>
    </row>
    <row r="223" spans="1:6" x14ac:dyDescent="0.25">
      <c r="A223" t="s">
        <v>4200</v>
      </c>
      <c r="B223" t="s">
        <v>356</v>
      </c>
      <c r="C223" t="s">
        <v>357</v>
      </c>
      <c r="D223" t="str">
        <f>HYPERLINK("http://service.sap.com/sap/support/notes/1712357","1712357")</f>
        <v>1712357</v>
      </c>
      <c r="E223">
        <v>3</v>
      </c>
      <c r="F223" t="s">
        <v>358</v>
      </c>
    </row>
    <row r="224" spans="1:6" x14ac:dyDescent="0.25">
      <c r="A224" t="s">
        <v>4200</v>
      </c>
      <c r="B224" t="s">
        <v>356</v>
      </c>
      <c r="C224" t="s">
        <v>357</v>
      </c>
      <c r="D224" t="str">
        <f>HYPERLINK("http://service.sap.com/sap/support/notes/1725516","1725516")</f>
        <v>1725516</v>
      </c>
      <c r="E224">
        <v>3</v>
      </c>
      <c r="F224" t="s">
        <v>359</v>
      </c>
    </row>
    <row r="225" spans="1:6" x14ac:dyDescent="0.25">
      <c r="A225" t="s">
        <v>4200</v>
      </c>
      <c r="B225" t="s">
        <v>356</v>
      </c>
      <c r="C225" t="s">
        <v>357</v>
      </c>
      <c r="D225" t="str">
        <f>HYPERLINK("http://service.sap.com/sap/support/notes/1728694","1728694")</f>
        <v>1728694</v>
      </c>
      <c r="E225">
        <v>2</v>
      </c>
      <c r="F225" t="s">
        <v>360</v>
      </c>
    </row>
    <row r="226" spans="1:6" x14ac:dyDescent="0.25">
      <c r="A226" t="s">
        <v>4200</v>
      </c>
      <c r="B226" t="s">
        <v>356</v>
      </c>
      <c r="C226" t="s">
        <v>357</v>
      </c>
      <c r="D226" t="str">
        <f>HYPERLINK("http://service.sap.com/sap/support/notes/1729823","1729823")</f>
        <v>1729823</v>
      </c>
      <c r="E226">
        <v>2</v>
      </c>
      <c r="F226" t="s">
        <v>361</v>
      </c>
    </row>
    <row r="227" spans="1:6" x14ac:dyDescent="0.25">
      <c r="A227" t="s">
        <v>4200</v>
      </c>
      <c r="B227" t="s">
        <v>356</v>
      </c>
      <c r="C227" t="s">
        <v>357</v>
      </c>
      <c r="D227" t="str">
        <f>HYPERLINK("http://service.sap.com/sap/support/notes/1731753","1731753")</f>
        <v>1731753</v>
      </c>
      <c r="E227">
        <v>2</v>
      </c>
      <c r="F227" t="s">
        <v>362</v>
      </c>
    </row>
    <row r="228" spans="1:6" x14ac:dyDescent="0.25">
      <c r="A228" t="s">
        <v>4200</v>
      </c>
      <c r="B228" t="s">
        <v>356</v>
      </c>
      <c r="C228" t="s">
        <v>357</v>
      </c>
      <c r="D228" t="str">
        <f>HYPERLINK("http://service.sap.com/sap/support/notes/1732153","1732153")</f>
        <v>1732153</v>
      </c>
      <c r="E228">
        <v>2</v>
      </c>
      <c r="F228" t="s">
        <v>363</v>
      </c>
    </row>
    <row r="229" spans="1:6" x14ac:dyDescent="0.25">
      <c r="A229" t="s">
        <v>4200</v>
      </c>
      <c r="B229" t="s">
        <v>356</v>
      </c>
      <c r="C229" t="s">
        <v>357</v>
      </c>
      <c r="D229" t="str">
        <f>HYPERLINK("http://service.sap.com/sap/support/notes/1733047","1733047")</f>
        <v>1733047</v>
      </c>
      <c r="E229">
        <v>2</v>
      </c>
      <c r="F229" t="s">
        <v>364</v>
      </c>
    </row>
    <row r="230" spans="1:6" x14ac:dyDescent="0.25">
      <c r="A230" t="s">
        <v>4200</v>
      </c>
      <c r="B230" t="s">
        <v>356</v>
      </c>
      <c r="C230" t="s">
        <v>357</v>
      </c>
      <c r="D230" t="str">
        <f>HYPERLINK("http://service.sap.com/sap/support/notes/1736159","1736159")</f>
        <v>1736159</v>
      </c>
      <c r="E230">
        <v>1</v>
      </c>
      <c r="F230" t="s">
        <v>365</v>
      </c>
    </row>
    <row r="231" spans="1:6" x14ac:dyDescent="0.25">
      <c r="A231" t="s">
        <v>4200</v>
      </c>
      <c r="B231" t="s">
        <v>356</v>
      </c>
      <c r="C231" t="s">
        <v>357</v>
      </c>
      <c r="D231" t="str">
        <f>HYPERLINK("http://service.sap.com/sap/support/notes/1753642","1753642")</f>
        <v>1753642</v>
      </c>
      <c r="E231">
        <v>2</v>
      </c>
      <c r="F231" t="s">
        <v>366</v>
      </c>
    </row>
    <row r="232" spans="1:6" x14ac:dyDescent="0.25">
      <c r="A232" t="s">
        <v>4200</v>
      </c>
      <c r="B232" t="s">
        <v>356</v>
      </c>
      <c r="C232" t="s">
        <v>357</v>
      </c>
      <c r="D232" t="str">
        <f>HYPERLINK("http://service.sap.com/sap/support/notes/1755954","1755954")</f>
        <v>1755954</v>
      </c>
      <c r="E232">
        <v>1</v>
      </c>
      <c r="F232" t="s">
        <v>367</v>
      </c>
    </row>
    <row r="233" spans="1:6" x14ac:dyDescent="0.25">
      <c r="A233" t="s">
        <v>4200</v>
      </c>
      <c r="B233" t="s">
        <v>356</v>
      </c>
      <c r="C233" t="s">
        <v>357</v>
      </c>
      <c r="D233" t="str">
        <f>HYPERLINK("http://service.sap.com/sap/support/notes/1763660","1763660")</f>
        <v>1763660</v>
      </c>
      <c r="E233">
        <v>2</v>
      </c>
      <c r="F233" t="s">
        <v>368</v>
      </c>
    </row>
    <row r="234" spans="1:6" x14ac:dyDescent="0.25">
      <c r="A234" t="s">
        <v>4200</v>
      </c>
      <c r="B234" t="s">
        <v>356</v>
      </c>
      <c r="C234" t="s">
        <v>357</v>
      </c>
      <c r="D234" t="str">
        <f>HYPERLINK("http://service.sap.com/sap/support/notes/1765098","1765098")</f>
        <v>1765098</v>
      </c>
      <c r="E234">
        <v>1</v>
      </c>
      <c r="F234" t="s">
        <v>369</v>
      </c>
    </row>
    <row r="235" spans="1:6" x14ac:dyDescent="0.25">
      <c r="A235" t="s">
        <v>4200</v>
      </c>
      <c r="B235" t="s">
        <v>356</v>
      </c>
      <c r="C235" t="s">
        <v>357</v>
      </c>
      <c r="D235" t="str">
        <f>HYPERLINK("http://service.sap.com/sap/support/notes/1765199","1765199")</f>
        <v>1765199</v>
      </c>
      <c r="E235">
        <v>2</v>
      </c>
      <c r="F235" t="s">
        <v>370</v>
      </c>
    </row>
    <row r="236" spans="1:6" x14ac:dyDescent="0.25">
      <c r="A236" t="s">
        <v>4200</v>
      </c>
      <c r="B236" t="s">
        <v>356</v>
      </c>
      <c r="C236" t="s">
        <v>357</v>
      </c>
      <c r="D236" t="str">
        <f>HYPERLINK("http://service.sap.com/sap/support/notes/1765737","1765737")</f>
        <v>1765737</v>
      </c>
      <c r="E236">
        <v>1</v>
      </c>
      <c r="F236" t="s">
        <v>371</v>
      </c>
    </row>
    <row r="237" spans="1:6" x14ac:dyDescent="0.25">
      <c r="A237" t="s">
        <v>4200</v>
      </c>
      <c r="B237" t="s">
        <v>372</v>
      </c>
      <c r="C237" t="s">
        <v>373</v>
      </c>
      <c r="D237" t="str">
        <f>HYPERLINK("http://service.sap.com/sap/support/notes/1750982","1750982")</f>
        <v>1750982</v>
      </c>
      <c r="E237">
        <v>1</v>
      </c>
      <c r="F237" t="s">
        <v>374</v>
      </c>
    </row>
    <row r="238" spans="1:6" x14ac:dyDescent="0.25">
      <c r="A238" t="s">
        <v>4200</v>
      </c>
      <c r="B238" t="s">
        <v>372</v>
      </c>
      <c r="C238" t="s">
        <v>373</v>
      </c>
      <c r="D238" t="str">
        <f>HYPERLINK("http://service.sap.com/sap/support/notes/1756960","1756960")</f>
        <v>1756960</v>
      </c>
      <c r="E238">
        <v>1</v>
      </c>
      <c r="F238" t="s">
        <v>375</v>
      </c>
    </row>
    <row r="239" spans="1:6" x14ac:dyDescent="0.25">
      <c r="A239" t="s">
        <v>4200</v>
      </c>
      <c r="B239" t="s">
        <v>376</v>
      </c>
      <c r="C239" t="s">
        <v>377</v>
      </c>
      <c r="D239" t="str">
        <f>HYPERLINK("http://service.sap.com/sap/support/notes/1728573","1728573")</f>
        <v>1728573</v>
      </c>
      <c r="E239">
        <v>1</v>
      </c>
      <c r="F239" t="s">
        <v>378</v>
      </c>
    </row>
    <row r="240" spans="1:6" x14ac:dyDescent="0.25">
      <c r="A240" t="s">
        <v>4200</v>
      </c>
      <c r="B240" t="s">
        <v>376</v>
      </c>
      <c r="C240" t="s">
        <v>377</v>
      </c>
      <c r="D240" t="str">
        <f>HYPERLINK("http://service.sap.com/sap/support/notes/1728965","1728965")</f>
        <v>1728965</v>
      </c>
      <c r="E240">
        <v>1</v>
      </c>
      <c r="F240" t="s">
        <v>379</v>
      </c>
    </row>
    <row r="241" spans="1:6" x14ac:dyDescent="0.25">
      <c r="A241" t="s">
        <v>4200</v>
      </c>
      <c r="B241" t="s">
        <v>376</v>
      </c>
      <c r="C241" t="s">
        <v>377</v>
      </c>
      <c r="D241" t="str">
        <f>HYPERLINK("http://service.sap.com/sap/support/notes/1730221","1730221")</f>
        <v>1730221</v>
      </c>
      <c r="E241">
        <v>1</v>
      </c>
      <c r="F241" t="s">
        <v>380</v>
      </c>
    </row>
    <row r="242" spans="1:6" x14ac:dyDescent="0.25">
      <c r="A242" t="s">
        <v>4200</v>
      </c>
      <c r="B242" t="s">
        <v>376</v>
      </c>
      <c r="C242" t="s">
        <v>377</v>
      </c>
      <c r="D242" t="str">
        <f>HYPERLINK("http://service.sap.com/sap/support/notes/1732373","1732373")</f>
        <v>1732373</v>
      </c>
      <c r="E242">
        <v>1</v>
      </c>
      <c r="F242" t="s">
        <v>381</v>
      </c>
    </row>
    <row r="243" spans="1:6" x14ac:dyDescent="0.25">
      <c r="A243" t="s">
        <v>4200</v>
      </c>
      <c r="B243" t="s">
        <v>376</v>
      </c>
      <c r="C243" t="s">
        <v>377</v>
      </c>
      <c r="D243" t="str">
        <f>HYPERLINK("http://service.sap.com/sap/support/notes/1733515","1733515")</f>
        <v>1733515</v>
      </c>
      <c r="E243">
        <v>1</v>
      </c>
      <c r="F243" t="s">
        <v>382</v>
      </c>
    </row>
    <row r="244" spans="1:6" x14ac:dyDescent="0.25">
      <c r="A244" t="s">
        <v>4200</v>
      </c>
      <c r="B244" t="s">
        <v>383</v>
      </c>
      <c r="C244" t="s">
        <v>384</v>
      </c>
      <c r="D244" t="str">
        <f>HYPERLINK("http://service.sap.com/sap/support/notes/1747992","1747992")</f>
        <v>1747992</v>
      </c>
      <c r="E244">
        <v>1</v>
      </c>
      <c r="F244" t="s">
        <v>385</v>
      </c>
    </row>
    <row r="245" spans="1:6" x14ac:dyDescent="0.25">
      <c r="A245" t="s">
        <v>4200</v>
      </c>
      <c r="B245" t="s">
        <v>386</v>
      </c>
      <c r="C245" t="s">
        <v>387</v>
      </c>
      <c r="D245" t="str">
        <f>HYPERLINK("http://service.sap.com/sap/support/notes/1766594","1766594")</f>
        <v>1766594</v>
      </c>
      <c r="E245">
        <v>1</v>
      </c>
      <c r="F245" t="s">
        <v>388</v>
      </c>
    </row>
    <row r="246" spans="1:6" x14ac:dyDescent="0.25">
      <c r="A246" t="s">
        <v>4200</v>
      </c>
      <c r="B246" t="s">
        <v>389</v>
      </c>
      <c r="C246" t="s">
        <v>390</v>
      </c>
      <c r="D246" t="str">
        <f>HYPERLINK("http://service.sap.com/sap/support/notes/1648743","1648743")</f>
        <v>1648743</v>
      </c>
      <c r="E246">
        <v>1</v>
      </c>
      <c r="F246" t="s">
        <v>391</v>
      </c>
    </row>
    <row r="247" spans="1:6" x14ac:dyDescent="0.25">
      <c r="A247" t="s">
        <v>4200</v>
      </c>
      <c r="B247" t="s">
        <v>389</v>
      </c>
      <c r="C247" t="s">
        <v>390</v>
      </c>
      <c r="D247" t="str">
        <f>HYPERLINK("http://service.sap.com/sap/support/notes/1651754","1651754")</f>
        <v>1651754</v>
      </c>
      <c r="E247">
        <v>3</v>
      </c>
      <c r="F247" t="s">
        <v>392</v>
      </c>
    </row>
    <row r="248" spans="1:6" x14ac:dyDescent="0.25">
      <c r="A248" t="s">
        <v>4200</v>
      </c>
      <c r="B248" t="s">
        <v>389</v>
      </c>
      <c r="C248" t="s">
        <v>390</v>
      </c>
      <c r="D248" t="str">
        <f>HYPERLINK("http://service.sap.com/sap/support/notes/1656716","1656716")</f>
        <v>1656716</v>
      </c>
      <c r="E248">
        <v>3</v>
      </c>
      <c r="F248" t="s">
        <v>393</v>
      </c>
    </row>
    <row r="249" spans="1:6" x14ac:dyDescent="0.25">
      <c r="A249" t="s">
        <v>4200</v>
      </c>
      <c r="B249" t="s">
        <v>389</v>
      </c>
      <c r="C249" t="s">
        <v>390</v>
      </c>
      <c r="D249" t="str">
        <f>HYPERLINK("http://service.sap.com/sap/support/notes/1698987","1698987")</f>
        <v>1698987</v>
      </c>
      <c r="E249">
        <v>1</v>
      </c>
      <c r="F249" t="s">
        <v>394</v>
      </c>
    </row>
    <row r="250" spans="1:6" x14ac:dyDescent="0.25">
      <c r="A250" t="s">
        <v>4200</v>
      </c>
      <c r="B250" t="s">
        <v>389</v>
      </c>
      <c r="C250" t="s">
        <v>390</v>
      </c>
      <c r="D250" t="str">
        <f>HYPERLINK("http://service.sap.com/sap/support/notes/1714072","1714072")</f>
        <v>1714072</v>
      </c>
      <c r="E250">
        <v>2</v>
      </c>
      <c r="F250" t="s">
        <v>395</v>
      </c>
    </row>
    <row r="251" spans="1:6" x14ac:dyDescent="0.25">
      <c r="A251" t="s">
        <v>4200</v>
      </c>
      <c r="B251" t="s">
        <v>396</v>
      </c>
      <c r="C251" t="s">
        <v>397</v>
      </c>
    </row>
    <row r="252" spans="1:6" x14ac:dyDescent="0.25">
      <c r="A252" t="s">
        <v>4200</v>
      </c>
      <c r="B252" t="s">
        <v>398</v>
      </c>
      <c r="C252" t="s">
        <v>399</v>
      </c>
      <c r="D252" t="str">
        <f>HYPERLINK("http://service.sap.com/sap/support/notes/1685618","1685618")</f>
        <v>1685618</v>
      </c>
      <c r="E252">
        <v>2</v>
      </c>
      <c r="F252" t="s">
        <v>400</v>
      </c>
    </row>
    <row r="253" spans="1:6" x14ac:dyDescent="0.25">
      <c r="A253" t="s">
        <v>4200</v>
      </c>
      <c r="B253" t="s">
        <v>401</v>
      </c>
      <c r="C253" t="s">
        <v>183</v>
      </c>
      <c r="D253" t="str">
        <f>HYPERLINK("http://service.sap.com/sap/support/notes/603439","603439")</f>
        <v>603439</v>
      </c>
      <c r="E253">
        <v>4</v>
      </c>
      <c r="F253" t="s">
        <v>402</v>
      </c>
    </row>
    <row r="254" spans="1:6" x14ac:dyDescent="0.25">
      <c r="A254" t="s">
        <v>4200</v>
      </c>
      <c r="B254" t="s">
        <v>403</v>
      </c>
      <c r="C254" t="s">
        <v>185</v>
      </c>
      <c r="D254" t="str">
        <f>HYPERLINK("http://service.sap.com/sap/support/notes/1626397","1626397")</f>
        <v>1626397</v>
      </c>
      <c r="E254">
        <v>4</v>
      </c>
      <c r="F254" t="s">
        <v>404</v>
      </c>
    </row>
    <row r="255" spans="1:6" x14ac:dyDescent="0.25">
      <c r="A255" t="s">
        <v>4200</v>
      </c>
      <c r="B255" t="s">
        <v>403</v>
      </c>
      <c r="C255" t="s">
        <v>185</v>
      </c>
      <c r="D255" t="str">
        <f>HYPERLINK("http://service.sap.com/sap/support/notes/1629732","1629732")</f>
        <v>1629732</v>
      </c>
      <c r="E255">
        <v>6</v>
      </c>
      <c r="F255" t="s">
        <v>405</v>
      </c>
    </row>
    <row r="256" spans="1:6" x14ac:dyDescent="0.25">
      <c r="A256" t="s">
        <v>4200</v>
      </c>
      <c r="B256" t="s">
        <v>403</v>
      </c>
      <c r="C256" t="s">
        <v>185</v>
      </c>
      <c r="D256" t="str">
        <f>HYPERLINK("http://service.sap.com/sap/support/notes/1654755","1654755")</f>
        <v>1654755</v>
      </c>
      <c r="E256">
        <v>1</v>
      </c>
      <c r="F256" t="s">
        <v>406</v>
      </c>
    </row>
    <row r="257" spans="1:6" x14ac:dyDescent="0.25">
      <c r="A257" t="s">
        <v>4200</v>
      </c>
      <c r="B257" t="s">
        <v>403</v>
      </c>
      <c r="C257" t="s">
        <v>185</v>
      </c>
      <c r="D257" t="str">
        <f>HYPERLINK("http://service.sap.com/sap/support/notes/1712507","1712507")</f>
        <v>1712507</v>
      </c>
      <c r="E257">
        <v>3</v>
      </c>
      <c r="F257" t="s">
        <v>407</v>
      </c>
    </row>
    <row r="258" spans="1:6" x14ac:dyDescent="0.25">
      <c r="A258" t="s">
        <v>4200</v>
      </c>
      <c r="B258" t="s">
        <v>403</v>
      </c>
      <c r="C258" t="s">
        <v>185</v>
      </c>
      <c r="D258" t="str">
        <f>HYPERLINK("http://service.sap.com/sap/support/notes/1719347","1719347")</f>
        <v>1719347</v>
      </c>
      <c r="E258">
        <v>3</v>
      </c>
      <c r="F258" t="s">
        <v>408</v>
      </c>
    </row>
    <row r="259" spans="1:6" x14ac:dyDescent="0.25">
      <c r="A259" t="s">
        <v>4200</v>
      </c>
      <c r="B259" t="s">
        <v>403</v>
      </c>
      <c r="C259" t="s">
        <v>185</v>
      </c>
      <c r="D259" t="str">
        <f>HYPERLINK("http://service.sap.com/sap/support/notes/1731861","1731861")</f>
        <v>1731861</v>
      </c>
      <c r="E259">
        <v>1</v>
      </c>
      <c r="F259" t="s">
        <v>409</v>
      </c>
    </row>
    <row r="260" spans="1:6" x14ac:dyDescent="0.25">
      <c r="A260" t="s">
        <v>4200</v>
      </c>
      <c r="B260" t="s">
        <v>403</v>
      </c>
      <c r="C260" t="s">
        <v>185</v>
      </c>
      <c r="D260" t="str">
        <f>HYPERLINK("http://service.sap.com/sap/support/notes/1732275","1732275")</f>
        <v>1732275</v>
      </c>
      <c r="E260">
        <v>1</v>
      </c>
      <c r="F260" t="s">
        <v>410</v>
      </c>
    </row>
    <row r="261" spans="1:6" x14ac:dyDescent="0.25">
      <c r="A261" t="s">
        <v>4200</v>
      </c>
      <c r="B261" t="s">
        <v>403</v>
      </c>
      <c r="C261" t="s">
        <v>185</v>
      </c>
      <c r="D261" t="str">
        <f>HYPERLINK("http://service.sap.com/sap/support/notes/1738908","1738908")</f>
        <v>1738908</v>
      </c>
      <c r="E261">
        <v>1</v>
      </c>
      <c r="F261" t="s">
        <v>411</v>
      </c>
    </row>
    <row r="262" spans="1:6" x14ac:dyDescent="0.25">
      <c r="A262" t="s">
        <v>4200</v>
      </c>
      <c r="B262" t="s">
        <v>403</v>
      </c>
      <c r="C262" t="s">
        <v>185</v>
      </c>
      <c r="D262" t="str">
        <f>HYPERLINK("http://service.sap.com/sap/support/notes/1740383","1740383")</f>
        <v>1740383</v>
      </c>
      <c r="E262">
        <v>6</v>
      </c>
      <c r="F262" t="s">
        <v>412</v>
      </c>
    </row>
    <row r="263" spans="1:6" x14ac:dyDescent="0.25">
      <c r="A263" t="s">
        <v>4200</v>
      </c>
      <c r="B263" t="s">
        <v>403</v>
      </c>
      <c r="C263" t="s">
        <v>185</v>
      </c>
      <c r="D263" t="str">
        <f>HYPERLINK("http://service.sap.com/sap/support/notes/1745624","1745624")</f>
        <v>1745624</v>
      </c>
      <c r="E263">
        <v>4</v>
      </c>
      <c r="F263" t="s">
        <v>412</v>
      </c>
    </row>
    <row r="264" spans="1:6" x14ac:dyDescent="0.25">
      <c r="A264" t="s">
        <v>4200</v>
      </c>
      <c r="B264" t="s">
        <v>403</v>
      </c>
      <c r="C264" t="s">
        <v>185</v>
      </c>
      <c r="D264" t="str">
        <f>HYPERLINK("http://service.sap.com/sap/support/notes/1746801","1746801")</f>
        <v>1746801</v>
      </c>
      <c r="E264">
        <v>2</v>
      </c>
      <c r="F264" t="s">
        <v>408</v>
      </c>
    </row>
    <row r="265" spans="1:6" x14ac:dyDescent="0.25">
      <c r="A265" t="s">
        <v>4200</v>
      </c>
      <c r="B265" t="s">
        <v>403</v>
      </c>
      <c r="C265" t="s">
        <v>185</v>
      </c>
      <c r="D265" t="str">
        <f>HYPERLINK("http://service.sap.com/sap/support/notes/1749844","1749844")</f>
        <v>1749844</v>
      </c>
      <c r="E265">
        <v>1</v>
      </c>
      <c r="F265" t="s">
        <v>413</v>
      </c>
    </row>
    <row r="266" spans="1:6" x14ac:dyDescent="0.25">
      <c r="A266" t="s">
        <v>4200</v>
      </c>
      <c r="B266" t="s">
        <v>403</v>
      </c>
      <c r="C266" t="s">
        <v>185</v>
      </c>
      <c r="D266" t="str">
        <f>HYPERLINK("http://service.sap.com/sap/support/notes/1751707","1751707")</f>
        <v>1751707</v>
      </c>
      <c r="E266">
        <v>1</v>
      </c>
      <c r="F266" t="s">
        <v>414</v>
      </c>
    </row>
    <row r="267" spans="1:6" x14ac:dyDescent="0.25">
      <c r="A267" t="s">
        <v>4200</v>
      </c>
      <c r="B267" t="s">
        <v>403</v>
      </c>
      <c r="C267" t="s">
        <v>185</v>
      </c>
      <c r="D267" t="str">
        <f>HYPERLINK("http://service.sap.com/sap/support/notes/1755920","1755920")</f>
        <v>1755920</v>
      </c>
      <c r="E267">
        <v>3</v>
      </c>
      <c r="F267" t="s">
        <v>415</v>
      </c>
    </row>
    <row r="268" spans="1:6" x14ac:dyDescent="0.25">
      <c r="A268" t="s">
        <v>4200</v>
      </c>
      <c r="B268" t="s">
        <v>403</v>
      </c>
      <c r="C268" t="s">
        <v>185</v>
      </c>
      <c r="D268" t="str">
        <f>HYPERLINK("http://service.sap.com/sap/support/notes/1757450","1757450")</f>
        <v>1757450</v>
      </c>
      <c r="E268">
        <v>3</v>
      </c>
      <c r="F268" t="s">
        <v>416</v>
      </c>
    </row>
    <row r="269" spans="1:6" x14ac:dyDescent="0.25">
      <c r="A269" t="s">
        <v>4200</v>
      </c>
      <c r="B269" t="s">
        <v>403</v>
      </c>
      <c r="C269" t="s">
        <v>185</v>
      </c>
      <c r="D269" t="str">
        <f>HYPERLINK("http://service.sap.com/sap/support/notes/1762126","1762126")</f>
        <v>1762126</v>
      </c>
      <c r="E269">
        <v>1</v>
      </c>
      <c r="F269" t="s">
        <v>417</v>
      </c>
    </row>
    <row r="270" spans="1:6" x14ac:dyDescent="0.25">
      <c r="A270" t="s">
        <v>4200</v>
      </c>
      <c r="B270" t="s">
        <v>403</v>
      </c>
      <c r="C270" t="s">
        <v>185</v>
      </c>
      <c r="D270" t="str">
        <f>HYPERLINK("http://service.sap.com/sap/support/notes/1762287","1762287")</f>
        <v>1762287</v>
      </c>
      <c r="E270">
        <v>2</v>
      </c>
      <c r="F270" t="s">
        <v>418</v>
      </c>
    </row>
    <row r="271" spans="1:6" x14ac:dyDescent="0.25">
      <c r="A271" t="s">
        <v>4200</v>
      </c>
      <c r="B271" t="s">
        <v>403</v>
      </c>
      <c r="C271" t="s">
        <v>185</v>
      </c>
      <c r="D271" t="str">
        <f>HYPERLINK("http://service.sap.com/sap/support/notes/1763107","1763107")</f>
        <v>1763107</v>
      </c>
      <c r="E271">
        <v>1</v>
      </c>
      <c r="F271" t="s">
        <v>419</v>
      </c>
    </row>
    <row r="272" spans="1:6" x14ac:dyDescent="0.25">
      <c r="A272" t="s">
        <v>4200</v>
      </c>
      <c r="B272" t="s">
        <v>403</v>
      </c>
      <c r="C272" t="s">
        <v>185</v>
      </c>
      <c r="D272" t="str">
        <f>HYPERLINK("http://service.sap.com/sap/support/notes/1763706","1763706")</f>
        <v>1763706</v>
      </c>
      <c r="E272">
        <v>1</v>
      </c>
      <c r="F272" t="s">
        <v>420</v>
      </c>
    </row>
    <row r="273" spans="1:6" x14ac:dyDescent="0.25">
      <c r="A273" t="s">
        <v>4200</v>
      </c>
      <c r="B273" t="s">
        <v>403</v>
      </c>
      <c r="C273" t="s">
        <v>185</v>
      </c>
      <c r="D273" t="str">
        <f>HYPERLINK("http://service.sap.com/sap/support/notes/1764319","1764319")</f>
        <v>1764319</v>
      </c>
      <c r="E273">
        <v>1</v>
      </c>
      <c r="F273" t="s">
        <v>421</v>
      </c>
    </row>
    <row r="274" spans="1:6" x14ac:dyDescent="0.25">
      <c r="A274" t="s">
        <v>4200</v>
      </c>
      <c r="B274" t="s">
        <v>403</v>
      </c>
      <c r="C274" t="s">
        <v>185</v>
      </c>
      <c r="D274" t="str">
        <f>HYPERLINK("http://service.sap.com/sap/support/notes/1765490","1765490")</f>
        <v>1765490</v>
      </c>
      <c r="E274">
        <v>1</v>
      </c>
      <c r="F274" t="s">
        <v>422</v>
      </c>
    </row>
    <row r="275" spans="1:6" x14ac:dyDescent="0.25">
      <c r="A275" t="s">
        <v>4200</v>
      </c>
      <c r="B275" t="s">
        <v>423</v>
      </c>
      <c r="C275" t="s">
        <v>424</v>
      </c>
      <c r="D275" t="str">
        <f>HYPERLINK("http://service.sap.com/sap/support/notes/1716177","1716177")</f>
        <v>1716177</v>
      </c>
      <c r="E275">
        <v>1</v>
      </c>
      <c r="F275" t="s">
        <v>425</v>
      </c>
    </row>
    <row r="276" spans="1:6" x14ac:dyDescent="0.25">
      <c r="A276" t="s">
        <v>4200</v>
      </c>
      <c r="B276" t="s">
        <v>423</v>
      </c>
      <c r="C276" t="s">
        <v>424</v>
      </c>
      <c r="D276" t="str">
        <f>HYPERLINK("http://service.sap.com/sap/support/notes/1719643","1719643")</f>
        <v>1719643</v>
      </c>
      <c r="E276">
        <v>2</v>
      </c>
      <c r="F276" t="s">
        <v>426</v>
      </c>
    </row>
    <row r="277" spans="1:6" x14ac:dyDescent="0.25">
      <c r="A277" t="s">
        <v>4200</v>
      </c>
      <c r="B277" t="s">
        <v>423</v>
      </c>
      <c r="C277" t="s">
        <v>424</v>
      </c>
      <c r="D277" t="str">
        <f>HYPERLINK("http://service.sap.com/sap/support/notes/1721678","1721678")</f>
        <v>1721678</v>
      </c>
      <c r="E277">
        <v>1</v>
      </c>
      <c r="F277" t="s">
        <v>427</v>
      </c>
    </row>
    <row r="278" spans="1:6" x14ac:dyDescent="0.25">
      <c r="A278" t="s">
        <v>4200</v>
      </c>
      <c r="B278" t="s">
        <v>423</v>
      </c>
      <c r="C278" t="s">
        <v>424</v>
      </c>
      <c r="D278" t="str">
        <f>HYPERLINK("http://service.sap.com/sap/support/notes/1728466","1728466")</f>
        <v>1728466</v>
      </c>
      <c r="E278">
        <v>1</v>
      </c>
      <c r="F278" t="s">
        <v>428</v>
      </c>
    </row>
    <row r="279" spans="1:6" x14ac:dyDescent="0.25">
      <c r="A279" t="s">
        <v>4200</v>
      </c>
      <c r="B279" t="s">
        <v>423</v>
      </c>
      <c r="C279" t="s">
        <v>424</v>
      </c>
      <c r="D279" t="str">
        <f>HYPERLINK("http://service.sap.com/sap/support/notes/1728911","1728911")</f>
        <v>1728911</v>
      </c>
      <c r="E279">
        <v>1</v>
      </c>
      <c r="F279" t="s">
        <v>429</v>
      </c>
    </row>
    <row r="280" spans="1:6" x14ac:dyDescent="0.25">
      <c r="A280" t="s">
        <v>4200</v>
      </c>
      <c r="B280" t="s">
        <v>430</v>
      </c>
      <c r="C280" t="s">
        <v>431</v>
      </c>
      <c r="D280" t="str">
        <f>HYPERLINK("http://service.sap.com/sap/support/notes/1696498","1696498")</f>
        <v>1696498</v>
      </c>
      <c r="E280">
        <v>1</v>
      </c>
      <c r="F280" t="s">
        <v>432</v>
      </c>
    </row>
    <row r="281" spans="1:6" x14ac:dyDescent="0.25">
      <c r="A281" t="s">
        <v>4200</v>
      </c>
      <c r="B281" t="s">
        <v>430</v>
      </c>
      <c r="C281" t="s">
        <v>431</v>
      </c>
      <c r="D281" t="str">
        <f>HYPERLINK("http://service.sap.com/sap/support/notes/1697037","1697037")</f>
        <v>1697037</v>
      </c>
      <c r="E281">
        <v>3</v>
      </c>
      <c r="F281" t="s">
        <v>433</v>
      </c>
    </row>
    <row r="282" spans="1:6" x14ac:dyDescent="0.25">
      <c r="A282" t="s">
        <v>4200</v>
      </c>
      <c r="B282" t="s">
        <v>430</v>
      </c>
      <c r="C282" t="s">
        <v>431</v>
      </c>
      <c r="D282" t="str">
        <f>HYPERLINK("http://service.sap.com/sap/support/notes/1726626","1726626")</f>
        <v>1726626</v>
      </c>
      <c r="E282">
        <v>2</v>
      </c>
      <c r="F282" t="s">
        <v>434</v>
      </c>
    </row>
    <row r="283" spans="1:6" x14ac:dyDescent="0.25">
      <c r="A283" t="s">
        <v>4200</v>
      </c>
      <c r="B283" t="s">
        <v>430</v>
      </c>
      <c r="C283" t="s">
        <v>431</v>
      </c>
      <c r="D283" t="str">
        <f>HYPERLINK("http://service.sap.com/sap/support/notes/1733000","1733000")</f>
        <v>1733000</v>
      </c>
      <c r="E283">
        <v>2</v>
      </c>
      <c r="F283" t="s">
        <v>435</v>
      </c>
    </row>
    <row r="284" spans="1:6" x14ac:dyDescent="0.25">
      <c r="A284" t="s">
        <v>4200</v>
      </c>
      <c r="B284" t="s">
        <v>436</v>
      </c>
      <c r="C284" t="s">
        <v>437</v>
      </c>
    </row>
    <row r="285" spans="1:6" x14ac:dyDescent="0.25">
      <c r="A285" t="s">
        <v>4200</v>
      </c>
      <c r="B285" t="s">
        <v>438</v>
      </c>
      <c r="C285" t="s">
        <v>431</v>
      </c>
      <c r="D285" t="str">
        <f>HYPERLINK("http://service.sap.com/sap/support/notes/1645816","1645816")</f>
        <v>1645816</v>
      </c>
      <c r="E285">
        <v>5</v>
      </c>
      <c r="F285" t="s">
        <v>439</v>
      </c>
    </row>
    <row r="286" spans="1:6" x14ac:dyDescent="0.25">
      <c r="A286" t="s">
        <v>4200</v>
      </c>
      <c r="B286" t="s">
        <v>438</v>
      </c>
      <c r="C286" t="s">
        <v>431</v>
      </c>
      <c r="D286" t="str">
        <f>HYPERLINK("http://service.sap.com/sap/support/notes/1736332","1736332")</f>
        <v>1736332</v>
      </c>
      <c r="E286">
        <v>2</v>
      </c>
      <c r="F286" t="s">
        <v>440</v>
      </c>
    </row>
    <row r="287" spans="1:6" x14ac:dyDescent="0.25">
      <c r="A287" t="s">
        <v>4200</v>
      </c>
      <c r="B287" t="s">
        <v>438</v>
      </c>
      <c r="C287" t="s">
        <v>431</v>
      </c>
      <c r="D287" t="str">
        <f>HYPERLINK("http://service.sap.com/sap/support/notes/1743921","1743921")</f>
        <v>1743921</v>
      </c>
      <c r="E287">
        <v>1</v>
      </c>
      <c r="F287" t="s">
        <v>441</v>
      </c>
    </row>
    <row r="288" spans="1:6" x14ac:dyDescent="0.25">
      <c r="A288" t="s">
        <v>4200</v>
      </c>
      <c r="B288" t="s">
        <v>442</v>
      </c>
      <c r="C288" t="s">
        <v>443</v>
      </c>
    </row>
    <row r="289" spans="1:6" x14ac:dyDescent="0.25">
      <c r="A289" t="s">
        <v>4200</v>
      </c>
      <c r="B289" t="s">
        <v>444</v>
      </c>
      <c r="C289" t="s">
        <v>445</v>
      </c>
      <c r="D289" t="str">
        <f>HYPERLINK("http://service.sap.com/sap/support/notes/1719903","1719903")</f>
        <v>1719903</v>
      </c>
      <c r="E289">
        <v>1</v>
      </c>
      <c r="F289" t="s">
        <v>446</v>
      </c>
    </row>
    <row r="290" spans="1:6" x14ac:dyDescent="0.25">
      <c r="A290" t="s">
        <v>4200</v>
      </c>
      <c r="B290" t="s">
        <v>444</v>
      </c>
      <c r="C290" t="s">
        <v>445</v>
      </c>
      <c r="D290" t="str">
        <f>HYPERLINK("http://service.sap.com/sap/support/notes/1731471","1731471")</f>
        <v>1731471</v>
      </c>
      <c r="E290">
        <v>1</v>
      </c>
      <c r="F290" t="s">
        <v>447</v>
      </c>
    </row>
    <row r="291" spans="1:6" x14ac:dyDescent="0.25">
      <c r="A291" t="s">
        <v>4200</v>
      </c>
      <c r="B291" t="s">
        <v>444</v>
      </c>
      <c r="C291" t="s">
        <v>445</v>
      </c>
      <c r="D291" t="str">
        <f>HYPERLINK("http://service.sap.com/sap/support/notes/1740341","1740341")</f>
        <v>1740341</v>
      </c>
      <c r="E291">
        <v>1</v>
      </c>
      <c r="F291" t="s">
        <v>448</v>
      </c>
    </row>
    <row r="292" spans="1:6" x14ac:dyDescent="0.25">
      <c r="A292" t="s">
        <v>4200</v>
      </c>
      <c r="B292" t="s">
        <v>444</v>
      </c>
      <c r="C292" t="s">
        <v>445</v>
      </c>
      <c r="D292" t="str">
        <f>HYPERLINK("http://service.sap.com/sap/support/notes/1747230","1747230")</f>
        <v>1747230</v>
      </c>
      <c r="E292">
        <v>2</v>
      </c>
      <c r="F292" t="s">
        <v>449</v>
      </c>
    </row>
    <row r="293" spans="1:6" x14ac:dyDescent="0.25">
      <c r="A293" t="s">
        <v>4200</v>
      </c>
      <c r="B293" t="s">
        <v>450</v>
      </c>
      <c r="C293" t="s">
        <v>451</v>
      </c>
      <c r="D293" t="str">
        <f>HYPERLINK("http://service.sap.com/sap/support/notes/1725047","1725047")</f>
        <v>1725047</v>
      </c>
      <c r="E293">
        <v>1</v>
      </c>
      <c r="F293" t="s">
        <v>452</v>
      </c>
    </row>
    <row r="294" spans="1:6" x14ac:dyDescent="0.25">
      <c r="A294" t="s">
        <v>4200</v>
      </c>
      <c r="B294" t="s">
        <v>450</v>
      </c>
      <c r="C294" t="s">
        <v>451</v>
      </c>
      <c r="D294" t="str">
        <f>HYPERLINK("http://service.sap.com/sap/support/notes/1736901","1736901")</f>
        <v>1736901</v>
      </c>
      <c r="E294">
        <v>1</v>
      </c>
      <c r="F294" t="s">
        <v>453</v>
      </c>
    </row>
    <row r="295" spans="1:6" x14ac:dyDescent="0.25">
      <c r="A295" t="s">
        <v>4200</v>
      </c>
      <c r="B295" t="s">
        <v>450</v>
      </c>
      <c r="C295" t="s">
        <v>451</v>
      </c>
      <c r="D295" t="str">
        <f>HYPERLINK("http://service.sap.com/sap/support/notes/1745002","1745002")</f>
        <v>1745002</v>
      </c>
      <c r="E295">
        <v>1</v>
      </c>
      <c r="F295" t="s">
        <v>454</v>
      </c>
    </row>
    <row r="296" spans="1:6" x14ac:dyDescent="0.25">
      <c r="A296" t="s">
        <v>4200</v>
      </c>
      <c r="B296" t="s">
        <v>450</v>
      </c>
      <c r="C296" t="s">
        <v>451</v>
      </c>
      <c r="D296" t="str">
        <f>HYPERLINK("http://service.sap.com/sap/support/notes/1764873","1764873")</f>
        <v>1764873</v>
      </c>
      <c r="E296">
        <v>1</v>
      </c>
      <c r="F296" t="s">
        <v>455</v>
      </c>
    </row>
    <row r="297" spans="1:6" x14ac:dyDescent="0.25">
      <c r="A297" t="s">
        <v>4200</v>
      </c>
      <c r="B297" t="s">
        <v>456</v>
      </c>
      <c r="C297" t="s">
        <v>431</v>
      </c>
      <c r="D297" t="str">
        <f>HYPERLINK("http://service.sap.com/sap/support/notes/1644947","1644947")</f>
        <v>1644947</v>
      </c>
      <c r="E297">
        <v>2</v>
      </c>
      <c r="F297" t="s">
        <v>457</v>
      </c>
    </row>
    <row r="298" spans="1:6" x14ac:dyDescent="0.25">
      <c r="A298" t="s">
        <v>4200</v>
      </c>
      <c r="B298" t="s">
        <v>456</v>
      </c>
      <c r="C298" t="s">
        <v>431</v>
      </c>
      <c r="D298" t="str">
        <f>HYPERLINK("http://service.sap.com/sap/support/notes/1666767","1666767")</f>
        <v>1666767</v>
      </c>
      <c r="E298">
        <v>3</v>
      </c>
      <c r="F298" t="s">
        <v>458</v>
      </c>
    </row>
    <row r="299" spans="1:6" x14ac:dyDescent="0.25">
      <c r="A299" t="s">
        <v>4200</v>
      </c>
      <c r="B299" t="s">
        <v>456</v>
      </c>
      <c r="C299" t="s">
        <v>431</v>
      </c>
      <c r="D299" t="str">
        <f>HYPERLINK("http://service.sap.com/sap/support/notes/1697905","1697905")</f>
        <v>1697905</v>
      </c>
      <c r="E299">
        <v>9</v>
      </c>
      <c r="F299" t="s">
        <v>459</v>
      </c>
    </row>
    <row r="300" spans="1:6" x14ac:dyDescent="0.25">
      <c r="A300" t="s">
        <v>4200</v>
      </c>
      <c r="B300" t="s">
        <v>456</v>
      </c>
      <c r="C300" t="s">
        <v>431</v>
      </c>
      <c r="D300" t="str">
        <f>HYPERLINK("http://service.sap.com/sap/support/notes/1716454","1716454")</f>
        <v>1716454</v>
      </c>
      <c r="E300">
        <v>1</v>
      </c>
      <c r="F300" t="s">
        <v>460</v>
      </c>
    </row>
    <row r="301" spans="1:6" x14ac:dyDescent="0.25">
      <c r="A301" t="s">
        <v>4200</v>
      </c>
      <c r="B301" t="s">
        <v>456</v>
      </c>
      <c r="C301" t="s">
        <v>431</v>
      </c>
      <c r="D301" t="str">
        <f>HYPERLINK("http://service.sap.com/sap/support/notes/1729239","1729239")</f>
        <v>1729239</v>
      </c>
      <c r="E301">
        <v>1</v>
      </c>
      <c r="F301" t="s">
        <v>461</v>
      </c>
    </row>
    <row r="302" spans="1:6" x14ac:dyDescent="0.25">
      <c r="A302" t="s">
        <v>4200</v>
      </c>
      <c r="B302" t="s">
        <v>456</v>
      </c>
      <c r="C302" t="s">
        <v>431</v>
      </c>
      <c r="D302" t="str">
        <f>HYPERLINK("http://service.sap.com/sap/support/notes/1741939","1741939")</f>
        <v>1741939</v>
      </c>
      <c r="E302">
        <v>2</v>
      </c>
      <c r="F302" t="s">
        <v>462</v>
      </c>
    </row>
    <row r="303" spans="1:6" x14ac:dyDescent="0.25">
      <c r="A303" t="s">
        <v>4200</v>
      </c>
      <c r="B303" t="s">
        <v>456</v>
      </c>
      <c r="C303" t="s">
        <v>431</v>
      </c>
      <c r="D303" t="str">
        <f>HYPERLINK("http://service.sap.com/sap/support/notes/1743063","1743063")</f>
        <v>1743063</v>
      </c>
      <c r="E303">
        <v>1</v>
      </c>
      <c r="F303" t="s">
        <v>463</v>
      </c>
    </row>
    <row r="304" spans="1:6" x14ac:dyDescent="0.25">
      <c r="A304" t="s">
        <v>4200</v>
      </c>
      <c r="B304" t="s">
        <v>456</v>
      </c>
      <c r="C304" t="s">
        <v>431</v>
      </c>
      <c r="D304" t="str">
        <f>HYPERLINK("http://service.sap.com/sap/support/notes/1749358","1749358")</f>
        <v>1749358</v>
      </c>
      <c r="E304">
        <v>2</v>
      </c>
      <c r="F304" t="s">
        <v>464</v>
      </c>
    </row>
    <row r="305" spans="1:6" x14ac:dyDescent="0.25">
      <c r="A305" t="s">
        <v>4200</v>
      </c>
      <c r="B305" t="s">
        <v>465</v>
      </c>
      <c r="C305" t="s">
        <v>466</v>
      </c>
      <c r="D305" t="str">
        <f>HYPERLINK("http://service.sap.com/sap/support/notes/1734840","1734840")</f>
        <v>1734840</v>
      </c>
      <c r="E305">
        <v>2</v>
      </c>
      <c r="F305" t="s">
        <v>467</v>
      </c>
    </row>
    <row r="306" spans="1:6" x14ac:dyDescent="0.25">
      <c r="A306" t="s">
        <v>4200</v>
      </c>
      <c r="B306" t="s">
        <v>465</v>
      </c>
      <c r="C306" t="s">
        <v>466</v>
      </c>
      <c r="D306" t="str">
        <f>HYPERLINK("http://service.sap.com/sap/support/notes/1753647","1753647")</f>
        <v>1753647</v>
      </c>
      <c r="E306">
        <v>2</v>
      </c>
      <c r="F306" t="s">
        <v>468</v>
      </c>
    </row>
    <row r="307" spans="1:6" x14ac:dyDescent="0.25">
      <c r="A307" t="s">
        <v>4200</v>
      </c>
      <c r="B307" t="s">
        <v>469</v>
      </c>
      <c r="C307" t="s">
        <v>470</v>
      </c>
    </row>
    <row r="308" spans="1:6" x14ac:dyDescent="0.25">
      <c r="A308" t="s">
        <v>4200</v>
      </c>
      <c r="B308" t="s">
        <v>471</v>
      </c>
      <c r="C308" t="s">
        <v>451</v>
      </c>
      <c r="D308" t="str">
        <f>HYPERLINK("http://service.sap.com/sap/support/notes/1729241","1729241")</f>
        <v>1729241</v>
      </c>
      <c r="E308">
        <v>1</v>
      </c>
      <c r="F308" t="s">
        <v>472</v>
      </c>
    </row>
    <row r="309" spans="1:6" x14ac:dyDescent="0.25">
      <c r="A309" t="s">
        <v>4200</v>
      </c>
      <c r="B309" t="s">
        <v>473</v>
      </c>
      <c r="C309" t="s">
        <v>474</v>
      </c>
      <c r="D309" t="str">
        <f>HYPERLINK("http://service.sap.com/sap/support/notes/1715028","1715028")</f>
        <v>1715028</v>
      </c>
      <c r="E309">
        <v>1</v>
      </c>
      <c r="F309" t="s">
        <v>475</v>
      </c>
    </row>
    <row r="310" spans="1:6" x14ac:dyDescent="0.25">
      <c r="A310" t="s">
        <v>4200</v>
      </c>
      <c r="B310" t="s">
        <v>473</v>
      </c>
      <c r="C310" t="s">
        <v>474</v>
      </c>
      <c r="D310" t="str">
        <f>HYPERLINK("http://service.sap.com/sap/support/notes/1722806","1722806")</f>
        <v>1722806</v>
      </c>
      <c r="E310">
        <v>1</v>
      </c>
      <c r="F310" t="s">
        <v>476</v>
      </c>
    </row>
    <row r="311" spans="1:6" x14ac:dyDescent="0.25">
      <c r="A311" t="s">
        <v>4200</v>
      </c>
      <c r="B311" t="s">
        <v>473</v>
      </c>
      <c r="C311" t="s">
        <v>474</v>
      </c>
      <c r="D311" t="str">
        <f>HYPERLINK("http://service.sap.com/sap/support/notes/1733029","1733029")</f>
        <v>1733029</v>
      </c>
      <c r="E311">
        <v>1</v>
      </c>
      <c r="F311" t="s">
        <v>477</v>
      </c>
    </row>
    <row r="312" spans="1:6" x14ac:dyDescent="0.25">
      <c r="A312" t="s">
        <v>4200</v>
      </c>
      <c r="B312" t="s">
        <v>473</v>
      </c>
      <c r="C312" t="s">
        <v>474</v>
      </c>
      <c r="D312" t="str">
        <f>HYPERLINK("http://service.sap.com/sap/support/notes/1751849","1751849")</f>
        <v>1751849</v>
      </c>
      <c r="E312">
        <v>1</v>
      </c>
      <c r="F312" t="s">
        <v>478</v>
      </c>
    </row>
    <row r="313" spans="1:6" x14ac:dyDescent="0.25">
      <c r="A313" t="s">
        <v>4200</v>
      </c>
      <c r="B313" t="s">
        <v>479</v>
      </c>
      <c r="C313" t="s">
        <v>480</v>
      </c>
    </row>
    <row r="314" spans="1:6" x14ac:dyDescent="0.25">
      <c r="A314" t="s">
        <v>4200</v>
      </c>
      <c r="B314" t="s">
        <v>481</v>
      </c>
      <c r="C314" t="s">
        <v>29</v>
      </c>
      <c r="D314" t="str">
        <f>HYPERLINK("http://service.sap.com/sap/support/notes/1735907","1735907")</f>
        <v>1735907</v>
      </c>
      <c r="E314">
        <v>1</v>
      </c>
      <c r="F314" t="s">
        <v>482</v>
      </c>
    </row>
    <row r="315" spans="1:6" x14ac:dyDescent="0.25">
      <c r="A315" t="s">
        <v>4200</v>
      </c>
      <c r="B315" t="s">
        <v>481</v>
      </c>
      <c r="C315" t="s">
        <v>29</v>
      </c>
      <c r="D315" t="str">
        <f>HYPERLINK("http://service.sap.com/sap/support/notes/1743735","1743735")</f>
        <v>1743735</v>
      </c>
      <c r="E315">
        <v>2</v>
      </c>
      <c r="F315" t="s">
        <v>483</v>
      </c>
    </row>
    <row r="316" spans="1:6" x14ac:dyDescent="0.25">
      <c r="A316" t="s">
        <v>4200</v>
      </c>
      <c r="B316" t="s">
        <v>481</v>
      </c>
      <c r="C316" t="s">
        <v>29</v>
      </c>
      <c r="D316" t="str">
        <f>HYPERLINK("http://service.sap.com/sap/support/notes/1747291","1747291")</f>
        <v>1747291</v>
      </c>
      <c r="E316">
        <v>1</v>
      </c>
      <c r="F316" t="s">
        <v>484</v>
      </c>
    </row>
    <row r="317" spans="1:6" x14ac:dyDescent="0.25">
      <c r="A317" t="s">
        <v>4200</v>
      </c>
      <c r="B317" t="s">
        <v>485</v>
      </c>
      <c r="C317" t="s">
        <v>445</v>
      </c>
      <c r="D317" t="str">
        <f>HYPERLINK("http://service.sap.com/sap/support/notes/1722213","1722213")</f>
        <v>1722213</v>
      </c>
      <c r="E317">
        <v>1</v>
      </c>
      <c r="F317" t="s">
        <v>486</v>
      </c>
    </row>
    <row r="318" spans="1:6" x14ac:dyDescent="0.25">
      <c r="A318" t="s">
        <v>4200</v>
      </c>
      <c r="B318" t="s">
        <v>485</v>
      </c>
      <c r="C318" t="s">
        <v>445</v>
      </c>
      <c r="D318" t="str">
        <f>HYPERLINK("http://service.sap.com/sap/support/notes/1730086","1730086")</f>
        <v>1730086</v>
      </c>
      <c r="E318">
        <v>2</v>
      </c>
      <c r="F318" t="s">
        <v>487</v>
      </c>
    </row>
    <row r="319" spans="1:6" x14ac:dyDescent="0.25">
      <c r="A319" t="s">
        <v>4200</v>
      </c>
      <c r="B319" t="s">
        <v>485</v>
      </c>
      <c r="C319" t="s">
        <v>445</v>
      </c>
      <c r="D319" t="str">
        <f>HYPERLINK("http://service.sap.com/sap/support/notes/1763183","1763183")</f>
        <v>1763183</v>
      </c>
      <c r="E319">
        <v>1</v>
      </c>
      <c r="F319" t="s">
        <v>488</v>
      </c>
    </row>
    <row r="320" spans="1:6" x14ac:dyDescent="0.25">
      <c r="A320" t="s">
        <v>4200</v>
      </c>
      <c r="B320" t="s">
        <v>489</v>
      </c>
      <c r="C320" t="s">
        <v>490</v>
      </c>
      <c r="D320" t="str">
        <f>HYPERLINK("http://service.sap.com/sap/support/notes/1614527","1614527")</f>
        <v>1614527</v>
      </c>
      <c r="E320">
        <v>2</v>
      </c>
      <c r="F320" t="s">
        <v>491</v>
      </c>
    </row>
    <row r="321" spans="1:6" x14ac:dyDescent="0.25">
      <c r="A321" t="s">
        <v>4200</v>
      </c>
      <c r="B321" t="s">
        <v>489</v>
      </c>
      <c r="C321" t="s">
        <v>490</v>
      </c>
      <c r="D321" t="str">
        <f>HYPERLINK("http://service.sap.com/sap/support/notes/1697437","1697437")</f>
        <v>1697437</v>
      </c>
      <c r="E321">
        <v>3</v>
      </c>
      <c r="F321" t="s">
        <v>492</v>
      </c>
    </row>
    <row r="322" spans="1:6" x14ac:dyDescent="0.25">
      <c r="A322" t="s">
        <v>4200</v>
      </c>
      <c r="B322" t="s">
        <v>489</v>
      </c>
      <c r="C322" t="s">
        <v>490</v>
      </c>
      <c r="D322" t="str">
        <f>HYPERLINK("http://service.sap.com/sap/support/notes/1697440","1697440")</f>
        <v>1697440</v>
      </c>
      <c r="E322">
        <v>3</v>
      </c>
      <c r="F322" t="s">
        <v>493</v>
      </c>
    </row>
    <row r="323" spans="1:6" x14ac:dyDescent="0.25">
      <c r="A323" t="s">
        <v>4200</v>
      </c>
      <c r="B323" t="s">
        <v>489</v>
      </c>
      <c r="C323" t="s">
        <v>490</v>
      </c>
      <c r="D323" t="str">
        <f>HYPERLINK("http://service.sap.com/sap/support/notes/1697442","1697442")</f>
        <v>1697442</v>
      </c>
      <c r="E323">
        <v>3</v>
      </c>
      <c r="F323" t="s">
        <v>494</v>
      </c>
    </row>
    <row r="324" spans="1:6" x14ac:dyDescent="0.25">
      <c r="A324" t="s">
        <v>4200</v>
      </c>
      <c r="B324" t="s">
        <v>489</v>
      </c>
      <c r="C324" t="s">
        <v>490</v>
      </c>
      <c r="D324" t="str">
        <f>HYPERLINK("http://service.sap.com/sap/support/notes/1704268","1704268")</f>
        <v>1704268</v>
      </c>
      <c r="E324">
        <v>1</v>
      </c>
      <c r="F324" t="s">
        <v>495</v>
      </c>
    </row>
    <row r="325" spans="1:6" x14ac:dyDescent="0.25">
      <c r="A325" t="s">
        <v>4200</v>
      </c>
      <c r="B325" t="s">
        <v>489</v>
      </c>
      <c r="C325" t="s">
        <v>490</v>
      </c>
      <c r="D325" t="str">
        <f>HYPERLINK("http://service.sap.com/sap/support/notes/1711340","1711340")</f>
        <v>1711340</v>
      </c>
      <c r="E325">
        <v>1</v>
      </c>
      <c r="F325" t="s">
        <v>496</v>
      </c>
    </row>
    <row r="326" spans="1:6" x14ac:dyDescent="0.25">
      <c r="A326" t="s">
        <v>4200</v>
      </c>
      <c r="B326" t="s">
        <v>489</v>
      </c>
      <c r="C326" t="s">
        <v>490</v>
      </c>
      <c r="D326" t="str">
        <f>HYPERLINK("http://service.sap.com/sap/support/notes/1719881","1719881")</f>
        <v>1719881</v>
      </c>
      <c r="E326">
        <v>1</v>
      </c>
      <c r="F326" t="s">
        <v>497</v>
      </c>
    </row>
    <row r="327" spans="1:6" x14ac:dyDescent="0.25">
      <c r="A327" t="s">
        <v>4200</v>
      </c>
      <c r="B327" t="s">
        <v>489</v>
      </c>
      <c r="C327" t="s">
        <v>490</v>
      </c>
      <c r="D327" t="str">
        <f>HYPERLINK("http://service.sap.com/sap/support/notes/1742941","1742941")</f>
        <v>1742941</v>
      </c>
      <c r="E327">
        <v>1</v>
      </c>
      <c r="F327" t="s">
        <v>498</v>
      </c>
    </row>
    <row r="328" spans="1:6" x14ac:dyDescent="0.25">
      <c r="A328" t="s">
        <v>4200</v>
      </c>
      <c r="B328" t="s">
        <v>489</v>
      </c>
      <c r="C328" t="s">
        <v>490</v>
      </c>
      <c r="D328" t="str">
        <f>HYPERLINK("http://service.sap.com/sap/support/notes/1743526","1743526")</f>
        <v>1743526</v>
      </c>
      <c r="E328">
        <v>1</v>
      </c>
      <c r="F328" t="s">
        <v>499</v>
      </c>
    </row>
    <row r="329" spans="1:6" x14ac:dyDescent="0.25">
      <c r="A329" t="s">
        <v>4200</v>
      </c>
      <c r="B329" t="s">
        <v>489</v>
      </c>
      <c r="C329" t="s">
        <v>490</v>
      </c>
      <c r="D329" t="str">
        <f>HYPERLINK("http://service.sap.com/sap/support/notes/1760201","1760201")</f>
        <v>1760201</v>
      </c>
      <c r="E329">
        <v>2</v>
      </c>
      <c r="F329" t="s">
        <v>500</v>
      </c>
    </row>
    <row r="330" spans="1:6" x14ac:dyDescent="0.25">
      <c r="A330" t="s">
        <v>4200</v>
      </c>
      <c r="B330" t="s">
        <v>501</v>
      </c>
      <c r="C330" t="s">
        <v>502</v>
      </c>
      <c r="D330" t="str">
        <f>HYPERLINK("http://service.sap.com/sap/support/notes/1743039","1743039")</f>
        <v>1743039</v>
      </c>
      <c r="E330">
        <v>2</v>
      </c>
      <c r="F330" t="s">
        <v>503</v>
      </c>
    </row>
    <row r="331" spans="1:6" x14ac:dyDescent="0.25">
      <c r="A331" t="s">
        <v>4200</v>
      </c>
      <c r="B331" t="s">
        <v>504</v>
      </c>
      <c r="C331" t="s">
        <v>431</v>
      </c>
      <c r="D331" t="str">
        <f>HYPERLINK("http://service.sap.com/sap/support/notes/1408862","1408862")</f>
        <v>1408862</v>
      </c>
      <c r="E331">
        <v>8</v>
      </c>
      <c r="F331" t="s">
        <v>505</v>
      </c>
    </row>
    <row r="332" spans="1:6" x14ac:dyDescent="0.25">
      <c r="A332" t="s">
        <v>4200</v>
      </c>
      <c r="B332" t="s">
        <v>504</v>
      </c>
      <c r="C332" t="s">
        <v>431</v>
      </c>
      <c r="D332" t="str">
        <f>HYPERLINK("http://service.sap.com/sap/support/notes/1657107","1657107")</f>
        <v>1657107</v>
      </c>
      <c r="E332">
        <v>7</v>
      </c>
      <c r="F332" t="s">
        <v>506</v>
      </c>
    </row>
    <row r="333" spans="1:6" x14ac:dyDescent="0.25">
      <c r="A333" t="s">
        <v>4200</v>
      </c>
      <c r="B333" t="s">
        <v>504</v>
      </c>
      <c r="C333" t="s">
        <v>431</v>
      </c>
      <c r="D333" t="str">
        <f>HYPERLINK("http://service.sap.com/sap/support/notes/1671353","1671353")</f>
        <v>1671353</v>
      </c>
      <c r="E333">
        <v>1</v>
      </c>
      <c r="F333" t="s">
        <v>507</v>
      </c>
    </row>
    <row r="334" spans="1:6" x14ac:dyDescent="0.25">
      <c r="A334" t="s">
        <v>4200</v>
      </c>
      <c r="B334" t="s">
        <v>504</v>
      </c>
      <c r="C334" t="s">
        <v>431</v>
      </c>
      <c r="D334" t="str">
        <f>HYPERLINK("http://service.sap.com/sap/support/notes/1698295","1698295")</f>
        <v>1698295</v>
      </c>
      <c r="E334">
        <v>6</v>
      </c>
      <c r="F334" t="s">
        <v>508</v>
      </c>
    </row>
    <row r="335" spans="1:6" x14ac:dyDescent="0.25">
      <c r="A335" t="s">
        <v>4200</v>
      </c>
      <c r="B335" t="s">
        <v>504</v>
      </c>
      <c r="C335" t="s">
        <v>431</v>
      </c>
      <c r="D335" t="str">
        <f>HYPERLINK("http://service.sap.com/sap/support/notes/1703703","1703703")</f>
        <v>1703703</v>
      </c>
      <c r="E335">
        <v>1</v>
      </c>
      <c r="F335" t="s">
        <v>509</v>
      </c>
    </row>
    <row r="336" spans="1:6" x14ac:dyDescent="0.25">
      <c r="A336" t="s">
        <v>4200</v>
      </c>
      <c r="B336" t="s">
        <v>504</v>
      </c>
      <c r="C336" t="s">
        <v>431</v>
      </c>
      <c r="D336" t="str">
        <f>HYPERLINK("http://service.sap.com/sap/support/notes/1732628","1732628")</f>
        <v>1732628</v>
      </c>
      <c r="E336">
        <v>3</v>
      </c>
      <c r="F336" t="s">
        <v>510</v>
      </c>
    </row>
    <row r="337" spans="1:6" x14ac:dyDescent="0.25">
      <c r="A337" t="s">
        <v>4200</v>
      </c>
      <c r="B337" t="s">
        <v>504</v>
      </c>
      <c r="C337" t="s">
        <v>431</v>
      </c>
      <c r="D337" t="str">
        <f>HYPERLINK("http://service.sap.com/sap/support/notes/1734370","1734370")</f>
        <v>1734370</v>
      </c>
      <c r="E337">
        <v>1</v>
      </c>
      <c r="F337" t="s">
        <v>511</v>
      </c>
    </row>
    <row r="338" spans="1:6" x14ac:dyDescent="0.25">
      <c r="A338" t="s">
        <v>4200</v>
      </c>
      <c r="B338" t="s">
        <v>504</v>
      </c>
      <c r="C338" t="s">
        <v>431</v>
      </c>
      <c r="D338" t="str">
        <f>HYPERLINK("http://service.sap.com/sap/support/notes/1736815","1736815")</f>
        <v>1736815</v>
      </c>
      <c r="E338">
        <v>1</v>
      </c>
      <c r="F338" t="s">
        <v>512</v>
      </c>
    </row>
    <row r="339" spans="1:6" x14ac:dyDescent="0.25">
      <c r="A339" t="s">
        <v>4200</v>
      </c>
      <c r="B339" t="s">
        <v>504</v>
      </c>
      <c r="C339" t="s">
        <v>431</v>
      </c>
      <c r="D339" t="str">
        <f>HYPERLINK("http://service.sap.com/sap/support/notes/1744480","1744480")</f>
        <v>1744480</v>
      </c>
      <c r="E339">
        <v>1</v>
      </c>
      <c r="F339" t="s">
        <v>513</v>
      </c>
    </row>
    <row r="340" spans="1:6" x14ac:dyDescent="0.25">
      <c r="A340" t="s">
        <v>4200</v>
      </c>
      <c r="B340" t="s">
        <v>504</v>
      </c>
      <c r="C340" t="s">
        <v>431</v>
      </c>
      <c r="D340" t="str">
        <f>HYPERLINK("http://service.sap.com/sap/support/notes/1751595","1751595")</f>
        <v>1751595</v>
      </c>
      <c r="E340">
        <v>1</v>
      </c>
      <c r="F340" t="s">
        <v>514</v>
      </c>
    </row>
    <row r="341" spans="1:6" x14ac:dyDescent="0.25">
      <c r="A341" t="s">
        <v>4200</v>
      </c>
      <c r="B341" t="s">
        <v>504</v>
      </c>
      <c r="C341" t="s">
        <v>431</v>
      </c>
      <c r="D341" t="str">
        <f>HYPERLINK("http://service.sap.com/sap/support/notes/1759451","1759451")</f>
        <v>1759451</v>
      </c>
      <c r="E341">
        <v>2</v>
      </c>
      <c r="F341" t="s">
        <v>515</v>
      </c>
    </row>
    <row r="342" spans="1:6" x14ac:dyDescent="0.25">
      <c r="A342" t="s">
        <v>4200</v>
      </c>
      <c r="B342" t="s">
        <v>504</v>
      </c>
      <c r="C342" t="s">
        <v>431</v>
      </c>
      <c r="D342" t="str">
        <f>HYPERLINK("http://service.sap.com/sap/support/notes/1763433","1763433")</f>
        <v>1763433</v>
      </c>
      <c r="E342">
        <v>1</v>
      </c>
      <c r="F342" t="s">
        <v>516</v>
      </c>
    </row>
    <row r="343" spans="1:6" x14ac:dyDescent="0.25">
      <c r="A343" t="s">
        <v>4200</v>
      </c>
      <c r="B343" t="s">
        <v>517</v>
      </c>
      <c r="C343" t="s">
        <v>466</v>
      </c>
      <c r="D343" t="str">
        <f>HYPERLINK("http://service.sap.com/sap/support/notes/1738502","1738502")</f>
        <v>1738502</v>
      </c>
      <c r="E343">
        <v>2</v>
      </c>
      <c r="F343" t="s">
        <v>518</v>
      </c>
    </row>
    <row r="344" spans="1:6" x14ac:dyDescent="0.25">
      <c r="A344" t="s">
        <v>4200</v>
      </c>
      <c r="B344" t="s">
        <v>519</v>
      </c>
      <c r="C344" t="s">
        <v>190</v>
      </c>
      <c r="D344" t="str">
        <f>HYPERLINK("http://service.sap.com/sap/support/notes/1453146","1453146")</f>
        <v>1453146</v>
      </c>
      <c r="E344">
        <v>3</v>
      </c>
      <c r="F344" t="s">
        <v>520</v>
      </c>
    </row>
    <row r="345" spans="1:6" x14ac:dyDescent="0.25">
      <c r="A345" t="s">
        <v>4200</v>
      </c>
      <c r="B345" t="s">
        <v>519</v>
      </c>
      <c r="C345" t="s">
        <v>190</v>
      </c>
      <c r="D345" t="str">
        <f>HYPERLINK("http://service.sap.com/sap/support/notes/1649189","1649189")</f>
        <v>1649189</v>
      </c>
      <c r="E345">
        <v>1</v>
      </c>
      <c r="F345" t="s">
        <v>521</v>
      </c>
    </row>
    <row r="346" spans="1:6" x14ac:dyDescent="0.25">
      <c r="A346" t="s">
        <v>4200</v>
      </c>
      <c r="B346" t="s">
        <v>519</v>
      </c>
      <c r="C346" t="s">
        <v>190</v>
      </c>
      <c r="D346" t="str">
        <f>HYPERLINK("http://service.sap.com/sap/support/notes/1690572","1690572")</f>
        <v>1690572</v>
      </c>
      <c r="E346">
        <v>3</v>
      </c>
      <c r="F346" t="s">
        <v>522</v>
      </c>
    </row>
    <row r="347" spans="1:6" x14ac:dyDescent="0.25">
      <c r="A347" t="s">
        <v>4200</v>
      </c>
      <c r="B347" t="s">
        <v>519</v>
      </c>
      <c r="C347" t="s">
        <v>190</v>
      </c>
      <c r="D347" t="str">
        <f>HYPERLINK("http://service.sap.com/sap/support/notes/1707990","1707990")</f>
        <v>1707990</v>
      </c>
      <c r="E347">
        <v>5</v>
      </c>
      <c r="F347" t="s">
        <v>523</v>
      </c>
    </row>
    <row r="348" spans="1:6" x14ac:dyDescent="0.25">
      <c r="A348" t="s">
        <v>4200</v>
      </c>
      <c r="B348" t="s">
        <v>519</v>
      </c>
      <c r="C348" t="s">
        <v>190</v>
      </c>
      <c r="D348" t="str">
        <f>HYPERLINK("http://service.sap.com/sap/support/notes/1724763","1724763")</f>
        <v>1724763</v>
      </c>
      <c r="E348">
        <v>3</v>
      </c>
      <c r="F348" t="s">
        <v>524</v>
      </c>
    </row>
    <row r="349" spans="1:6" x14ac:dyDescent="0.25">
      <c r="A349" t="s">
        <v>4200</v>
      </c>
      <c r="B349" t="s">
        <v>519</v>
      </c>
      <c r="C349" t="s">
        <v>190</v>
      </c>
      <c r="D349" t="str">
        <f>HYPERLINK("http://service.sap.com/sap/support/notes/1732005","1732005")</f>
        <v>1732005</v>
      </c>
      <c r="E349">
        <v>1</v>
      </c>
      <c r="F349" t="s">
        <v>525</v>
      </c>
    </row>
    <row r="350" spans="1:6" x14ac:dyDescent="0.25">
      <c r="A350" t="s">
        <v>4200</v>
      </c>
      <c r="B350" t="s">
        <v>519</v>
      </c>
      <c r="C350" t="s">
        <v>190</v>
      </c>
      <c r="D350" t="str">
        <f>HYPERLINK("http://service.sap.com/sap/support/notes/1732067","1732067")</f>
        <v>1732067</v>
      </c>
      <c r="E350">
        <v>1</v>
      </c>
      <c r="F350" t="s">
        <v>526</v>
      </c>
    </row>
    <row r="351" spans="1:6" x14ac:dyDescent="0.25">
      <c r="A351" t="s">
        <v>4200</v>
      </c>
      <c r="B351" t="s">
        <v>519</v>
      </c>
      <c r="C351" t="s">
        <v>190</v>
      </c>
      <c r="D351" t="str">
        <f>HYPERLINK("http://service.sap.com/sap/support/notes/1734227","1734227")</f>
        <v>1734227</v>
      </c>
      <c r="E351">
        <v>3</v>
      </c>
      <c r="F351" t="s">
        <v>527</v>
      </c>
    </row>
    <row r="352" spans="1:6" x14ac:dyDescent="0.25">
      <c r="A352" t="s">
        <v>4200</v>
      </c>
      <c r="B352" t="s">
        <v>519</v>
      </c>
      <c r="C352" t="s">
        <v>190</v>
      </c>
      <c r="D352" t="str">
        <f>HYPERLINK("http://service.sap.com/sap/support/notes/1736178","1736178")</f>
        <v>1736178</v>
      </c>
      <c r="E352">
        <v>3</v>
      </c>
      <c r="F352" t="s">
        <v>528</v>
      </c>
    </row>
    <row r="353" spans="1:6" x14ac:dyDescent="0.25">
      <c r="A353" t="s">
        <v>4200</v>
      </c>
      <c r="B353" t="s">
        <v>519</v>
      </c>
      <c r="C353" t="s">
        <v>190</v>
      </c>
      <c r="D353" t="str">
        <f>HYPERLINK("http://service.sap.com/sap/support/notes/1736496","1736496")</f>
        <v>1736496</v>
      </c>
      <c r="E353">
        <v>2</v>
      </c>
      <c r="F353" t="s">
        <v>529</v>
      </c>
    </row>
    <row r="354" spans="1:6" x14ac:dyDescent="0.25">
      <c r="A354" t="s">
        <v>4200</v>
      </c>
      <c r="B354" t="s">
        <v>519</v>
      </c>
      <c r="C354" t="s">
        <v>190</v>
      </c>
      <c r="D354" t="str">
        <f>HYPERLINK("http://service.sap.com/sap/support/notes/1736601","1736601")</f>
        <v>1736601</v>
      </c>
      <c r="E354">
        <v>2</v>
      </c>
      <c r="F354" t="s">
        <v>530</v>
      </c>
    </row>
    <row r="355" spans="1:6" x14ac:dyDescent="0.25">
      <c r="A355" t="s">
        <v>4200</v>
      </c>
      <c r="B355" t="s">
        <v>519</v>
      </c>
      <c r="C355" t="s">
        <v>190</v>
      </c>
      <c r="D355" t="str">
        <f>HYPERLINK("http://service.sap.com/sap/support/notes/1738974","1738974")</f>
        <v>1738974</v>
      </c>
      <c r="E355">
        <v>4</v>
      </c>
      <c r="F355" t="s">
        <v>531</v>
      </c>
    </row>
    <row r="356" spans="1:6" x14ac:dyDescent="0.25">
      <c r="A356" t="s">
        <v>4200</v>
      </c>
      <c r="B356" t="s">
        <v>519</v>
      </c>
      <c r="C356" t="s">
        <v>190</v>
      </c>
      <c r="D356" t="str">
        <f>HYPERLINK("http://service.sap.com/sap/support/notes/1745849","1745849")</f>
        <v>1745849</v>
      </c>
      <c r="E356">
        <v>1</v>
      </c>
      <c r="F356" t="s">
        <v>532</v>
      </c>
    </row>
    <row r="357" spans="1:6" x14ac:dyDescent="0.25">
      <c r="A357" t="s">
        <v>4200</v>
      </c>
      <c r="B357" t="s">
        <v>519</v>
      </c>
      <c r="C357" t="s">
        <v>190</v>
      </c>
      <c r="D357" t="str">
        <f>HYPERLINK("http://service.sap.com/sap/support/notes/1759163","1759163")</f>
        <v>1759163</v>
      </c>
      <c r="E357">
        <v>1</v>
      </c>
      <c r="F357" t="s">
        <v>533</v>
      </c>
    </row>
    <row r="358" spans="1:6" x14ac:dyDescent="0.25">
      <c r="A358" t="s">
        <v>4200</v>
      </c>
      <c r="B358" t="s">
        <v>519</v>
      </c>
      <c r="C358" t="s">
        <v>190</v>
      </c>
      <c r="D358" t="str">
        <f>HYPERLINK("http://service.sap.com/sap/support/notes/1762815","1762815")</f>
        <v>1762815</v>
      </c>
      <c r="E358">
        <v>2</v>
      </c>
      <c r="F358" t="s">
        <v>534</v>
      </c>
    </row>
    <row r="359" spans="1:6" x14ac:dyDescent="0.25">
      <c r="A359" t="s">
        <v>4200</v>
      </c>
      <c r="B359" t="s">
        <v>535</v>
      </c>
      <c r="C359" t="s">
        <v>536</v>
      </c>
      <c r="D359" t="str">
        <f>HYPERLINK("http://service.sap.com/sap/support/notes/1062590","1062590")</f>
        <v>1062590</v>
      </c>
      <c r="E359">
        <v>11</v>
      </c>
      <c r="F359" t="s">
        <v>537</v>
      </c>
    </row>
    <row r="360" spans="1:6" x14ac:dyDescent="0.25">
      <c r="A360" t="s">
        <v>4200</v>
      </c>
      <c r="B360" t="s">
        <v>535</v>
      </c>
      <c r="C360" t="s">
        <v>536</v>
      </c>
      <c r="D360" t="str">
        <f>HYPERLINK("http://service.sap.com/sap/support/notes/1638810","1638810")</f>
        <v>1638810</v>
      </c>
      <c r="E360">
        <v>2</v>
      </c>
      <c r="F360" t="s">
        <v>538</v>
      </c>
    </row>
    <row r="361" spans="1:6" x14ac:dyDescent="0.25">
      <c r="A361" t="s">
        <v>4200</v>
      </c>
      <c r="B361" t="s">
        <v>535</v>
      </c>
      <c r="C361" t="s">
        <v>536</v>
      </c>
      <c r="D361" t="str">
        <f>HYPERLINK("http://service.sap.com/sap/support/notes/1710687","1710687")</f>
        <v>1710687</v>
      </c>
      <c r="E361">
        <v>1</v>
      </c>
      <c r="F361" t="s">
        <v>539</v>
      </c>
    </row>
    <row r="362" spans="1:6" x14ac:dyDescent="0.25">
      <c r="A362" t="s">
        <v>4200</v>
      </c>
      <c r="B362" t="s">
        <v>535</v>
      </c>
      <c r="C362" t="s">
        <v>536</v>
      </c>
      <c r="D362" t="str">
        <f>HYPERLINK("http://service.sap.com/sap/support/notes/1712364","1712364")</f>
        <v>1712364</v>
      </c>
      <c r="E362">
        <v>1</v>
      </c>
      <c r="F362" t="s">
        <v>540</v>
      </c>
    </row>
    <row r="363" spans="1:6" x14ac:dyDescent="0.25">
      <c r="A363" t="s">
        <v>4200</v>
      </c>
      <c r="B363" t="s">
        <v>535</v>
      </c>
      <c r="C363" t="s">
        <v>536</v>
      </c>
      <c r="D363" t="str">
        <f>HYPERLINK("http://service.sap.com/sap/support/notes/1715354","1715354")</f>
        <v>1715354</v>
      </c>
      <c r="E363">
        <v>2</v>
      </c>
      <c r="F363" t="s">
        <v>541</v>
      </c>
    </row>
    <row r="364" spans="1:6" x14ac:dyDescent="0.25">
      <c r="A364" t="s">
        <v>4200</v>
      </c>
      <c r="B364" t="s">
        <v>535</v>
      </c>
      <c r="C364" t="s">
        <v>536</v>
      </c>
      <c r="D364" t="str">
        <f>HYPERLINK("http://service.sap.com/sap/support/notes/1737730","1737730")</f>
        <v>1737730</v>
      </c>
      <c r="E364">
        <v>1</v>
      </c>
      <c r="F364" t="s">
        <v>542</v>
      </c>
    </row>
    <row r="365" spans="1:6" x14ac:dyDescent="0.25">
      <c r="A365" t="s">
        <v>4200</v>
      </c>
      <c r="B365" t="s">
        <v>543</v>
      </c>
      <c r="C365" t="s">
        <v>29</v>
      </c>
      <c r="D365" t="str">
        <f>HYPERLINK("http://service.sap.com/sap/support/notes/1749402","1749402")</f>
        <v>1749402</v>
      </c>
      <c r="E365">
        <v>1</v>
      </c>
      <c r="F365" t="s">
        <v>544</v>
      </c>
    </row>
    <row r="366" spans="1:6" x14ac:dyDescent="0.25">
      <c r="A366" t="s">
        <v>4200</v>
      </c>
      <c r="B366" t="s">
        <v>545</v>
      </c>
      <c r="C366" t="s">
        <v>546</v>
      </c>
      <c r="D366" t="str">
        <f>HYPERLINK("http://service.sap.com/sap/support/notes/1729183","1729183")</f>
        <v>1729183</v>
      </c>
      <c r="E366">
        <v>1</v>
      </c>
      <c r="F366" t="s">
        <v>547</v>
      </c>
    </row>
    <row r="367" spans="1:6" x14ac:dyDescent="0.25">
      <c r="A367" t="s">
        <v>4200</v>
      </c>
      <c r="B367" t="s">
        <v>545</v>
      </c>
      <c r="C367" t="s">
        <v>546</v>
      </c>
      <c r="D367" t="str">
        <f>HYPERLINK("http://service.sap.com/sap/support/notes/1737048","1737048")</f>
        <v>1737048</v>
      </c>
      <c r="E367">
        <v>1</v>
      </c>
      <c r="F367" t="s">
        <v>548</v>
      </c>
    </row>
    <row r="368" spans="1:6" x14ac:dyDescent="0.25">
      <c r="A368" t="s">
        <v>4200</v>
      </c>
      <c r="B368" t="s">
        <v>545</v>
      </c>
      <c r="C368" t="s">
        <v>546</v>
      </c>
      <c r="D368" t="str">
        <f>HYPERLINK("http://service.sap.com/sap/support/notes/1752882","1752882")</f>
        <v>1752882</v>
      </c>
      <c r="E368">
        <v>2</v>
      </c>
      <c r="F368" t="s">
        <v>549</v>
      </c>
    </row>
    <row r="369" spans="1:6" x14ac:dyDescent="0.25">
      <c r="A369" t="s">
        <v>4200</v>
      </c>
      <c r="B369" t="s">
        <v>550</v>
      </c>
      <c r="C369" t="s">
        <v>551</v>
      </c>
      <c r="D369" t="str">
        <f>HYPERLINK("http://service.sap.com/sap/support/notes/1737171","1737171")</f>
        <v>1737171</v>
      </c>
      <c r="E369">
        <v>2</v>
      </c>
      <c r="F369" t="s">
        <v>552</v>
      </c>
    </row>
    <row r="370" spans="1:6" x14ac:dyDescent="0.25">
      <c r="A370" t="s">
        <v>4200</v>
      </c>
      <c r="B370" t="s">
        <v>553</v>
      </c>
      <c r="C370" t="s">
        <v>554</v>
      </c>
    </row>
    <row r="371" spans="1:6" x14ac:dyDescent="0.25">
      <c r="A371" t="s">
        <v>4200</v>
      </c>
      <c r="B371" t="s">
        <v>555</v>
      </c>
      <c r="C371" t="s">
        <v>556</v>
      </c>
      <c r="D371" t="str">
        <f>HYPERLINK("http://service.sap.com/sap/support/notes/1324136","1324136")</f>
        <v>1324136</v>
      </c>
      <c r="E371">
        <v>3</v>
      </c>
      <c r="F371" t="s">
        <v>557</v>
      </c>
    </row>
    <row r="372" spans="1:6" x14ac:dyDescent="0.25">
      <c r="A372" t="s">
        <v>4200</v>
      </c>
      <c r="B372" t="s">
        <v>555</v>
      </c>
      <c r="C372" t="s">
        <v>556</v>
      </c>
      <c r="D372" t="str">
        <f>HYPERLINK("http://service.sap.com/sap/support/notes/1611053","1611053")</f>
        <v>1611053</v>
      </c>
      <c r="E372">
        <v>8</v>
      </c>
      <c r="F372" t="s">
        <v>558</v>
      </c>
    </row>
    <row r="373" spans="1:6" x14ac:dyDescent="0.25">
      <c r="A373" t="s">
        <v>4200</v>
      </c>
      <c r="B373" t="s">
        <v>555</v>
      </c>
      <c r="C373" t="s">
        <v>556</v>
      </c>
      <c r="D373" t="str">
        <f>HYPERLINK("http://service.sap.com/sap/support/notes/1613559","1613559")</f>
        <v>1613559</v>
      </c>
      <c r="E373">
        <v>2</v>
      </c>
      <c r="F373" t="s">
        <v>559</v>
      </c>
    </row>
    <row r="374" spans="1:6" x14ac:dyDescent="0.25">
      <c r="A374" t="s">
        <v>4200</v>
      </c>
      <c r="B374" t="s">
        <v>555</v>
      </c>
      <c r="C374" t="s">
        <v>556</v>
      </c>
      <c r="D374" t="str">
        <f>HYPERLINK("http://service.sap.com/sap/support/notes/1707703","1707703")</f>
        <v>1707703</v>
      </c>
      <c r="E374">
        <v>2</v>
      </c>
      <c r="F374" t="s">
        <v>560</v>
      </c>
    </row>
    <row r="375" spans="1:6" x14ac:dyDescent="0.25">
      <c r="A375" t="s">
        <v>4200</v>
      </c>
      <c r="B375" t="s">
        <v>555</v>
      </c>
      <c r="C375" t="s">
        <v>556</v>
      </c>
      <c r="D375" t="str">
        <f>HYPERLINK("http://service.sap.com/sap/support/notes/1712625","1712625")</f>
        <v>1712625</v>
      </c>
      <c r="E375">
        <v>2</v>
      </c>
      <c r="F375" t="s">
        <v>561</v>
      </c>
    </row>
    <row r="376" spans="1:6" x14ac:dyDescent="0.25">
      <c r="A376" t="s">
        <v>4200</v>
      </c>
      <c r="B376" t="s">
        <v>555</v>
      </c>
      <c r="C376" t="s">
        <v>556</v>
      </c>
      <c r="D376" t="str">
        <f>HYPERLINK("http://service.sap.com/sap/support/notes/1713491","1713491")</f>
        <v>1713491</v>
      </c>
      <c r="E376">
        <v>9</v>
      </c>
      <c r="F376" t="s">
        <v>562</v>
      </c>
    </row>
    <row r="377" spans="1:6" x14ac:dyDescent="0.25">
      <c r="A377" t="s">
        <v>4200</v>
      </c>
      <c r="B377" t="s">
        <v>555</v>
      </c>
      <c r="C377" t="s">
        <v>556</v>
      </c>
      <c r="D377" t="str">
        <f>HYPERLINK("http://service.sap.com/sap/support/notes/1715419","1715419")</f>
        <v>1715419</v>
      </c>
      <c r="E377">
        <v>5</v>
      </c>
      <c r="F377" t="s">
        <v>563</v>
      </c>
    </row>
    <row r="378" spans="1:6" x14ac:dyDescent="0.25">
      <c r="A378" t="s">
        <v>4200</v>
      </c>
      <c r="B378" t="s">
        <v>555</v>
      </c>
      <c r="C378" t="s">
        <v>556</v>
      </c>
      <c r="D378" t="str">
        <f>HYPERLINK("http://service.sap.com/sap/support/notes/1728086","1728086")</f>
        <v>1728086</v>
      </c>
      <c r="E378">
        <v>2</v>
      </c>
      <c r="F378" t="s">
        <v>564</v>
      </c>
    </row>
    <row r="379" spans="1:6" x14ac:dyDescent="0.25">
      <c r="A379" t="s">
        <v>4200</v>
      </c>
      <c r="B379" t="s">
        <v>555</v>
      </c>
      <c r="C379" t="s">
        <v>556</v>
      </c>
      <c r="D379" t="str">
        <f>HYPERLINK("http://service.sap.com/sap/support/notes/1733681","1733681")</f>
        <v>1733681</v>
      </c>
      <c r="E379">
        <v>3</v>
      </c>
      <c r="F379" t="s">
        <v>565</v>
      </c>
    </row>
    <row r="380" spans="1:6" x14ac:dyDescent="0.25">
      <c r="A380" t="s">
        <v>4200</v>
      </c>
      <c r="B380" t="s">
        <v>555</v>
      </c>
      <c r="C380" t="s">
        <v>556</v>
      </c>
      <c r="D380" t="str">
        <f>HYPERLINK("http://service.sap.com/sap/support/notes/1734710","1734710")</f>
        <v>1734710</v>
      </c>
      <c r="E380">
        <v>1</v>
      </c>
      <c r="F380" t="s">
        <v>566</v>
      </c>
    </row>
    <row r="381" spans="1:6" x14ac:dyDescent="0.25">
      <c r="A381" t="s">
        <v>4200</v>
      </c>
      <c r="B381" t="s">
        <v>555</v>
      </c>
      <c r="C381" t="s">
        <v>556</v>
      </c>
      <c r="D381" t="str">
        <f>HYPERLINK("http://service.sap.com/sap/support/notes/1745590","1745590")</f>
        <v>1745590</v>
      </c>
      <c r="E381">
        <v>2</v>
      </c>
      <c r="F381" t="s">
        <v>567</v>
      </c>
    </row>
    <row r="382" spans="1:6" x14ac:dyDescent="0.25">
      <c r="A382" t="s">
        <v>4200</v>
      </c>
      <c r="B382" t="s">
        <v>555</v>
      </c>
      <c r="C382" t="s">
        <v>556</v>
      </c>
      <c r="D382" t="str">
        <f>HYPERLINK("http://service.sap.com/sap/support/notes/1747000","1747000")</f>
        <v>1747000</v>
      </c>
      <c r="E382">
        <v>2</v>
      </c>
      <c r="F382" t="s">
        <v>568</v>
      </c>
    </row>
    <row r="383" spans="1:6" x14ac:dyDescent="0.25">
      <c r="A383" t="s">
        <v>4200</v>
      </c>
      <c r="B383" t="s">
        <v>555</v>
      </c>
      <c r="C383" t="s">
        <v>556</v>
      </c>
      <c r="D383" t="str">
        <f>HYPERLINK("http://service.sap.com/sap/support/notes/1747891","1747891")</f>
        <v>1747891</v>
      </c>
      <c r="E383">
        <v>1</v>
      </c>
      <c r="F383" t="s">
        <v>569</v>
      </c>
    </row>
    <row r="384" spans="1:6" x14ac:dyDescent="0.25">
      <c r="A384" t="s">
        <v>4200</v>
      </c>
      <c r="B384" t="s">
        <v>555</v>
      </c>
      <c r="C384" t="s">
        <v>556</v>
      </c>
      <c r="D384" t="str">
        <f>HYPERLINK("http://service.sap.com/sap/support/notes/1748839","1748839")</f>
        <v>1748839</v>
      </c>
      <c r="E384">
        <v>1</v>
      </c>
      <c r="F384" t="s">
        <v>570</v>
      </c>
    </row>
    <row r="385" spans="1:6" x14ac:dyDescent="0.25">
      <c r="A385" t="s">
        <v>4200</v>
      </c>
      <c r="B385" t="s">
        <v>555</v>
      </c>
      <c r="C385" t="s">
        <v>556</v>
      </c>
      <c r="D385" t="str">
        <f>HYPERLINK("http://service.sap.com/sap/support/notes/1749493","1749493")</f>
        <v>1749493</v>
      </c>
      <c r="E385">
        <v>1</v>
      </c>
      <c r="F385" t="s">
        <v>571</v>
      </c>
    </row>
    <row r="386" spans="1:6" x14ac:dyDescent="0.25">
      <c r="A386" t="s">
        <v>4200</v>
      </c>
      <c r="B386" t="s">
        <v>555</v>
      </c>
      <c r="C386" t="s">
        <v>556</v>
      </c>
      <c r="D386" t="str">
        <f>HYPERLINK("http://service.sap.com/sap/support/notes/1752321","1752321")</f>
        <v>1752321</v>
      </c>
      <c r="E386">
        <v>1</v>
      </c>
      <c r="F386" t="s">
        <v>572</v>
      </c>
    </row>
    <row r="387" spans="1:6" x14ac:dyDescent="0.25">
      <c r="A387" t="s">
        <v>4200</v>
      </c>
      <c r="B387" t="s">
        <v>555</v>
      </c>
      <c r="C387" t="s">
        <v>556</v>
      </c>
      <c r="D387" t="str">
        <f>HYPERLINK("http://service.sap.com/sap/support/notes/1756479","1756479")</f>
        <v>1756479</v>
      </c>
      <c r="E387">
        <v>2</v>
      </c>
      <c r="F387" t="s">
        <v>573</v>
      </c>
    </row>
    <row r="388" spans="1:6" x14ac:dyDescent="0.25">
      <c r="A388" t="s">
        <v>4200</v>
      </c>
      <c r="B388" t="s">
        <v>555</v>
      </c>
      <c r="C388" t="s">
        <v>556</v>
      </c>
      <c r="D388" t="str">
        <f>HYPERLINK("http://service.sap.com/sap/support/notes/1763769","1763769")</f>
        <v>1763769</v>
      </c>
      <c r="E388">
        <v>1</v>
      </c>
      <c r="F388" t="s">
        <v>574</v>
      </c>
    </row>
    <row r="389" spans="1:6" x14ac:dyDescent="0.25">
      <c r="A389" t="s">
        <v>4200</v>
      </c>
      <c r="B389" t="s">
        <v>555</v>
      </c>
      <c r="C389" t="s">
        <v>556</v>
      </c>
      <c r="D389" t="str">
        <f>HYPERLINK("http://service.sap.com/sap/support/notes/1773043","1773043")</f>
        <v>1773043</v>
      </c>
      <c r="E389">
        <v>1</v>
      </c>
      <c r="F389" t="s">
        <v>575</v>
      </c>
    </row>
    <row r="390" spans="1:6" x14ac:dyDescent="0.25">
      <c r="A390" t="s">
        <v>4200</v>
      </c>
      <c r="B390" t="s">
        <v>576</v>
      </c>
      <c r="C390" t="s">
        <v>577</v>
      </c>
      <c r="D390" t="str">
        <f>HYPERLINK("http://service.sap.com/sap/support/notes/1684702","1684702")</f>
        <v>1684702</v>
      </c>
      <c r="E390">
        <v>5</v>
      </c>
      <c r="F390" t="s">
        <v>578</v>
      </c>
    </row>
    <row r="391" spans="1:6" x14ac:dyDescent="0.25">
      <c r="A391" t="s">
        <v>4200</v>
      </c>
      <c r="B391" t="s">
        <v>579</v>
      </c>
      <c r="C391" t="s">
        <v>580</v>
      </c>
      <c r="D391" t="str">
        <f>HYPERLINK("http://service.sap.com/sap/support/notes/1747969","1747969")</f>
        <v>1747969</v>
      </c>
      <c r="E391">
        <v>2</v>
      </c>
      <c r="F391" t="s">
        <v>581</v>
      </c>
    </row>
    <row r="392" spans="1:6" x14ac:dyDescent="0.25">
      <c r="A392" t="s">
        <v>4200</v>
      </c>
      <c r="B392" t="s">
        <v>582</v>
      </c>
      <c r="C392" t="s">
        <v>583</v>
      </c>
      <c r="D392" t="str">
        <f>HYPERLINK("http://service.sap.com/sap/support/notes/1748368","1748368")</f>
        <v>1748368</v>
      </c>
      <c r="E392">
        <v>1</v>
      </c>
      <c r="F392" t="s">
        <v>584</v>
      </c>
    </row>
    <row r="393" spans="1:6" x14ac:dyDescent="0.25">
      <c r="A393" t="s">
        <v>4200</v>
      </c>
      <c r="B393" t="s">
        <v>585</v>
      </c>
      <c r="C393" t="s">
        <v>586</v>
      </c>
      <c r="D393" t="str">
        <f>HYPERLINK("http://service.sap.com/sap/support/notes/1730751","1730751")</f>
        <v>1730751</v>
      </c>
      <c r="E393">
        <v>1</v>
      </c>
      <c r="F393" t="s">
        <v>587</v>
      </c>
    </row>
    <row r="394" spans="1:6" x14ac:dyDescent="0.25">
      <c r="A394" t="s">
        <v>4200</v>
      </c>
      <c r="B394" t="s">
        <v>585</v>
      </c>
      <c r="C394" t="s">
        <v>586</v>
      </c>
      <c r="D394" t="str">
        <f>HYPERLINK("http://service.sap.com/sap/support/notes/1741513","1741513")</f>
        <v>1741513</v>
      </c>
      <c r="E394">
        <v>1</v>
      </c>
      <c r="F394" t="s">
        <v>588</v>
      </c>
    </row>
    <row r="395" spans="1:6" x14ac:dyDescent="0.25">
      <c r="A395" t="s">
        <v>4200</v>
      </c>
      <c r="B395" t="s">
        <v>585</v>
      </c>
      <c r="C395" t="s">
        <v>586</v>
      </c>
      <c r="D395" t="str">
        <f>HYPERLINK("http://service.sap.com/sap/support/notes/1744163","1744163")</f>
        <v>1744163</v>
      </c>
      <c r="E395">
        <v>1</v>
      </c>
      <c r="F395" t="s">
        <v>589</v>
      </c>
    </row>
    <row r="396" spans="1:6" x14ac:dyDescent="0.25">
      <c r="A396" t="s">
        <v>4200</v>
      </c>
      <c r="B396" t="s">
        <v>585</v>
      </c>
      <c r="C396" t="s">
        <v>586</v>
      </c>
      <c r="D396" t="str">
        <f>HYPERLINK("http://service.sap.com/sap/support/notes/1759755","1759755")</f>
        <v>1759755</v>
      </c>
      <c r="E396">
        <v>1</v>
      </c>
      <c r="F396" t="s">
        <v>590</v>
      </c>
    </row>
    <row r="397" spans="1:6" x14ac:dyDescent="0.25">
      <c r="A397" t="s">
        <v>4200</v>
      </c>
      <c r="B397" t="s">
        <v>585</v>
      </c>
      <c r="C397" t="s">
        <v>586</v>
      </c>
      <c r="D397" t="str">
        <f>HYPERLINK("http://service.sap.com/sap/support/notes/1765460","1765460")</f>
        <v>1765460</v>
      </c>
      <c r="E397">
        <v>1</v>
      </c>
      <c r="F397" t="s">
        <v>591</v>
      </c>
    </row>
    <row r="398" spans="1:6" x14ac:dyDescent="0.25">
      <c r="A398" t="s">
        <v>4200</v>
      </c>
      <c r="B398" t="s">
        <v>585</v>
      </c>
      <c r="C398" t="s">
        <v>586</v>
      </c>
      <c r="D398" t="str">
        <f>HYPERLINK("http://service.sap.com/sap/support/notes/1765839","1765839")</f>
        <v>1765839</v>
      </c>
      <c r="E398">
        <v>2</v>
      </c>
      <c r="F398" t="s">
        <v>592</v>
      </c>
    </row>
    <row r="399" spans="1:6" x14ac:dyDescent="0.25">
      <c r="A399" t="s">
        <v>4200</v>
      </c>
      <c r="B399" t="s">
        <v>593</v>
      </c>
      <c r="C399" t="s">
        <v>594</v>
      </c>
      <c r="D399" t="str">
        <f>HYPERLINK("http://service.sap.com/sap/support/notes/1434934","1434934")</f>
        <v>1434934</v>
      </c>
      <c r="E399">
        <v>1</v>
      </c>
      <c r="F399" t="s">
        <v>595</v>
      </c>
    </row>
    <row r="400" spans="1:6" x14ac:dyDescent="0.25">
      <c r="A400" t="s">
        <v>4200</v>
      </c>
      <c r="B400" t="s">
        <v>593</v>
      </c>
      <c r="C400" t="s">
        <v>594</v>
      </c>
      <c r="D400" t="str">
        <f>HYPERLINK("http://service.sap.com/sap/support/notes/1722880","1722880")</f>
        <v>1722880</v>
      </c>
      <c r="E400">
        <v>2</v>
      </c>
      <c r="F400" t="s">
        <v>596</v>
      </c>
    </row>
    <row r="401" spans="1:6" x14ac:dyDescent="0.25">
      <c r="A401" t="s">
        <v>4200</v>
      </c>
      <c r="B401" t="s">
        <v>593</v>
      </c>
      <c r="C401" t="s">
        <v>594</v>
      </c>
      <c r="D401" t="str">
        <f>HYPERLINK("http://service.sap.com/sap/support/notes/1743390","1743390")</f>
        <v>1743390</v>
      </c>
      <c r="E401">
        <v>1</v>
      </c>
      <c r="F401" t="s">
        <v>597</v>
      </c>
    </row>
    <row r="402" spans="1:6" x14ac:dyDescent="0.25">
      <c r="A402" t="s">
        <v>4200</v>
      </c>
      <c r="B402" t="s">
        <v>598</v>
      </c>
      <c r="C402" t="s">
        <v>599</v>
      </c>
      <c r="D402" t="str">
        <f>HYPERLINK("http://service.sap.com/sap/support/notes/1740429","1740429")</f>
        <v>1740429</v>
      </c>
      <c r="E402">
        <v>3</v>
      </c>
      <c r="F402" t="s">
        <v>600</v>
      </c>
    </row>
    <row r="403" spans="1:6" x14ac:dyDescent="0.25">
      <c r="A403" t="s">
        <v>4200</v>
      </c>
      <c r="B403" t="s">
        <v>598</v>
      </c>
      <c r="C403" t="s">
        <v>599</v>
      </c>
      <c r="D403" t="str">
        <f>HYPERLINK("http://service.sap.com/sap/support/notes/1744459","1744459")</f>
        <v>1744459</v>
      </c>
      <c r="E403">
        <v>1</v>
      </c>
      <c r="F403" t="s">
        <v>601</v>
      </c>
    </row>
    <row r="404" spans="1:6" x14ac:dyDescent="0.25">
      <c r="A404" t="s">
        <v>4200</v>
      </c>
      <c r="B404" t="s">
        <v>116</v>
      </c>
      <c r="C404" t="s">
        <v>117</v>
      </c>
    </row>
    <row r="405" spans="1:6" x14ac:dyDescent="0.25">
      <c r="A405" t="s">
        <v>4200</v>
      </c>
      <c r="B405" t="s">
        <v>602</v>
      </c>
      <c r="C405" t="s">
        <v>603</v>
      </c>
    </row>
    <row r="406" spans="1:6" x14ac:dyDescent="0.25">
      <c r="A406" t="s">
        <v>4200</v>
      </c>
      <c r="B406" t="s">
        <v>604</v>
      </c>
      <c r="C406" t="s">
        <v>605</v>
      </c>
    </row>
    <row r="407" spans="1:6" x14ac:dyDescent="0.25">
      <c r="A407" t="s">
        <v>4200</v>
      </c>
      <c r="B407" t="s">
        <v>606</v>
      </c>
      <c r="C407" t="s">
        <v>607</v>
      </c>
      <c r="D407" t="str">
        <f>HYPERLINK("http://service.sap.com/sap/support/notes/1701808","1701808")</f>
        <v>1701808</v>
      </c>
      <c r="E407">
        <v>5</v>
      </c>
      <c r="F407" t="s">
        <v>608</v>
      </c>
    </row>
    <row r="408" spans="1:6" x14ac:dyDescent="0.25">
      <c r="A408" t="s">
        <v>4200</v>
      </c>
      <c r="B408" t="s">
        <v>606</v>
      </c>
      <c r="C408" t="s">
        <v>607</v>
      </c>
      <c r="D408" t="str">
        <f>HYPERLINK("http://service.sap.com/sap/support/notes/1745330","1745330")</f>
        <v>1745330</v>
      </c>
      <c r="E408">
        <v>2</v>
      </c>
      <c r="F408" t="s">
        <v>609</v>
      </c>
    </row>
    <row r="409" spans="1:6" x14ac:dyDescent="0.25">
      <c r="A409" t="s">
        <v>4200</v>
      </c>
      <c r="B409" t="s">
        <v>606</v>
      </c>
      <c r="C409" t="s">
        <v>607</v>
      </c>
      <c r="D409" t="str">
        <f>HYPERLINK("http://service.sap.com/sap/support/notes/1746417","1746417")</f>
        <v>1746417</v>
      </c>
      <c r="E409">
        <v>2</v>
      </c>
      <c r="F409" t="s">
        <v>610</v>
      </c>
    </row>
    <row r="410" spans="1:6" x14ac:dyDescent="0.25">
      <c r="A410" t="s">
        <v>4200</v>
      </c>
      <c r="B410" t="s">
        <v>611</v>
      </c>
      <c r="C410" t="s">
        <v>612</v>
      </c>
    </row>
    <row r="411" spans="1:6" x14ac:dyDescent="0.25">
      <c r="A411" t="s">
        <v>4200</v>
      </c>
      <c r="B411" t="s">
        <v>613</v>
      </c>
      <c r="C411" t="s">
        <v>614</v>
      </c>
      <c r="D411" t="str">
        <f>HYPERLINK("http://service.sap.com/sap/support/notes/1744565","1744565")</f>
        <v>1744565</v>
      </c>
      <c r="E411">
        <v>3</v>
      </c>
      <c r="F411" t="s">
        <v>615</v>
      </c>
    </row>
    <row r="412" spans="1:6" x14ac:dyDescent="0.25">
      <c r="A412" t="s">
        <v>4200</v>
      </c>
      <c r="B412" t="s">
        <v>616</v>
      </c>
      <c r="C412" t="s">
        <v>617</v>
      </c>
    </row>
    <row r="413" spans="1:6" x14ac:dyDescent="0.25">
      <c r="A413" t="s">
        <v>4200</v>
      </c>
      <c r="B413" t="s">
        <v>618</v>
      </c>
      <c r="C413" t="s">
        <v>619</v>
      </c>
    </row>
    <row r="414" spans="1:6" x14ac:dyDescent="0.25">
      <c r="A414" t="s">
        <v>4200</v>
      </c>
      <c r="B414" t="s">
        <v>620</v>
      </c>
      <c r="C414" t="s">
        <v>621</v>
      </c>
      <c r="D414" t="str">
        <f>HYPERLINK("http://service.sap.com/sap/support/notes/1734061","1734061")</f>
        <v>1734061</v>
      </c>
      <c r="E414">
        <v>2</v>
      </c>
      <c r="F414" t="s">
        <v>622</v>
      </c>
    </row>
    <row r="415" spans="1:6" x14ac:dyDescent="0.25">
      <c r="A415" t="s">
        <v>4200</v>
      </c>
      <c r="B415" t="s">
        <v>623</v>
      </c>
      <c r="C415" t="s">
        <v>624</v>
      </c>
      <c r="D415" t="str">
        <f>HYPERLINK("http://service.sap.com/sap/support/notes/1738517","1738517")</f>
        <v>1738517</v>
      </c>
      <c r="E415">
        <v>4</v>
      </c>
      <c r="F415" t="s">
        <v>625</v>
      </c>
    </row>
    <row r="416" spans="1:6" x14ac:dyDescent="0.25">
      <c r="A416" t="s">
        <v>4200</v>
      </c>
      <c r="B416" t="s">
        <v>626</v>
      </c>
      <c r="C416" t="s">
        <v>627</v>
      </c>
      <c r="D416" t="str">
        <f>HYPERLINK("http://service.sap.com/sap/support/notes/1715906","1715906")</f>
        <v>1715906</v>
      </c>
      <c r="E416">
        <v>6</v>
      </c>
      <c r="F416" t="s">
        <v>628</v>
      </c>
    </row>
    <row r="417" spans="1:6" x14ac:dyDescent="0.25">
      <c r="A417" t="s">
        <v>4200</v>
      </c>
      <c r="B417" t="s">
        <v>626</v>
      </c>
      <c r="C417" t="s">
        <v>627</v>
      </c>
      <c r="D417" t="str">
        <f>HYPERLINK("http://service.sap.com/sap/support/notes/1743061","1743061")</f>
        <v>1743061</v>
      </c>
      <c r="E417">
        <v>2</v>
      </c>
      <c r="F417" t="s">
        <v>629</v>
      </c>
    </row>
    <row r="418" spans="1:6" x14ac:dyDescent="0.25">
      <c r="A418" t="s">
        <v>4200</v>
      </c>
      <c r="B418" t="s">
        <v>630</v>
      </c>
      <c r="C418" t="s">
        <v>624</v>
      </c>
      <c r="D418" t="str">
        <f>HYPERLINK("http://service.sap.com/sap/support/notes/1742621","1742621")</f>
        <v>1742621</v>
      </c>
      <c r="E418">
        <v>3</v>
      </c>
      <c r="F418" t="s">
        <v>631</v>
      </c>
    </row>
    <row r="419" spans="1:6" x14ac:dyDescent="0.25">
      <c r="A419" t="s">
        <v>4200</v>
      </c>
      <c r="B419" t="s">
        <v>632</v>
      </c>
      <c r="C419" t="s">
        <v>633</v>
      </c>
      <c r="D419" t="str">
        <f>HYPERLINK("http://service.sap.com/sap/support/notes/1721754","1721754")</f>
        <v>1721754</v>
      </c>
      <c r="E419">
        <v>2</v>
      </c>
      <c r="F419" t="s">
        <v>634</v>
      </c>
    </row>
    <row r="420" spans="1:6" x14ac:dyDescent="0.25">
      <c r="A420" t="s">
        <v>4200</v>
      </c>
      <c r="B420" t="s">
        <v>635</v>
      </c>
      <c r="C420" t="s">
        <v>636</v>
      </c>
    </row>
    <row r="421" spans="1:6" x14ac:dyDescent="0.25">
      <c r="A421" t="s">
        <v>4200</v>
      </c>
      <c r="B421" t="s">
        <v>637</v>
      </c>
      <c r="C421" t="s">
        <v>638</v>
      </c>
      <c r="D421" t="str">
        <f>HYPERLINK("http://service.sap.com/sap/support/notes/1748324","1748324")</f>
        <v>1748324</v>
      </c>
      <c r="E421">
        <v>1</v>
      </c>
      <c r="F421" t="s">
        <v>639</v>
      </c>
    </row>
    <row r="422" spans="1:6" x14ac:dyDescent="0.25">
      <c r="A422" t="s">
        <v>4200</v>
      </c>
      <c r="B422" t="s">
        <v>640</v>
      </c>
      <c r="C422" t="s">
        <v>641</v>
      </c>
    </row>
    <row r="423" spans="1:6" x14ac:dyDescent="0.25">
      <c r="A423" t="s">
        <v>4200</v>
      </c>
      <c r="B423" t="s">
        <v>642</v>
      </c>
      <c r="C423" t="s">
        <v>643</v>
      </c>
      <c r="D423" t="str">
        <f>HYPERLINK("http://service.sap.com/sap/support/notes/1635435","1635435")</f>
        <v>1635435</v>
      </c>
      <c r="E423">
        <v>2</v>
      </c>
      <c r="F423" t="s">
        <v>644</v>
      </c>
    </row>
    <row r="424" spans="1:6" x14ac:dyDescent="0.25">
      <c r="A424" t="s">
        <v>4200</v>
      </c>
      <c r="B424" t="s">
        <v>645</v>
      </c>
      <c r="C424" t="s">
        <v>646</v>
      </c>
    </row>
    <row r="425" spans="1:6" x14ac:dyDescent="0.25">
      <c r="A425" t="s">
        <v>4200</v>
      </c>
      <c r="B425" t="s">
        <v>647</v>
      </c>
      <c r="C425" t="s">
        <v>648</v>
      </c>
      <c r="D425" t="str">
        <f>HYPERLINK("http://service.sap.com/sap/support/notes/1116293","1116293")</f>
        <v>1116293</v>
      </c>
      <c r="E425">
        <v>8</v>
      </c>
      <c r="F425" t="s">
        <v>649</v>
      </c>
    </row>
    <row r="426" spans="1:6" x14ac:dyDescent="0.25">
      <c r="A426" t="s">
        <v>4200</v>
      </c>
      <c r="B426" t="s">
        <v>650</v>
      </c>
      <c r="C426" t="s">
        <v>651</v>
      </c>
    </row>
    <row r="427" spans="1:6" x14ac:dyDescent="0.25">
      <c r="A427" t="s">
        <v>4200</v>
      </c>
      <c r="B427" t="s">
        <v>652</v>
      </c>
      <c r="C427" t="s">
        <v>653</v>
      </c>
      <c r="D427" t="str">
        <f>HYPERLINK("http://service.sap.com/sap/support/notes/1765739","1765739")</f>
        <v>1765739</v>
      </c>
      <c r="E427">
        <v>1</v>
      </c>
      <c r="F427" t="s">
        <v>654</v>
      </c>
    </row>
    <row r="428" spans="1:6" x14ac:dyDescent="0.25">
      <c r="A428" t="s">
        <v>4200</v>
      </c>
      <c r="B428" t="s">
        <v>655</v>
      </c>
      <c r="C428" t="s">
        <v>29</v>
      </c>
    </row>
    <row r="429" spans="1:6" x14ac:dyDescent="0.25">
      <c r="A429" t="s">
        <v>4200</v>
      </c>
      <c r="B429" t="s">
        <v>656</v>
      </c>
      <c r="C429" t="s">
        <v>657</v>
      </c>
    </row>
    <row r="430" spans="1:6" x14ac:dyDescent="0.25">
      <c r="A430" t="s">
        <v>4200</v>
      </c>
      <c r="B430" t="s">
        <v>658</v>
      </c>
      <c r="C430" t="s">
        <v>659</v>
      </c>
      <c r="D430" t="str">
        <f>HYPERLINK("http://service.sap.com/sap/support/notes/1695081","1695081")</f>
        <v>1695081</v>
      </c>
      <c r="E430">
        <v>3</v>
      </c>
      <c r="F430" t="s">
        <v>660</v>
      </c>
    </row>
    <row r="431" spans="1:6" x14ac:dyDescent="0.25">
      <c r="A431" t="s">
        <v>4200</v>
      </c>
      <c r="B431" t="s">
        <v>658</v>
      </c>
      <c r="C431" t="s">
        <v>659</v>
      </c>
      <c r="D431" t="str">
        <f>HYPERLINK("http://service.sap.com/sap/support/notes/1738501","1738501")</f>
        <v>1738501</v>
      </c>
      <c r="E431">
        <v>3</v>
      </c>
      <c r="F431" t="s">
        <v>661</v>
      </c>
    </row>
    <row r="432" spans="1:6" x14ac:dyDescent="0.25">
      <c r="A432" t="s">
        <v>4200</v>
      </c>
      <c r="B432" t="s">
        <v>662</v>
      </c>
      <c r="C432" t="s">
        <v>663</v>
      </c>
      <c r="D432" t="str">
        <f>HYPERLINK("http://service.sap.com/sap/support/notes/1712092","1712092")</f>
        <v>1712092</v>
      </c>
      <c r="E432">
        <v>2</v>
      </c>
      <c r="F432" t="s">
        <v>664</v>
      </c>
    </row>
    <row r="433" spans="1:6" x14ac:dyDescent="0.25">
      <c r="A433" t="s">
        <v>4200</v>
      </c>
      <c r="B433" t="s">
        <v>662</v>
      </c>
      <c r="C433" t="s">
        <v>663</v>
      </c>
      <c r="D433" t="str">
        <f>HYPERLINK("http://service.sap.com/sap/support/notes/1716115","1716115")</f>
        <v>1716115</v>
      </c>
      <c r="E433">
        <v>12</v>
      </c>
      <c r="F433" t="s">
        <v>665</v>
      </c>
    </row>
    <row r="434" spans="1:6" x14ac:dyDescent="0.25">
      <c r="A434" t="s">
        <v>4200</v>
      </c>
      <c r="B434" t="s">
        <v>662</v>
      </c>
      <c r="C434" t="s">
        <v>663</v>
      </c>
      <c r="D434" t="str">
        <f>HYPERLINK("http://service.sap.com/sap/support/notes/1750147","1750147")</f>
        <v>1750147</v>
      </c>
      <c r="E434">
        <v>7</v>
      </c>
      <c r="F434" t="s">
        <v>666</v>
      </c>
    </row>
    <row r="435" spans="1:6" x14ac:dyDescent="0.25">
      <c r="A435" t="s">
        <v>4200</v>
      </c>
      <c r="B435" t="s">
        <v>662</v>
      </c>
      <c r="C435" t="s">
        <v>663</v>
      </c>
      <c r="D435" t="str">
        <f>HYPERLINK("http://service.sap.com/sap/support/notes/1758413","1758413")</f>
        <v>1758413</v>
      </c>
      <c r="E435">
        <v>1</v>
      </c>
      <c r="F435" t="s">
        <v>667</v>
      </c>
    </row>
    <row r="436" spans="1:6" x14ac:dyDescent="0.25">
      <c r="A436" t="s">
        <v>4200</v>
      </c>
      <c r="B436" t="s">
        <v>668</v>
      </c>
      <c r="C436" t="s">
        <v>669</v>
      </c>
      <c r="D436" t="str">
        <f>HYPERLINK("http://service.sap.com/sap/support/notes/1523902","1523902")</f>
        <v>1523902</v>
      </c>
      <c r="E436">
        <v>3</v>
      </c>
      <c r="F436" t="s">
        <v>670</v>
      </c>
    </row>
    <row r="437" spans="1:6" x14ac:dyDescent="0.25">
      <c r="A437" t="s">
        <v>4200</v>
      </c>
      <c r="B437" t="s">
        <v>671</v>
      </c>
      <c r="C437" t="s">
        <v>672</v>
      </c>
      <c r="D437" t="str">
        <f>HYPERLINK("http://service.sap.com/sap/support/notes/1671252","1671252")</f>
        <v>1671252</v>
      </c>
      <c r="E437">
        <v>2</v>
      </c>
      <c r="F437" t="s">
        <v>673</v>
      </c>
    </row>
    <row r="438" spans="1:6" x14ac:dyDescent="0.25">
      <c r="A438" t="s">
        <v>4200</v>
      </c>
      <c r="B438" t="s">
        <v>674</v>
      </c>
      <c r="C438" t="s">
        <v>675</v>
      </c>
    </row>
    <row r="439" spans="1:6" x14ac:dyDescent="0.25">
      <c r="A439" t="s">
        <v>4200</v>
      </c>
      <c r="B439" t="s">
        <v>676</v>
      </c>
      <c r="C439" t="s">
        <v>677</v>
      </c>
    </row>
    <row r="440" spans="1:6" x14ac:dyDescent="0.25">
      <c r="A440" t="s">
        <v>4200</v>
      </c>
      <c r="B440" t="s">
        <v>678</v>
      </c>
      <c r="C440" t="s">
        <v>677</v>
      </c>
      <c r="D440" t="str">
        <f>HYPERLINK("http://service.sap.com/sap/support/notes/1741169","1741169")</f>
        <v>1741169</v>
      </c>
      <c r="E440">
        <v>3</v>
      </c>
      <c r="F440" t="s">
        <v>679</v>
      </c>
    </row>
    <row r="441" spans="1:6" x14ac:dyDescent="0.25">
      <c r="A441" t="s">
        <v>4200</v>
      </c>
      <c r="B441" t="s">
        <v>680</v>
      </c>
      <c r="C441" t="s">
        <v>681</v>
      </c>
    </row>
    <row r="442" spans="1:6" x14ac:dyDescent="0.25">
      <c r="A442" t="s">
        <v>4200</v>
      </c>
      <c r="B442" t="s">
        <v>682</v>
      </c>
      <c r="C442" t="s">
        <v>683</v>
      </c>
      <c r="D442" t="str">
        <f>HYPERLINK("http://service.sap.com/sap/support/notes/1651682","1651682")</f>
        <v>1651682</v>
      </c>
      <c r="E442">
        <v>17</v>
      </c>
      <c r="F442" t="s">
        <v>684</v>
      </c>
    </row>
    <row r="443" spans="1:6" x14ac:dyDescent="0.25">
      <c r="A443" t="s">
        <v>4200</v>
      </c>
      <c r="B443" t="s">
        <v>682</v>
      </c>
      <c r="C443" t="s">
        <v>683</v>
      </c>
      <c r="D443" t="str">
        <f>HYPERLINK("http://service.sap.com/sap/support/notes/1731742","1731742")</f>
        <v>1731742</v>
      </c>
      <c r="E443">
        <v>3</v>
      </c>
      <c r="F443" t="s">
        <v>685</v>
      </c>
    </row>
    <row r="444" spans="1:6" x14ac:dyDescent="0.25">
      <c r="A444" t="s">
        <v>4200</v>
      </c>
      <c r="B444" t="s">
        <v>682</v>
      </c>
      <c r="C444" t="s">
        <v>683</v>
      </c>
      <c r="D444" t="str">
        <f>HYPERLINK("http://service.sap.com/sap/support/notes/1736541","1736541")</f>
        <v>1736541</v>
      </c>
      <c r="E444">
        <v>2</v>
      </c>
      <c r="F444" t="s">
        <v>686</v>
      </c>
    </row>
    <row r="445" spans="1:6" x14ac:dyDescent="0.25">
      <c r="A445" t="s">
        <v>4200</v>
      </c>
      <c r="B445" t="s">
        <v>687</v>
      </c>
      <c r="C445" t="s">
        <v>688</v>
      </c>
      <c r="D445" t="str">
        <f>HYPERLINK("http://service.sap.com/sap/support/notes/1736477","1736477")</f>
        <v>1736477</v>
      </c>
      <c r="E445">
        <v>1</v>
      </c>
      <c r="F445" t="s">
        <v>689</v>
      </c>
    </row>
    <row r="446" spans="1:6" x14ac:dyDescent="0.25">
      <c r="A446" t="s">
        <v>4200</v>
      </c>
      <c r="B446" t="s">
        <v>690</v>
      </c>
      <c r="C446" t="s">
        <v>691</v>
      </c>
      <c r="D446" t="str">
        <f>HYPERLINK("http://service.sap.com/sap/support/notes/1744979","1744979")</f>
        <v>1744979</v>
      </c>
      <c r="E446">
        <v>2</v>
      </c>
      <c r="F446" t="s">
        <v>692</v>
      </c>
    </row>
    <row r="447" spans="1:6" x14ac:dyDescent="0.25">
      <c r="A447" t="s">
        <v>4200</v>
      </c>
      <c r="B447" t="s">
        <v>693</v>
      </c>
      <c r="C447" t="s">
        <v>694</v>
      </c>
    </row>
    <row r="448" spans="1:6" x14ac:dyDescent="0.25">
      <c r="A448" t="s">
        <v>4200</v>
      </c>
      <c r="B448" t="s">
        <v>695</v>
      </c>
      <c r="C448" t="s">
        <v>696</v>
      </c>
    </row>
    <row r="449" spans="1:6" x14ac:dyDescent="0.25">
      <c r="A449" t="s">
        <v>4200</v>
      </c>
      <c r="B449" t="s">
        <v>697</v>
      </c>
      <c r="C449" t="s">
        <v>698</v>
      </c>
    </row>
    <row r="450" spans="1:6" x14ac:dyDescent="0.25">
      <c r="A450" t="s">
        <v>4200</v>
      </c>
      <c r="B450" t="s">
        <v>699</v>
      </c>
      <c r="C450" t="s">
        <v>700</v>
      </c>
      <c r="D450" t="str">
        <f>HYPERLINK("http://service.sap.com/sap/support/notes/1756148","1756148")</f>
        <v>1756148</v>
      </c>
      <c r="E450">
        <v>1</v>
      </c>
      <c r="F450" t="s">
        <v>701</v>
      </c>
    </row>
    <row r="451" spans="1:6" x14ac:dyDescent="0.25">
      <c r="A451" t="s">
        <v>4200</v>
      </c>
      <c r="B451" t="s">
        <v>702</v>
      </c>
      <c r="C451" t="s">
        <v>703</v>
      </c>
      <c r="D451" t="str">
        <f>HYPERLINK("http://service.sap.com/sap/support/notes/1756985","1756985")</f>
        <v>1756985</v>
      </c>
      <c r="E451">
        <v>1</v>
      </c>
      <c r="F451" t="s">
        <v>704</v>
      </c>
    </row>
    <row r="452" spans="1:6" x14ac:dyDescent="0.25">
      <c r="A452" t="s">
        <v>4200</v>
      </c>
      <c r="B452" t="s">
        <v>705</v>
      </c>
      <c r="C452" t="s">
        <v>706</v>
      </c>
      <c r="D452" t="str">
        <f>HYPERLINK("http://service.sap.com/sap/support/notes/1728109","1728109")</f>
        <v>1728109</v>
      </c>
      <c r="E452">
        <v>1</v>
      </c>
      <c r="F452" t="s">
        <v>707</v>
      </c>
    </row>
    <row r="453" spans="1:6" x14ac:dyDescent="0.25">
      <c r="A453" t="s">
        <v>4200</v>
      </c>
      <c r="B453" t="s">
        <v>708</v>
      </c>
      <c r="C453" t="s">
        <v>709</v>
      </c>
      <c r="D453" t="str">
        <f>HYPERLINK("http://service.sap.com/sap/support/notes/1718155","1718155")</f>
        <v>1718155</v>
      </c>
      <c r="E453">
        <v>1</v>
      </c>
      <c r="F453" t="s">
        <v>710</v>
      </c>
    </row>
    <row r="454" spans="1:6" x14ac:dyDescent="0.25">
      <c r="A454" t="s">
        <v>4200</v>
      </c>
      <c r="B454" t="s">
        <v>708</v>
      </c>
      <c r="C454" t="s">
        <v>709</v>
      </c>
      <c r="D454" t="str">
        <f>HYPERLINK("http://service.sap.com/sap/support/notes/1752247","1752247")</f>
        <v>1752247</v>
      </c>
      <c r="E454">
        <v>2</v>
      </c>
      <c r="F454" t="s">
        <v>711</v>
      </c>
    </row>
    <row r="455" spans="1:6" x14ac:dyDescent="0.25">
      <c r="A455" t="s">
        <v>4200</v>
      </c>
      <c r="B455" t="s">
        <v>708</v>
      </c>
      <c r="C455" t="s">
        <v>709</v>
      </c>
      <c r="D455" t="str">
        <f>HYPERLINK("http://service.sap.com/sap/support/notes/1765932","1765932")</f>
        <v>1765932</v>
      </c>
      <c r="E455">
        <v>1</v>
      </c>
      <c r="F455" t="s">
        <v>712</v>
      </c>
    </row>
    <row r="456" spans="1:6" x14ac:dyDescent="0.25">
      <c r="A456" t="s">
        <v>4200</v>
      </c>
      <c r="B456" t="s">
        <v>713</v>
      </c>
      <c r="C456" t="s">
        <v>714</v>
      </c>
      <c r="D456" t="str">
        <f>HYPERLINK("http://service.sap.com/sap/support/notes/1736753","1736753")</f>
        <v>1736753</v>
      </c>
      <c r="E456">
        <v>1</v>
      </c>
      <c r="F456" t="s">
        <v>715</v>
      </c>
    </row>
    <row r="457" spans="1:6" x14ac:dyDescent="0.25">
      <c r="A457" t="s">
        <v>4200</v>
      </c>
      <c r="B457" t="s">
        <v>716</v>
      </c>
      <c r="C457" t="s">
        <v>717</v>
      </c>
      <c r="D457" t="str">
        <f>HYPERLINK("http://service.sap.com/sap/support/notes/788255","788255")</f>
        <v>788255</v>
      </c>
      <c r="E457">
        <v>13</v>
      </c>
      <c r="F457" t="s">
        <v>718</v>
      </c>
    </row>
    <row r="458" spans="1:6" x14ac:dyDescent="0.25">
      <c r="A458" t="s">
        <v>4200</v>
      </c>
      <c r="B458" t="s">
        <v>719</v>
      </c>
      <c r="C458" t="s">
        <v>720</v>
      </c>
    </row>
    <row r="459" spans="1:6" x14ac:dyDescent="0.25">
      <c r="A459" t="s">
        <v>4200</v>
      </c>
      <c r="B459" t="s">
        <v>721</v>
      </c>
      <c r="C459" t="s">
        <v>722</v>
      </c>
      <c r="D459" t="str">
        <f>HYPERLINK("http://service.sap.com/sap/support/notes/1738638","1738638")</f>
        <v>1738638</v>
      </c>
      <c r="E459">
        <v>1</v>
      </c>
      <c r="F459" t="s">
        <v>723</v>
      </c>
    </row>
    <row r="460" spans="1:6" x14ac:dyDescent="0.25">
      <c r="A460" t="s">
        <v>4200</v>
      </c>
      <c r="B460" t="s">
        <v>721</v>
      </c>
      <c r="C460" t="s">
        <v>722</v>
      </c>
      <c r="D460" t="str">
        <f>HYPERLINK("http://service.sap.com/sap/support/notes/1750880","1750880")</f>
        <v>1750880</v>
      </c>
      <c r="E460">
        <v>1</v>
      </c>
      <c r="F460" t="s">
        <v>724</v>
      </c>
    </row>
    <row r="461" spans="1:6" x14ac:dyDescent="0.25">
      <c r="A461" t="s">
        <v>4200</v>
      </c>
      <c r="B461" t="s">
        <v>721</v>
      </c>
      <c r="C461" t="s">
        <v>722</v>
      </c>
      <c r="D461" t="str">
        <f>HYPERLINK("http://service.sap.com/sap/support/notes/1751325","1751325")</f>
        <v>1751325</v>
      </c>
      <c r="E461">
        <v>1</v>
      </c>
      <c r="F461" t="s">
        <v>725</v>
      </c>
    </row>
    <row r="462" spans="1:6" x14ac:dyDescent="0.25">
      <c r="A462" t="s">
        <v>4200</v>
      </c>
      <c r="B462" t="s">
        <v>721</v>
      </c>
      <c r="C462" t="s">
        <v>722</v>
      </c>
      <c r="D462" t="str">
        <f>HYPERLINK("http://service.sap.com/sap/support/notes/1752433","1752433")</f>
        <v>1752433</v>
      </c>
      <c r="E462">
        <v>1</v>
      </c>
      <c r="F462" t="s">
        <v>726</v>
      </c>
    </row>
    <row r="463" spans="1:6" x14ac:dyDescent="0.25">
      <c r="A463" t="s">
        <v>4200</v>
      </c>
      <c r="B463" t="s">
        <v>721</v>
      </c>
      <c r="C463" t="s">
        <v>722</v>
      </c>
      <c r="D463" t="str">
        <f>HYPERLINK("http://service.sap.com/sap/support/notes/1758628","1758628")</f>
        <v>1758628</v>
      </c>
      <c r="E463">
        <v>2</v>
      </c>
      <c r="F463" t="s">
        <v>727</v>
      </c>
    </row>
    <row r="464" spans="1:6" x14ac:dyDescent="0.25">
      <c r="A464" t="s">
        <v>4200</v>
      </c>
      <c r="B464" t="s">
        <v>721</v>
      </c>
      <c r="C464" t="s">
        <v>722</v>
      </c>
      <c r="D464" t="str">
        <f>HYPERLINK("http://service.sap.com/sap/support/notes/1758974","1758974")</f>
        <v>1758974</v>
      </c>
      <c r="E464">
        <v>1</v>
      </c>
      <c r="F464" t="s">
        <v>728</v>
      </c>
    </row>
    <row r="465" spans="1:6" x14ac:dyDescent="0.25">
      <c r="A465" t="s">
        <v>4200</v>
      </c>
      <c r="B465" t="s">
        <v>721</v>
      </c>
      <c r="C465" t="s">
        <v>722</v>
      </c>
      <c r="D465" t="str">
        <f>HYPERLINK("http://service.sap.com/sap/support/notes/1759043","1759043")</f>
        <v>1759043</v>
      </c>
      <c r="E465">
        <v>1</v>
      </c>
      <c r="F465" t="s">
        <v>729</v>
      </c>
    </row>
    <row r="466" spans="1:6" x14ac:dyDescent="0.25">
      <c r="A466" t="s">
        <v>4200</v>
      </c>
      <c r="B466" t="s">
        <v>721</v>
      </c>
      <c r="C466" t="s">
        <v>722</v>
      </c>
      <c r="D466" t="str">
        <f>HYPERLINK("http://service.sap.com/sap/support/notes/1765464","1765464")</f>
        <v>1765464</v>
      </c>
      <c r="E466">
        <v>3</v>
      </c>
      <c r="F466" t="s">
        <v>730</v>
      </c>
    </row>
    <row r="467" spans="1:6" x14ac:dyDescent="0.25">
      <c r="A467" t="s">
        <v>4200</v>
      </c>
      <c r="B467" t="s">
        <v>731</v>
      </c>
      <c r="C467" t="s">
        <v>732</v>
      </c>
      <c r="D467" t="str">
        <f>HYPERLINK("http://service.sap.com/sap/support/notes/1725177","1725177")</f>
        <v>1725177</v>
      </c>
      <c r="E467">
        <v>1</v>
      </c>
      <c r="F467" t="s">
        <v>733</v>
      </c>
    </row>
    <row r="468" spans="1:6" x14ac:dyDescent="0.25">
      <c r="A468" t="s">
        <v>4200</v>
      </c>
      <c r="B468" t="s">
        <v>731</v>
      </c>
      <c r="C468" t="s">
        <v>732</v>
      </c>
      <c r="D468" t="str">
        <f>HYPERLINK("http://service.sap.com/sap/support/notes/1753764","1753764")</f>
        <v>1753764</v>
      </c>
      <c r="E468">
        <v>1</v>
      </c>
      <c r="F468" t="s">
        <v>734</v>
      </c>
    </row>
    <row r="469" spans="1:6" x14ac:dyDescent="0.25">
      <c r="A469" t="s">
        <v>4200</v>
      </c>
      <c r="B469" t="s">
        <v>735</v>
      </c>
      <c r="C469" t="s">
        <v>736</v>
      </c>
      <c r="D469" t="str">
        <f>HYPERLINK("http://service.sap.com/sap/support/notes/916973","916973")</f>
        <v>916973</v>
      </c>
      <c r="E469">
        <v>5</v>
      </c>
      <c r="F469" t="s">
        <v>737</v>
      </c>
    </row>
    <row r="470" spans="1:6" x14ac:dyDescent="0.25">
      <c r="A470" t="s">
        <v>4200</v>
      </c>
      <c r="B470" t="s">
        <v>735</v>
      </c>
      <c r="C470" t="s">
        <v>736</v>
      </c>
      <c r="D470" t="str">
        <f>HYPERLINK("http://service.sap.com/sap/support/notes/1728347","1728347")</f>
        <v>1728347</v>
      </c>
      <c r="E470">
        <v>1</v>
      </c>
      <c r="F470" t="s">
        <v>738</v>
      </c>
    </row>
    <row r="471" spans="1:6" x14ac:dyDescent="0.25">
      <c r="A471" t="s">
        <v>4200</v>
      </c>
      <c r="B471" t="s">
        <v>739</v>
      </c>
      <c r="C471" t="s">
        <v>29</v>
      </c>
      <c r="D471" t="str">
        <f>HYPERLINK("http://service.sap.com/sap/support/notes/1645168","1645168")</f>
        <v>1645168</v>
      </c>
      <c r="E471">
        <v>5</v>
      </c>
      <c r="F471" t="s">
        <v>740</v>
      </c>
    </row>
    <row r="472" spans="1:6" x14ac:dyDescent="0.25">
      <c r="A472" t="s">
        <v>4200</v>
      </c>
      <c r="B472" t="s">
        <v>739</v>
      </c>
      <c r="C472" t="s">
        <v>29</v>
      </c>
      <c r="D472" t="str">
        <f>HYPERLINK("http://service.sap.com/sap/support/notes/1705844","1705844")</f>
        <v>1705844</v>
      </c>
      <c r="E472">
        <v>1</v>
      </c>
      <c r="F472" t="s">
        <v>741</v>
      </c>
    </row>
    <row r="473" spans="1:6" x14ac:dyDescent="0.25">
      <c r="A473" t="s">
        <v>4200</v>
      </c>
      <c r="B473" t="s">
        <v>739</v>
      </c>
      <c r="C473" t="s">
        <v>29</v>
      </c>
      <c r="D473" t="str">
        <f>HYPERLINK("http://service.sap.com/sap/support/notes/1717532","1717532")</f>
        <v>1717532</v>
      </c>
      <c r="E473">
        <v>1</v>
      </c>
      <c r="F473" t="s">
        <v>742</v>
      </c>
    </row>
    <row r="474" spans="1:6" x14ac:dyDescent="0.25">
      <c r="A474" t="s">
        <v>4200</v>
      </c>
      <c r="B474" t="s">
        <v>739</v>
      </c>
      <c r="C474" t="s">
        <v>29</v>
      </c>
      <c r="D474" t="str">
        <f>HYPERLINK("http://service.sap.com/sap/support/notes/1725418","1725418")</f>
        <v>1725418</v>
      </c>
      <c r="E474">
        <v>1</v>
      </c>
      <c r="F474" t="s">
        <v>743</v>
      </c>
    </row>
    <row r="475" spans="1:6" x14ac:dyDescent="0.25">
      <c r="A475" t="s">
        <v>4200</v>
      </c>
      <c r="B475" t="s">
        <v>739</v>
      </c>
      <c r="C475" t="s">
        <v>29</v>
      </c>
      <c r="D475" t="str">
        <f>HYPERLINK("http://service.sap.com/sap/support/notes/1747854","1747854")</f>
        <v>1747854</v>
      </c>
      <c r="E475">
        <v>2</v>
      </c>
      <c r="F475" t="s">
        <v>744</v>
      </c>
    </row>
    <row r="476" spans="1:6" x14ac:dyDescent="0.25">
      <c r="A476" t="s">
        <v>4200</v>
      </c>
      <c r="B476" t="s">
        <v>745</v>
      </c>
      <c r="C476" t="s">
        <v>746</v>
      </c>
      <c r="D476" t="str">
        <f>HYPERLINK("http://service.sap.com/sap/support/notes/1594454","1594454")</f>
        <v>1594454</v>
      </c>
      <c r="E476">
        <v>2</v>
      </c>
      <c r="F476" t="s">
        <v>747</v>
      </c>
    </row>
    <row r="477" spans="1:6" x14ac:dyDescent="0.25">
      <c r="A477" t="s">
        <v>4200</v>
      </c>
      <c r="B477" t="s">
        <v>748</v>
      </c>
      <c r="C477" t="s">
        <v>749</v>
      </c>
    </row>
    <row r="478" spans="1:6" x14ac:dyDescent="0.25">
      <c r="A478" t="s">
        <v>4200</v>
      </c>
      <c r="B478" t="s">
        <v>750</v>
      </c>
      <c r="C478" t="s">
        <v>751</v>
      </c>
    </row>
    <row r="479" spans="1:6" x14ac:dyDescent="0.25">
      <c r="A479" t="s">
        <v>4200</v>
      </c>
      <c r="B479" t="s">
        <v>752</v>
      </c>
      <c r="C479" t="s">
        <v>753</v>
      </c>
      <c r="D479" t="str">
        <f>HYPERLINK("http://service.sap.com/sap/support/notes/1708890","1708890")</f>
        <v>1708890</v>
      </c>
      <c r="E479">
        <v>2</v>
      </c>
      <c r="F479" t="s">
        <v>754</v>
      </c>
    </row>
    <row r="480" spans="1:6" x14ac:dyDescent="0.25">
      <c r="A480" t="s">
        <v>4200</v>
      </c>
      <c r="B480" t="s">
        <v>752</v>
      </c>
      <c r="C480" t="s">
        <v>753</v>
      </c>
      <c r="D480" t="str">
        <f>HYPERLINK("http://service.sap.com/sap/support/notes/1727091","1727091")</f>
        <v>1727091</v>
      </c>
      <c r="E480">
        <v>2</v>
      </c>
      <c r="F480" t="s">
        <v>755</v>
      </c>
    </row>
    <row r="481" spans="1:6" x14ac:dyDescent="0.25">
      <c r="A481" t="s">
        <v>4200</v>
      </c>
      <c r="B481" t="s">
        <v>756</v>
      </c>
      <c r="C481" t="s">
        <v>757</v>
      </c>
    </row>
    <row r="482" spans="1:6" x14ac:dyDescent="0.25">
      <c r="A482" t="s">
        <v>4200</v>
      </c>
      <c r="B482" t="s">
        <v>758</v>
      </c>
      <c r="C482" t="s">
        <v>759</v>
      </c>
      <c r="D482" t="str">
        <f>HYPERLINK("http://service.sap.com/sap/support/notes/1748924","1748924")</f>
        <v>1748924</v>
      </c>
      <c r="E482">
        <v>1</v>
      </c>
      <c r="F482" t="s">
        <v>760</v>
      </c>
    </row>
    <row r="483" spans="1:6" x14ac:dyDescent="0.25">
      <c r="A483" t="s">
        <v>4200</v>
      </c>
      <c r="B483" t="s">
        <v>761</v>
      </c>
      <c r="C483" t="s">
        <v>29</v>
      </c>
      <c r="D483" t="str">
        <f>HYPERLINK("http://service.sap.com/sap/support/notes/1726781","1726781")</f>
        <v>1726781</v>
      </c>
      <c r="E483">
        <v>1</v>
      </c>
      <c r="F483" t="s">
        <v>762</v>
      </c>
    </row>
    <row r="484" spans="1:6" x14ac:dyDescent="0.25">
      <c r="A484" t="s">
        <v>4200</v>
      </c>
      <c r="B484" t="s">
        <v>763</v>
      </c>
      <c r="C484" t="s">
        <v>764</v>
      </c>
    </row>
    <row r="485" spans="1:6" x14ac:dyDescent="0.25">
      <c r="A485" t="s">
        <v>4200</v>
      </c>
      <c r="B485" t="s">
        <v>765</v>
      </c>
      <c r="C485" t="s">
        <v>766</v>
      </c>
    </row>
    <row r="486" spans="1:6" x14ac:dyDescent="0.25">
      <c r="A486" t="s">
        <v>4200</v>
      </c>
      <c r="B486" t="s">
        <v>767</v>
      </c>
      <c r="C486" t="s">
        <v>768</v>
      </c>
    </row>
    <row r="487" spans="1:6" x14ac:dyDescent="0.25">
      <c r="A487" t="s">
        <v>4200</v>
      </c>
      <c r="B487" t="s">
        <v>769</v>
      </c>
      <c r="C487" t="s">
        <v>770</v>
      </c>
      <c r="D487" t="str">
        <f>HYPERLINK("http://service.sap.com/sap/support/notes/1736028","1736028")</f>
        <v>1736028</v>
      </c>
      <c r="E487">
        <v>2</v>
      </c>
      <c r="F487" t="s">
        <v>771</v>
      </c>
    </row>
    <row r="488" spans="1:6" x14ac:dyDescent="0.25">
      <c r="A488" t="s">
        <v>4200</v>
      </c>
      <c r="B488" t="s">
        <v>772</v>
      </c>
      <c r="C488" t="s">
        <v>773</v>
      </c>
    </row>
    <row r="489" spans="1:6" x14ac:dyDescent="0.25">
      <c r="A489" t="s">
        <v>4200</v>
      </c>
      <c r="B489" t="s">
        <v>774</v>
      </c>
      <c r="C489" t="s">
        <v>775</v>
      </c>
      <c r="D489" t="str">
        <f>HYPERLINK("http://service.sap.com/sap/support/notes/1654149","1654149")</f>
        <v>1654149</v>
      </c>
      <c r="E489">
        <v>7</v>
      </c>
      <c r="F489" t="s">
        <v>776</v>
      </c>
    </row>
    <row r="490" spans="1:6" x14ac:dyDescent="0.25">
      <c r="A490" t="s">
        <v>4200</v>
      </c>
      <c r="B490" t="s">
        <v>774</v>
      </c>
      <c r="C490" t="s">
        <v>775</v>
      </c>
      <c r="D490" t="str">
        <f>HYPERLINK("http://service.sap.com/sap/support/notes/1732651","1732651")</f>
        <v>1732651</v>
      </c>
      <c r="E490">
        <v>2</v>
      </c>
      <c r="F490" t="s">
        <v>777</v>
      </c>
    </row>
    <row r="491" spans="1:6" x14ac:dyDescent="0.25">
      <c r="A491" t="s">
        <v>4200</v>
      </c>
      <c r="B491" t="s">
        <v>774</v>
      </c>
      <c r="C491" t="s">
        <v>775</v>
      </c>
      <c r="D491" t="str">
        <f>HYPERLINK("http://service.sap.com/sap/support/notes/1732919","1732919")</f>
        <v>1732919</v>
      </c>
      <c r="E491">
        <v>1</v>
      </c>
      <c r="F491" t="s">
        <v>778</v>
      </c>
    </row>
    <row r="492" spans="1:6" x14ac:dyDescent="0.25">
      <c r="A492" t="s">
        <v>4200</v>
      </c>
      <c r="B492" t="s">
        <v>774</v>
      </c>
      <c r="C492" t="s">
        <v>775</v>
      </c>
      <c r="D492" t="str">
        <f>HYPERLINK("http://service.sap.com/sap/support/notes/1733557","1733557")</f>
        <v>1733557</v>
      </c>
      <c r="E492">
        <v>4</v>
      </c>
      <c r="F492" t="s">
        <v>779</v>
      </c>
    </row>
    <row r="493" spans="1:6" x14ac:dyDescent="0.25">
      <c r="A493" t="s">
        <v>4200</v>
      </c>
      <c r="B493" t="s">
        <v>774</v>
      </c>
      <c r="C493" t="s">
        <v>775</v>
      </c>
      <c r="D493" t="str">
        <f>HYPERLINK("http://service.sap.com/sap/support/notes/1741431","1741431")</f>
        <v>1741431</v>
      </c>
      <c r="E493">
        <v>2</v>
      </c>
      <c r="F493" t="s">
        <v>780</v>
      </c>
    </row>
    <row r="494" spans="1:6" x14ac:dyDescent="0.25">
      <c r="A494" t="s">
        <v>4200</v>
      </c>
      <c r="B494" t="s">
        <v>774</v>
      </c>
      <c r="C494" t="s">
        <v>775</v>
      </c>
      <c r="D494" t="str">
        <f>HYPERLINK("http://service.sap.com/sap/support/notes/1742912","1742912")</f>
        <v>1742912</v>
      </c>
      <c r="E494">
        <v>1</v>
      </c>
      <c r="F494" t="s">
        <v>781</v>
      </c>
    </row>
    <row r="495" spans="1:6" x14ac:dyDescent="0.25">
      <c r="A495" t="s">
        <v>4200</v>
      </c>
      <c r="B495" t="s">
        <v>774</v>
      </c>
      <c r="C495" t="s">
        <v>775</v>
      </c>
      <c r="D495" t="str">
        <f>HYPERLINK("http://service.sap.com/sap/support/notes/1754152","1754152")</f>
        <v>1754152</v>
      </c>
      <c r="E495">
        <v>3</v>
      </c>
      <c r="F495" t="s">
        <v>782</v>
      </c>
    </row>
    <row r="496" spans="1:6" x14ac:dyDescent="0.25">
      <c r="A496" t="s">
        <v>4200</v>
      </c>
      <c r="B496" t="s">
        <v>774</v>
      </c>
      <c r="C496" t="s">
        <v>775</v>
      </c>
      <c r="D496" t="str">
        <f>HYPERLINK("http://service.sap.com/sap/support/notes/1759550","1759550")</f>
        <v>1759550</v>
      </c>
      <c r="E496">
        <v>2</v>
      </c>
      <c r="F496" t="s">
        <v>783</v>
      </c>
    </row>
    <row r="497" spans="1:6" x14ac:dyDescent="0.25">
      <c r="A497" t="s">
        <v>4200</v>
      </c>
      <c r="B497" t="s">
        <v>774</v>
      </c>
      <c r="C497" t="s">
        <v>775</v>
      </c>
      <c r="D497" t="str">
        <f>HYPERLINK("http://service.sap.com/sap/support/notes/1760224","1760224")</f>
        <v>1760224</v>
      </c>
      <c r="E497">
        <v>4</v>
      </c>
      <c r="F497" t="s">
        <v>784</v>
      </c>
    </row>
    <row r="498" spans="1:6" x14ac:dyDescent="0.25">
      <c r="A498" t="s">
        <v>4200</v>
      </c>
      <c r="B498" t="s">
        <v>774</v>
      </c>
      <c r="C498" t="s">
        <v>775</v>
      </c>
      <c r="D498" t="str">
        <f>HYPERLINK("http://service.sap.com/sap/support/notes/1766079","1766079")</f>
        <v>1766079</v>
      </c>
      <c r="E498">
        <v>1</v>
      </c>
      <c r="F498" t="s">
        <v>785</v>
      </c>
    </row>
    <row r="499" spans="1:6" x14ac:dyDescent="0.25">
      <c r="A499" t="s">
        <v>4200</v>
      </c>
      <c r="B499" t="s">
        <v>786</v>
      </c>
      <c r="C499" t="s">
        <v>198</v>
      </c>
    </row>
    <row r="500" spans="1:6" x14ac:dyDescent="0.25">
      <c r="A500" t="s">
        <v>4200</v>
      </c>
      <c r="B500" t="s">
        <v>787</v>
      </c>
      <c r="C500" t="s">
        <v>201</v>
      </c>
      <c r="D500" t="str">
        <f>HYPERLINK("http://service.sap.com/sap/support/notes/1050458","1050458")</f>
        <v>1050458</v>
      </c>
      <c r="E500">
        <v>6</v>
      </c>
      <c r="F500" t="s">
        <v>788</v>
      </c>
    </row>
    <row r="501" spans="1:6" x14ac:dyDescent="0.25">
      <c r="A501" t="s">
        <v>4200</v>
      </c>
      <c r="B501" t="s">
        <v>787</v>
      </c>
      <c r="C501" t="s">
        <v>201</v>
      </c>
      <c r="D501" t="str">
        <f>HYPERLINK("http://service.sap.com/sap/support/notes/1679315","1679315")</f>
        <v>1679315</v>
      </c>
      <c r="E501">
        <v>1</v>
      </c>
      <c r="F501" t="s">
        <v>789</v>
      </c>
    </row>
    <row r="502" spans="1:6" x14ac:dyDescent="0.25">
      <c r="A502" t="s">
        <v>4200</v>
      </c>
      <c r="B502" t="s">
        <v>787</v>
      </c>
      <c r="C502" t="s">
        <v>201</v>
      </c>
      <c r="D502" t="str">
        <f>HYPERLINK("http://service.sap.com/sap/support/notes/1710691","1710691")</f>
        <v>1710691</v>
      </c>
      <c r="E502">
        <v>1</v>
      </c>
      <c r="F502" t="s">
        <v>790</v>
      </c>
    </row>
    <row r="503" spans="1:6" x14ac:dyDescent="0.25">
      <c r="A503" t="s">
        <v>4200</v>
      </c>
      <c r="B503" t="s">
        <v>791</v>
      </c>
      <c r="C503" t="s">
        <v>151</v>
      </c>
      <c r="D503" t="str">
        <f>HYPERLINK("http://service.sap.com/sap/support/notes/1712798","1712798")</f>
        <v>1712798</v>
      </c>
      <c r="E503">
        <v>1</v>
      </c>
      <c r="F503" t="s">
        <v>792</v>
      </c>
    </row>
    <row r="504" spans="1:6" x14ac:dyDescent="0.25">
      <c r="A504" t="s">
        <v>4200</v>
      </c>
      <c r="B504" t="s">
        <v>793</v>
      </c>
      <c r="C504" t="s">
        <v>29</v>
      </c>
      <c r="D504" t="str">
        <f>HYPERLINK("http://service.sap.com/sap/support/notes/1676977","1676977")</f>
        <v>1676977</v>
      </c>
      <c r="E504">
        <v>1</v>
      </c>
      <c r="F504" t="s">
        <v>794</v>
      </c>
    </row>
    <row r="505" spans="1:6" x14ac:dyDescent="0.25">
      <c r="A505" t="s">
        <v>4200</v>
      </c>
      <c r="B505" t="s">
        <v>793</v>
      </c>
      <c r="C505" t="s">
        <v>29</v>
      </c>
      <c r="D505" t="str">
        <f>HYPERLINK("http://service.sap.com/sap/support/notes/1678432","1678432")</f>
        <v>1678432</v>
      </c>
      <c r="E505">
        <v>2</v>
      </c>
      <c r="F505" t="s">
        <v>795</v>
      </c>
    </row>
    <row r="506" spans="1:6" x14ac:dyDescent="0.25">
      <c r="A506" t="s">
        <v>4200</v>
      </c>
      <c r="B506" t="s">
        <v>793</v>
      </c>
      <c r="C506" t="s">
        <v>29</v>
      </c>
      <c r="D506" t="str">
        <f>HYPERLINK("http://service.sap.com/sap/support/notes/1682938","1682938")</f>
        <v>1682938</v>
      </c>
      <c r="E506">
        <v>1</v>
      </c>
      <c r="F506" t="s">
        <v>796</v>
      </c>
    </row>
    <row r="507" spans="1:6" x14ac:dyDescent="0.25">
      <c r="A507" t="s">
        <v>4200</v>
      </c>
      <c r="B507" t="s">
        <v>793</v>
      </c>
      <c r="C507" t="s">
        <v>29</v>
      </c>
      <c r="D507" t="str">
        <f>HYPERLINK("http://service.sap.com/sap/support/notes/1700143","1700143")</f>
        <v>1700143</v>
      </c>
      <c r="E507">
        <v>4</v>
      </c>
      <c r="F507" t="s">
        <v>797</v>
      </c>
    </row>
    <row r="508" spans="1:6" x14ac:dyDescent="0.25">
      <c r="A508" t="s">
        <v>4200</v>
      </c>
      <c r="B508" t="s">
        <v>793</v>
      </c>
      <c r="C508" t="s">
        <v>29</v>
      </c>
      <c r="D508" t="str">
        <f>HYPERLINK("http://service.sap.com/sap/support/notes/1711814","1711814")</f>
        <v>1711814</v>
      </c>
      <c r="E508">
        <v>1</v>
      </c>
      <c r="F508" t="s">
        <v>798</v>
      </c>
    </row>
    <row r="509" spans="1:6" x14ac:dyDescent="0.25">
      <c r="A509" t="s">
        <v>4200</v>
      </c>
      <c r="B509" t="s">
        <v>793</v>
      </c>
      <c r="C509" t="s">
        <v>29</v>
      </c>
      <c r="D509" t="str">
        <f>HYPERLINK("http://service.sap.com/sap/support/notes/1717330","1717330")</f>
        <v>1717330</v>
      </c>
      <c r="E509">
        <v>1</v>
      </c>
      <c r="F509" t="s">
        <v>799</v>
      </c>
    </row>
    <row r="510" spans="1:6" x14ac:dyDescent="0.25">
      <c r="A510" t="s">
        <v>4200</v>
      </c>
      <c r="B510" t="s">
        <v>793</v>
      </c>
      <c r="C510" t="s">
        <v>29</v>
      </c>
      <c r="D510" t="str">
        <f>HYPERLINK("http://service.sap.com/sap/support/notes/1718066","1718066")</f>
        <v>1718066</v>
      </c>
      <c r="E510">
        <v>1</v>
      </c>
      <c r="F510" t="s">
        <v>800</v>
      </c>
    </row>
    <row r="511" spans="1:6" x14ac:dyDescent="0.25">
      <c r="A511" t="s">
        <v>4200</v>
      </c>
      <c r="B511" t="s">
        <v>793</v>
      </c>
      <c r="C511" t="s">
        <v>29</v>
      </c>
      <c r="D511" t="str">
        <f>HYPERLINK("http://service.sap.com/sap/support/notes/1723042","1723042")</f>
        <v>1723042</v>
      </c>
      <c r="E511">
        <v>1</v>
      </c>
      <c r="F511" t="s">
        <v>801</v>
      </c>
    </row>
    <row r="512" spans="1:6" x14ac:dyDescent="0.25">
      <c r="A512" t="s">
        <v>4200</v>
      </c>
      <c r="B512" t="s">
        <v>793</v>
      </c>
      <c r="C512" t="s">
        <v>29</v>
      </c>
      <c r="D512" t="str">
        <f>HYPERLINK("http://service.sap.com/sap/support/notes/1729781","1729781")</f>
        <v>1729781</v>
      </c>
      <c r="E512">
        <v>1</v>
      </c>
      <c r="F512" t="s">
        <v>802</v>
      </c>
    </row>
    <row r="513" spans="1:6" x14ac:dyDescent="0.25">
      <c r="A513" t="s">
        <v>4200</v>
      </c>
      <c r="B513" t="s">
        <v>793</v>
      </c>
      <c r="C513" t="s">
        <v>29</v>
      </c>
      <c r="D513" t="str">
        <f>HYPERLINK("http://service.sap.com/sap/support/notes/1737443","1737443")</f>
        <v>1737443</v>
      </c>
      <c r="E513">
        <v>1</v>
      </c>
      <c r="F513" t="s">
        <v>803</v>
      </c>
    </row>
    <row r="514" spans="1:6" x14ac:dyDescent="0.25">
      <c r="A514" t="s">
        <v>4200</v>
      </c>
      <c r="B514" t="s">
        <v>793</v>
      </c>
      <c r="C514" t="s">
        <v>29</v>
      </c>
      <c r="D514" t="str">
        <f>HYPERLINK("http://service.sap.com/sap/support/notes/1744070","1744070")</f>
        <v>1744070</v>
      </c>
      <c r="E514">
        <v>1</v>
      </c>
      <c r="F514" t="s">
        <v>804</v>
      </c>
    </row>
    <row r="515" spans="1:6" x14ac:dyDescent="0.25">
      <c r="A515" t="s">
        <v>4200</v>
      </c>
      <c r="B515" t="s">
        <v>805</v>
      </c>
      <c r="C515" t="s">
        <v>806</v>
      </c>
      <c r="D515" t="str">
        <f>HYPERLINK("http://service.sap.com/sap/support/notes/1648165","1648165")</f>
        <v>1648165</v>
      </c>
      <c r="E515">
        <v>1</v>
      </c>
      <c r="F515" t="s">
        <v>807</v>
      </c>
    </row>
    <row r="516" spans="1:6" x14ac:dyDescent="0.25">
      <c r="A516" t="s">
        <v>4200</v>
      </c>
      <c r="B516" t="s">
        <v>805</v>
      </c>
      <c r="C516" t="s">
        <v>806</v>
      </c>
      <c r="D516" t="str">
        <f>HYPERLINK("http://service.sap.com/sap/support/notes/1722096","1722096")</f>
        <v>1722096</v>
      </c>
      <c r="E516">
        <v>2</v>
      </c>
      <c r="F516" t="s">
        <v>808</v>
      </c>
    </row>
    <row r="517" spans="1:6" x14ac:dyDescent="0.25">
      <c r="A517" t="s">
        <v>4200</v>
      </c>
      <c r="B517" t="s">
        <v>809</v>
      </c>
      <c r="C517" t="s">
        <v>810</v>
      </c>
      <c r="D517" t="str">
        <f>HYPERLINK("http://service.sap.com/sap/support/notes/1694304","1694304")</f>
        <v>1694304</v>
      </c>
      <c r="E517">
        <v>1</v>
      </c>
      <c r="F517" t="s">
        <v>811</v>
      </c>
    </row>
    <row r="518" spans="1:6" x14ac:dyDescent="0.25">
      <c r="A518" t="s">
        <v>4200</v>
      </c>
      <c r="B518" t="s">
        <v>809</v>
      </c>
      <c r="C518" t="s">
        <v>810</v>
      </c>
      <c r="D518" t="str">
        <f>HYPERLINK("http://service.sap.com/sap/support/notes/1703345","1703345")</f>
        <v>1703345</v>
      </c>
      <c r="E518">
        <v>1</v>
      </c>
      <c r="F518" t="s">
        <v>812</v>
      </c>
    </row>
    <row r="519" spans="1:6" x14ac:dyDescent="0.25">
      <c r="A519" t="s">
        <v>4200</v>
      </c>
      <c r="B519" t="s">
        <v>809</v>
      </c>
      <c r="C519" t="s">
        <v>810</v>
      </c>
      <c r="D519" t="str">
        <f>HYPERLINK("http://service.sap.com/sap/support/notes/1725408","1725408")</f>
        <v>1725408</v>
      </c>
      <c r="E519">
        <v>1</v>
      </c>
      <c r="F519" t="s">
        <v>813</v>
      </c>
    </row>
    <row r="520" spans="1:6" x14ac:dyDescent="0.25">
      <c r="A520" t="s">
        <v>4200</v>
      </c>
      <c r="B520" t="s">
        <v>809</v>
      </c>
      <c r="C520" t="s">
        <v>810</v>
      </c>
      <c r="D520" t="str">
        <f>HYPERLINK("http://service.sap.com/sap/support/notes/1743407","1743407")</f>
        <v>1743407</v>
      </c>
      <c r="E520">
        <v>1</v>
      </c>
      <c r="F520" t="s">
        <v>814</v>
      </c>
    </row>
    <row r="521" spans="1:6" x14ac:dyDescent="0.25">
      <c r="A521" t="s">
        <v>4200</v>
      </c>
      <c r="B521" t="s">
        <v>815</v>
      </c>
      <c r="C521" t="s">
        <v>816</v>
      </c>
      <c r="D521" t="str">
        <f>HYPERLINK("http://service.sap.com/sap/support/notes/1729494","1729494")</f>
        <v>1729494</v>
      </c>
      <c r="E521">
        <v>1</v>
      </c>
      <c r="F521" t="s">
        <v>817</v>
      </c>
    </row>
    <row r="522" spans="1:6" x14ac:dyDescent="0.25">
      <c r="A522" t="s">
        <v>4200</v>
      </c>
      <c r="B522" t="s">
        <v>815</v>
      </c>
      <c r="C522" t="s">
        <v>816</v>
      </c>
      <c r="D522" t="str">
        <f>HYPERLINK("http://service.sap.com/sap/support/notes/1743399","1743399")</f>
        <v>1743399</v>
      </c>
      <c r="E522">
        <v>1</v>
      </c>
      <c r="F522" t="s">
        <v>818</v>
      </c>
    </row>
    <row r="523" spans="1:6" x14ac:dyDescent="0.25">
      <c r="A523" t="s">
        <v>4200</v>
      </c>
      <c r="B523" t="s">
        <v>819</v>
      </c>
      <c r="C523" t="s">
        <v>820</v>
      </c>
      <c r="D523" t="str">
        <f>HYPERLINK("http://service.sap.com/sap/support/notes/1700882","1700882")</f>
        <v>1700882</v>
      </c>
      <c r="E523">
        <v>2</v>
      </c>
      <c r="F523" t="s">
        <v>821</v>
      </c>
    </row>
    <row r="524" spans="1:6" x14ac:dyDescent="0.25">
      <c r="A524" t="s">
        <v>4200</v>
      </c>
      <c r="B524" t="s">
        <v>819</v>
      </c>
      <c r="C524" t="s">
        <v>820</v>
      </c>
      <c r="D524" t="str">
        <f>HYPERLINK("http://service.sap.com/sap/support/notes/1723737","1723737")</f>
        <v>1723737</v>
      </c>
      <c r="E524">
        <v>1</v>
      </c>
      <c r="F524" t="s">
        <v>822</v>
      </c>
    </row>
    <row r="525" spans="1:6" x14ac:dyDescent="0.25">
      <c r="A525" t="s">
        <v>4200</v>
      </c>
      <c r="B525" t="s">
        <v>823</v>
      </c>
      <c r="C525" t="s">
        <v>824</v>
      </c>
      <c r="D525" t="str">
        <f>HYPERLINK("http://service.sap.com/sap/support/notes/1713998","1713998")</f>
        <v>1713998</v>
      </c>
      <c r="E525">
        <v>1</v>
      </c>
      <c r="F525" t="s">
        <v>825</v>
      </c>
    </row>
    <row r="526" spans="1:6" x14ac:dyDescent="0.25">
      <c r="A526" t="s">
        <v>4200</v>
      </c>
      <c r="B526" t="s">
        <v>823</v>
      </c>
      <c r="C526" t="s">
        <v>824</v>
      </c>
      <c r="D526" t="str">
        <f>HYPERLINK("http://service.sap.com/sap/support/notes/1718321","1718321")</f>
        <v>1718321</v>
      </c>
      <c r="E526">
        <v>1</v>
      </c>
      <c r="F526" t="s">
        <v>826</v>
      </c>
    </row>
    <row r="527" spans="1:6" x14ac:dyDescent="0.25">
      <c r="A527" t="s">
        <v>4200</v>
      </c>
      <c r="B527" t="s">
        <v>823</v>
      </c>
      <c r="C527" t="s">
        <v>824</v>
      </c>
      <c r="D527" t="str">
        <f>HYPERLINK("http://service.sap.com/sap/support/notes/1721943","1721943")</f>
        <v>1721943</v>
      </c>
      <c r="E527">
        <v>1</v>
      </c>
      <c r="F527" t="s">
        <v>827</v>
      </c>
    </row>
    <row r="528" spans="1:6" x14ac:dyDescent="0.25">
      <c r="A528" t="s">
        <v>4200</v>
      </c>
      <c r="B528" t="s">
        <v>823</v>
      </c>
      <c r="C528" t="s">
        <v>824</v>
      </c>
      <c r="D528" t="str">
        <f>HYPERLINK("http://service.sap.com/sap/support/notes/1759210","1759210")</f>
        <v>1759210</v>
      </c>
      <c r="E528">
        <v>3</v>
      </c>
      <c r="F528" t="s">
        <v>828</v>
      </c>
    </row>
    <row r="529" spans="1:6" x14ac:dyDescent="0.25">
      <c r="A529" t="s">
        <v>4200</v>
      </c>
      <c r="B529" t="s">
        <v>823</v>
      </c>
      <c r="C529" t="s">
        <v>824</v>
      </c>
      <c r="D529" t="str">
        <f>HYPERLINK("http://service.sap.com/sap/support/notes/1762848","1762848")</f>
        <v>1762848</v>
      </c>
      <c r="E529">
        <v>2</v>
      </c>
      <c r="F529" t="s">
        <v>829</v>
      </c>
    </row>
    <row r="530" spans="1:6" x14ac:dyDescent="0.25">
      <c r="A530" t="s">
        <v>4200</v>
      </c>
      <c r="B530" t="s">
        <v>830</v>
      </c>
      <c r="C530" t="s">
        <v>831</v>
      </c>
      <c r="D530" t="str">
        <f>HYPERLINK("http://service.sap.com/sap/support/notes/1730651","1730651")</f>
        <v>1730651</v>
      </c>
      <c r="E530">
        <v>1</v>
      </c>
      <c r="F530" t="s">
        <v>832</v>
      </c>
    </row>
    <row r="531" spans="1:6" x14ac:dyDescent="0.25">
      <c r="A531" t="s">
        <v>4200</v>
      </c>
      <c r="B531" t="s">
        <v>830</v>
      </c>
      <c r="C531" t="s">
        <v>831</v>
      </c>
      <c r="D531" t="str">
        <f>HYPERLINK("http://service.sap.com/sap/support/notes/1738831","1738831")</f>
        <v>1738831</v>
      </c>
      <c r="E531">
        <v>1</v>
      </c>
      <c r="F531" t="s">
        <v>833</v>
      </c>
    </row>
    <row r="532" spans="1:6" x14ac:dyDescent="0.25">
      <c r="A532" t="s">
        <v>4200</v>
      </c>
      <c r="B532" t="s">
        <v>834</v>
      </c>
      <c r="C532" t="s">
        <v>151</v>
      </c>
      <c r="D532" t="str">
        <f>HYPERLINK("http://service.sap.com/sap/support/notes/1718889","1718889")</f>
        <v>1718889</v>
      </c>
      <c r="E532">
        <v>2</v>
      </c>
      <c r="F532" t="s">
        <v>835</v>
      </c>
    </row>
    <row r="533" spans="1:6" x14ac:dyDescent="0.25">
      <c r="A533" t="s">
        <v>4200</v>
      </c>
      <c r="B533" t="s">
        <v>834</v>
      </c>
      <c r="C533" t="s">
        <v>151</v>
      </c>
      <c r="D533" t="str">
        <f>HYPERLINK("http://service.sap.com/sap/support/notes/1745901","1745901")</f>
        <v>1745901</v>
      </c>
      <c r="E533">
        <v>1</v>
      </c>
      <c r="F533" t="s">
        <v>836</v>
      </c>
    </row>
    <row r="534" spans="1:6" x14ac:dyDescent="0.25">
      <c r="A534" t="s">
        <v>4200</v>
      </c>
      <c r="B534" t="s">
        <v>834</v>
      </c>
      <c r="C534" t="s">
        <v>151</v>
      </c>
      <c r="D534" t="str">
        <f>HYPERLINK("http://service.sap.com/sap/support/notes/1764044","1764044")</f>
        <v>1764044</v>
      </c>
      <c r="E534">
        <v>1</v>
      </c>
      <c r="F534" t="s">
        <v>837</v>
      </c>
    </row>
    <row r="535" spans="1:6" x14ac:dyDescent="0.25">
      <c r="A535" t="s">
        <v>4200</v>
      </c>
      <c r="B535" t="s">
        <v>838</v>
      </c>
      <c r="C535" t="s">
        <v>839</v>
      </c>
      <c r="D535" t="str">
        <f>HYPERLINK("http://service.sap.com/sap/support/notes/832822","832822")</f>
        <v>832822</v>
      </c>
      <c r="E535">
        <v>9</v>
      </c>
      <c r="F535" t="s">
        <v>840</v>
      </c>
    </row>
    <row r="536" spans="1:6" x14ac:dyDescent="0.25">
      <c r="A536" t="s">
        <v>4200</v>
      </c>
      <c r="B536" t="s">
        <v>838</v>
      </c>
      <c r="C536" t="s">
        <v>839</v>
      </c>
      <c r="D536" t="str">
        <f>HYPERLINK("http://service.sap.com/sap/support/notes/1714878","1714878")</f>
        <v>1714878</v>
      </c>
      <c r="E536">
        <v>1</v>
      </c>
      <c r="F536" t="s">
        <v>841</v>
      </c>
    </row>
    <row r="537" spans="1:6" x14ac:dyDescent="0.25">
      <c r="A537" t="s">
        <v>4200</v>
      </c>
      <c r="B537" t="s">
        <v>838</v>
      </c>
      <c r="C537" t="s">
        <v>839</v>
      </c>
      <c r="D537" t="str">
        <f>HYPERLINK("http://service.sap.com/sap/support/notes/1724707","1724707")</f>
        <v>1724707</v>
      </c>
      <c r="E537">
        <v>1</v>
      </c>
      <c r="F537" t="s">
        <v>842</v>
      </c>
    </row>
    <row r="538" spans="1:6" x14ac:dyDescent="0.25">
      <c r="A538" t="s">
        <v>4200</v>
      </c>
      <c r="B538" t="s">
        <v>838</v>
      </c>
      <c r="C538" t="s">
        <v>839</v>
      </c>
      <c r="D538" t="str">
        <f>HYPERLINK("http://service.sap.com/sap/support/notes/1739662","1739662")</f>
        <v>1739662</v>
      </c>
      <c r="E538">
        <v>1</v>
      </c>
      <c r="F538" t="s">
        <v>843</v>
      </c>
    </row>
    <row r="539" spans="1:6" x14ac:dyDescent="0.25">
      <c r="A539" t="s">
        <v>4200</v>
      </c>
      <c r="B539" t="s">
        <v>838</v>
      </c>
      <c r="C539" t="s">
        <v>839</v>
      </c>
      <c r="D539" t="str">
        <f>HYPERLINK("http://service.sap.com/sap/support/notes/1742955","1742955")</f>
        <v>1742955</v>
      </c>
      <c r="E539">
        <v>2</v>
      </c>
      <c r="F539" t="s">
        <v>844</v>
      </c>
    </row>
    <row r="540" spans="1:6" x14ac:dyDescent="0.25">
      <c r="A540" t="s">
        <v>4200</v>
      </c>
      <c r="B540" t="s">
        <v>838</v>
      </c>
      <c r="C540" t="s">
        <v>839</v>
      </c>
      <c r="D540" t="str">
        <f>HYPERLINK("http://service.sap.com/sap/support/notes/1745412","1745412")</f>
        <v>1745412</v>
      </c>
      <c r="E540">
        <v>1</v>
      </c>
      <c r="F540" t="s">
        <v>845</v>
      </c>
    </row>
    <row r="541" spans="1:6" x14ac:dyDescent="0.25">
      <c r="A541" t="s">
        <v>4200</v>
      </c>
      <c r="B541" t="s">
        <v>838</v>
      </c>
      <c r="C541" t="s">
        <v>839</v>
      </c>
      <c r="D541" t="str">
        <f>HYPERLINK("http://service.sap.com/sap/support/notes/1756107","1756107")</f>
        <v>1756107</v>
      </c>
      <c r="E541">
        <v>1</v>
      </c>
      <c r="F541" t="s">
        <v>846</v>
      </c>
    </row>
    <row r="542" spans="1:6" x14ac:dyDescent="0.25">
      <c r="A542" t="s">
        <v>4200</v>
      </c>
      <c r="B542" t="s">
        <v>847</v>
      </c>
      <c r="C542" t="s">
        <v>848</v>
      </c>
      <c r="D542" t="str">
        <f>HYPERLINK("http://service.sap.com/sap/support/notes/1640111","1640111")</f>
        <v>1640111</v>
      </c>
      <c r="E542">
        <v>2</v>
      </c>
      <c r="F542" t="s">
        <v>849</v>
      </c>
    </row>
    <row r="543" spans="1:6" x14ac:dyDescent="0.25">
      <c r="A543" t="s">
        <v>4200</v>
      </c>
      <c r="B543" t="s">
        <v>847</v>
      </c>
      <c r="C543" t="s">
        <v>848</v>
      </c>
      <c r="D543" t="str">
        <f>HYPERLINK("http://service.sap.com/sap/support/notes/1706343","1706343")</f>
        <v>1706343</v>
      </c>
      <c r="E543">
        <v>1</v>
      </c>
      <c r="F543" t="s">
        <v>850</v>
      </c>
    </row>
    <row r="544" spans="1:6" x14ac:dyDescent="0.25">
      <c r="A544" t="s">
        <v>4200</v>
      </c>
      <c r="B544" t="s">
        <v>847</v>
      </c>
      <c r="C544" t="s">
        <v>848</v>
      </c>
      <c r="D544" t="str">
        <f>HYPERLINK("http://service.sap.com/sap/support/notes/1710337","1710337")</f>
        <v>1710337</v>
      </c>
      <c r="E544">
        <v>4</v>
      </c>
      <c r="F544" t="s">
        <v>851</v>
      </c>
    </row>
    <row r="545" spans="1:6" x14ac:dyDescent="0.25">
      <c r="A545" t="s">
        <v>4200</v>
      </c>
      <c r="B545" t="s">
        <v>847</v>
      </c>
      <c r="C545" t="s">
        <v>848</v>
      </c>
      <c r="D545" t="str">
        <f>HYPERLINK("http://service.sap.com/sap/support/notes/1713540","1713540")</f>
        <v>1713540</v>
      </c>
      <c r="E545">
        <v>1</v>
      </c>
      <c r="F545" t="s">
        <v>852</v>
      </c>
    </row>
    <row r="546" spans="1:6" x14ac:dyDescent="0.25">
      <c r="A546" t="s">
        <v>4200</v>
      </c>
      <c r="B546" t="s">
        <v>847</v>
      </c>
      <c r="C546" t="s">
        <v>848</v>
      </c>
      <c r="D546" t="str">
        <f>HYPERLINK("http://service.sap.com/sap/support/notes/1720626","1720626")</f>
        <v>1720626</v>
      </c>
      <c r="E546">
        <v>3</v>
      </c>
      <c r="F546" t="s">
        <v>853</v>
      </c>
    </row>
    <row r="547" spans="1:6" x14ac:dyDescent="0.25">
      <c r="A547" t="s">
        <v>4200</v>
      </c>
      <c r="B547" t="s">
        <v>847</v>
      </c>
      <c r="C547" t="s">
        <v>848</v>
      </c>
      <c r="D547" t="str">
        <f>HYPERLINK("http://service.sap.com/sap/support/notes/1721136","1721136")</f>
        <v>1721136</v>
      </c>
      <c r="E547">
        <v>2</v>
      </c>
      <c r="F547" t="s">
        <v>854</v>
      </c>
    </row>
    <row r="548" spans="1:6" x14ac:dyDescent="0.25">
      <c r="A548" t="s">
        <v>4200</v>
      </c>
      <c r="B548" t="s">
        <v>847</v>
      </c>
      <c r="C548" t="s">
        <v>848</v>
      </c>
      <c r="D548" t="str">
        <f>HYPERLINK("http://service.sap.com/sap/support/notes/1725028","1725028")</f>
        <v>1725028</v>
      </c>
      <c r="E548">
        <v>2</v>
      </c>
      <c r="F548" t="s">
        <v>855</v>
      </c>
    </row>
    <row r="549" spans="1:6" x14ac:dyDescent="0.25">
      <c r="A549" t="s">
        <v>4200</v>
      </c>
      <c r="B549" t="s">
        <v>847</v>
      </c>
      <c r="C549" t="s">
        <v>848</v>
      </c>
      <c r="D549" t="str">
        <f>HYPERLINK("http://service.sap.com/sap/support/notes/1725031","1725031")</f>
        <v>1725031</v>
      </c>
      <c r="E549">
        <v>2</v>
      </c>
      <c r="F549" t="s">
        <v>856</v>
      </c>
    </row>
    <row r="550" spans="1:6" x14ac:dyDescent="0.25">
      <c r="A550" t="s">
        <v>4200</v>
      </c>
      <c r="B550" t="s">
        <v>847</v>
      </c>
      <c r="C550" t="s">
        <v>848</v>
      </c>
      <c r="D550" t="str">
        <f>HYPERLINK("http://service.sap.com/sap/support/notes/1728393","1728393")</f>
        <v>1728393</v>
      </c>
      <c r="E550">
        <v>1</v>
      </c>
      <c r="F550" t="s">
        <v>857</v>
      </c>
    </row>
    <row r="551" spans="1:6" x14ac:dyDescent="0.25">
      <c r="A551" t="s">
        <v>4200</v>
      </c>
      <c r="B551" t="s">
        <v>847</v>
      </c>
      <c r="C551" t="s">
        <v>848</v>
      </c>
      <c r="D551" t="str">
        <f>HYPERLINK("http://service.sap.com/sap/support/notes/1729552","1729552")</f>
        <v>1729552</v>
      </c>
      <c r="E551">
        <v>1</v>
      </c>
      <c r="F551" t="s">
        <v>858</v>
      </c>
    </row>
    <row r="552" spans="1:6" x14ac:dyDescent="0.25">
      <c r="A552" t="s">
        <v>4200</v>
      </c>
      <c r="B552" t="s">
        <v>847</v>
      </c>
      <c r="C552" t="s">
        <v>848</v>
      </c>
      <c r="D552" t="str">
        <f>HYPERLINK("http://service.sap.com/sap/support/notes/1730202","1730202")</f>
        <v>1730202</v>
      </c>
      <c r="E552">
        <v>1</v>
      </c>
      <c r="F552" t="s">
        <v>859</v>
      </c>
    </row>
    <row r="553" spans="1:6" x14ac:dyDescent="0.25">
      <c r="A553" t="s">
        <v>4200</v>
      </c>
      <c r="B553" t="s">
        <v>847</v>
      </c>
      <c r="C553" t="s">
        <v>848</v>
      </c>
      <c r="D553" t="str">
        <f>HYPERLINK("http://service.sap.com/sap/support/notes/1742208","1742208")</f>
        <v>1742208</v>
      </c>
      <c r="E553">
        <v>5</v>
      </c>
      <c r="F553" t="s">
        <v>860</v>
      </c>
    </row>
    <row r="554" spans="1:6" x14ac:dyDescent="0.25">
      <c r="A554" t="s">
        <v>4200</v>
      </c>
      <c r="B554" t="s">
        <v>847</v>
      </c>
      <c r="C554" t="s">
        <v>848</v>
      </c>
      <c r="D554" t="str">
        <f>HYPERLINK("http://service.sap.com/sap/support/notes/1743825","1743825")</f>
        <v>1743825</v>
      </c>
      <c r="E554">
        <v>3</v>
      </c>
      <c r="F554" t="s">
        <v>861</v>
      </c>
    </row>
    <row r="555" spans="1:6" x14ac:dyDescent="0.25">
      <c r="A555" t="s">
        <v>4200</v>
      </c>
      <c r="B555" t="s">
        <v>847</v>
      </c>
      <c r="C555" t="s">
        <v>848</v>
      </c>
      <c r="D555" t="str">
        <f>HYPERLINK("http://service.sap.com/sap/support/notes/1745190","1745190")</f>
        <v>1745190</v>
      </c>
      <c r="E555">
        <v>1</v>
      </c>
      <c r="F555" t="s">
        <v>862</v>
      </c>
    </row>
    <row r="556" spans="1:6" x14ac:dyDescent="0.25">
      <c r="A556" t="s">
        <v>4200</v>
      </c>
      <c r="B556" t="s">
        <v>847</v>
      </c>
      <c r="C556" t="s">
        <v>848</v>
      </c>
      <c r="D556" t="str">
        <f>HYPERLINK("http://service.sap.com/sap/support/notes/1748796","1748796")</f>
        <v>1748796</v>
      </c>
      <c r="E556">
        <v>1</v>
      </c>
      <c r="F556" t="s">
        <v>863</v>
      </c>
    </row>
    <row r="557" spans="1:6" x14ac:dyDescent="0.25">
      <c r="A557" t="s">
        <v>4200</v>
      </c>
      <c r="B557" t="s">
        <v>847</v>
      </c>
      <c r="C557" t="s">
        <v>848</v>
      </c>
      <c r="D557" t="str">
        <f>HYPERLINK("http://service.sap.com/sap/support/notes/1753293","1753293")</f>
        <v>1753293</v>
      </c>
      <c r="E557">
        <v>1</v>
      </c>
      <c r="F557" t="s">
        <v>864</v>
      </c>
    </row>
    <row r="558" spans="1:6" x14ac:dyDescent="0.25">
      <c r="A558" t="s">
        <v>4200</v>
      </c>
      <c r="B558" t="s">
        <v>847</v>
      </c>
      <c r="C558" t="s">
        <v>848</v>
      </c>
      <c r="D558" t="str">
        <f>HYPERLINK("http://service.sap.com/sap/support/notes/1753885","1753885")</f>
        <v>1753885</v>
      </c>
      <c r="E558">
        <v>6</v>
      </c>
      <c r="F558" t="s">
        <v>865</v>
      </c>
    </row>
    <row r="559" spans="1:6" x14ac:dyDescent="0.25">
      <c r="A559" t="s">
        <v>4200</v>
      </c>
      <c r="B559" t="s">
        <v>847</v>
      </c>
      <c r="C559" t="s">
        <v>848</v>
      </c>
      <c r="D559" t="str">
        <f>HYPERLINK("http://service.sap.com/sap/support/notes/1760992","1760992")</f>
        <v>1760992</v>
      </c>
      <c r="E559">
        <v>1</v>
      </c>
      <c r="F559" t="s">
        <v>866</v>
      </c>
    </row>
    <row r="560" spans="1:6" x14ac:dyDescent="0.25">
      <c r="A560" t="s">
        <v>4200</v>
      </c>
      <c r="B560" t="s">
        <v>847</v>
      </c>
      <c r="C560" t="s">
        <v>848</v>
      </c>
      <c r="D560" t="str">
        <f>HYPERLINK("http://service.sap.com/sap/support/notes/1762377","1762377")</f>
        <v>1762377</v>
      </c>
      <c r="E560">
        <v>1</v>
      </c>
      <c r="F560" t="s">
        <v>867</v>
      </c>
    </row>
    <row r="561" spans="1:6" x14ac:dyDescent="0.25">
      <c r="A561" t="s">
        <v>4200</v>
      </c>
      <c r="B561" t="s">
        <v>868</v>
      </c>
      <c r="C561" t="s">
        <v>869</v>
      </c>
      <c r="D561" t="str">
        <f>HYPERLINK("http://service.sap.com/sap/support/notes/1689760","1689760")</f>
        <v>1689760</v>
      </c>
      <c r="E561">
        <v>1</v>
      </c>
      <c r="F561" t="s">
        <v>870</v>
      </c>
    </row>
    <row r="562" spans="1:6" x14ac:dyDescent="0.25">
      <c r="A562" t="s">
        <v>4200</v>
      </c>
      <c r="B562" t="s">
        <v>868</v>
      </c>
      <c r="C562" t="s">
        <v>869</v>
      </c>
      <c r="D562" t="str">
        <f>HYPERLINK("http://service.sap.com/sap/support/notes/1719542","1719542")</f>
        <v>1719542</v>
      </c>
      <c r="E562">
        <v>2</v>
      </c>
      <c r="F562" t="s">
        <v>871</v>
      </c>
    </row>
    <row r="563" spans="1:6" x14ac:dyDescent="0.25">
      <c r="A563" t="s">
        <v>4200</v>
      </c>
      <c r="B563" t="s">
        <v>868</v>
      </c>
      <c r="C563" t="s">
        <v>869</v>
      </c>
      <c r="D563" t="str">
        <f>HYPERLINK("http://service.sap.com/sap/support/notes/1721344","1721344")</f>
        <v>1721344</v>
      </c>
      <c r="E563">
        <v>1</v>
      </c>
      <c r="F563" t="s">
        <v>872</v>
      </c>
    </row>
    <row r="564" spans="1:6" x14ac:dyDescent="0.25">
      <c r="A564" t="s">
        <v>4200</v>
      </c>
      <c r="B564" t="s">
        <v>868</v>
      </c>
      <c r="C564" t="s">
        <v>869</v>
      </c>
      <c r="D564" t="str">
        <f>HYPERLINK("http://service.sap.com/sap/support/notes/1722469","1722469")</f>
        <v>1722469</v>
      </c>
      <c r="E564">
        <v>1</v>
      </c>
      <c r="F564" t="s">
        <v>873</v>
      </c>
    </row>
    <row r="565" spans="1:6" x14ac:dyDescent="0.25">
      <c r="A565" t="s">
        <v>4200</v>
      </c>
      <c r="B565" t="s">
        <v>868</v>
      </c>
      <c r="C565" t="s">
        <v>869</v>
      </c>
      <c r="D565" t="str">
        <f>HYPERLINK("http://service.sap.com/sap/support/notes/1727511","1727511")</f>
        <v>1727511</v>
      </c>
      <c r="E565">
        <v>1</v>
      </c>
      <c r="F565" t="s">
        <v>874</v>
      </c>
    </row>
    <row r="566" spans="1:6" x14ac:dyDescent="0.25">
      <c r="A566" t="s">
        <v>4200</v>
      </c>
      <c r="B566" t="s">
        <v>868</v>
      </c>
      <c r="C566" t="s">
        <v>869</v>
      </c>
      <c r="D566" t="str">
        <f>HYPERLINK("http://service.sap.com/sap/support/notes/1736209","1736209")</f>
        <v>1736209</v>
      </c>
      <c r="E566">
        <v>1</v>
      </c>
      <c r="F566" t="s">
        <v>875</v>
      </c>
    </row>
    <row r="567" spans="1:6" x14ac:dyDescent="0.25">
      <c r="A567" t="s">
        <v>4200</v>
      </c>
      <c r="B567" t="s">
        <v>868</v>
      </c>
      <c r="C567" t="s">
        <v>869</v>
      </c>
      <c r="D567" t="str">
        <f>HYPERLINK("http://service.sap.com/sap/support/notes/1738388","1738388")</f>
        <v>1738388</v>
      </c>
      <c r="E567">
        <v>1</v>
      </c>
      <c r="F567" t="s">
        <v>876</v>
      </c>
    </row>
    <row r="568" spans="1:6" x14ac:dyDescent="0.25">
      <c r="A568" t="s">
        <v>4200</v>
      </c>
      <c r="B568" t="s">
        <v>868</v>
      </c>
      <c r="C568" t="s">
        <v>869</v>
      </c>
      <c r="D568" t="str">
        <f>HYPERLINK("http://service.sap.com/sap/support/notes/1740152","1740152")</f>
        <v>1740152</v>
      </c>
      <c r="E568">
        <v>1</v>
      </c>
      <c r="F568" t="s">
        <v>877</v>
      </c>
    </row>
    <row r="569" spans="1:6" x14ac:dyDescent="0.25">
      <c r="A569" t="s">
        <v>4200</v>
      </c>
      <c r="B569" t="s">
        <v>868</v>
      </c>
      <c r="C569" t="s">
        <v>869</v>
      </c>
      <c r="D569" t="str">
        <f>HYPERLINK("http://service.sap.com/sap/support/notes/1740223","1740223")</f>
        <v>1740223</v>
      </c>
      <c r="E569">
        <v>1</v>
      </c>
      <c r="F569" t="s">
        <v>878</v>
      </c>
    </row>
    <row r="570" spans="1:6" x14ac:dyDescent="0.25">
      <c r="A570" t="s">
        <v>4200</v>
      </c>
      <c r="B570" t="s">
        <v>868</v>
      </c>
      <c r="C570" t="s">
        <v>869</v>
      </c>
      <c r="D570" t="str">
        <f>HYPERLINK("http://service.sap.com/sap/support/notes/1741124","1741124")</f>
        <v>1741124</v>
      </c>
      <c r="E570">
        <v>2</v>
      </c>
      <c r="F570" t="s">
        <v>879</v>
      </c>
    </row>
    <row r="571" spans="1:6" x14ac:dyDescent="0.25">
      <c r="A571" t="s">
        <v>4200</v>
      </c>
      <c r="B571" t="s">
        <v>868</v>
      </c>
      <c r="C571" t="s">
        <v>869</v>
      </c>
      <c r="D571" t="str">
        <f>HYPERLINK("http://service.sap.com/sap/support/notes/1747062","1747062")</f>
        <v>1747062</v>
      </c>
      <c r="E571">
        <v>1</v>
      </c>
      <c r="F571" t="s">
        <v>880</v>
      </c>
    </row>
    <row r="572" spans="1:6" x14ac:dyDescent="0.25">
      <c r="A572" t="s">
        <v>4200</v>
      </c>
      <c r="B572" t="s">
        <v>868</v>
      </c>
      <c r="C572" t="s">
        <v>869</v>
      </c>
      <c r="D572" t="str">
        <f>HYPERLINK("http://service.sap.com/sap/support/notes/1749797","1749797")</f>
        <v>1749797</v>
      </c>
      <c r="E572">
        <v>1</v>
      </c>
      <c r="F572" t="s">
        <v>881</v>
      </c>
    </row>
    <row r="573" spans="1:6" x14ac:dyDescent="0.25">
      <c r="A573" t="s">
        <v>4200</v>
      </c>
      <c r="B573" t="s">
        <v>882</v>
      </c>
      <c r="C573" t="s">
        <v>883</v>
      </c>
      <c r="D573" t="str">
        <f>HYPERLINK("http://service.sap.com/sap/support/notes/1755648","1755648")</f>
        <v>1755648</v>
      </c>
      <c r="E573">
        <v>1</v>
      </c>
      <c r="F573" t="s">
        <v>884</v>
      </c>
    </row>
    <row r="574" spans="1:6" x14ac:dyDescent="0.25">
      <c r="A574" t="s">
        <v>4200</v>
      </c>
      <c r="B574" t="s">
        <v>882</v>
      </c>
      <c r="C574" t="s">
        <v>883</v>
      </c>
      <c r="D574" t="str">
        <f>HYPERLINK("http://service.sap.com/sap/support/notes/1762141","1762141")</f>
        <v>1762141</v>
      </c>
      <c r="E574">
        <v>1</v>
      </c>
      <c r="F574" t="s">
        <v>885</v>
      </c>
    </row>
    <row r="575" spans="1:6" x14ac:dyDescent="0.25">
      <c r="A575" t="s">
        <v>4200</v>
      </c>
      <c r="B575" t="s">
        <v>886</v>
      </c>
      <c r="C575" t="s">
        <v>887</v>
      </c>
      <c r="D575" t="str">
        <f>HYPERLINK("http://service.sap.com/sap/support/notes/1740473","1740473")</f>
        <v>1740473</v>
      </c>
      <c r="E575">
        <v>1</v>
      </c>
      <c r="F575" t="s">
        <v>888</v>
      </c>
    </row>
    <row r="576" spans="1:6" x14ac:dyDescent="0.25">
      <c r="A576" t="s">
        <v>4200</v>
      </c>
      <c r="B576" t="s">
        <v>886</v>
      </c>
      <c r="C576" t="s">
        <v>887</v>
      </c>
      <c r="D576" t="str">
        <f>HYPERLINK("http://service.sap.com/sap/support/notes/1754448","1754448")</f>
        <v>1754448</v>
      </c>
      <c r="E576">
        <v>1</v>
      </c>
      <c r="F576" t="s">
        <v>889</v>
      </c>
    </row>
    <row r="577" spans="1:6" x14ac:dyDescent="0.25">
      <c r="A577" t="s">
        <v>4200</v>
      </c>
      <c r="B577" t="s">
        <v>890</v>
      </c>
      <c r="C577" t="s">
        <v>891</v>
      </c>
      <c r="D577" t="str">
        <f>HYPERLINK("http://service.sap.com/sap/support/notes/1717639","1717639")</f>
        <v>1717639</v>
      </c>
      <c r="E577">
        <v>3</v>
      </c>
      <c r="F577" t="s">
        <v>892</v>
      </c>
    </row>
    <row r="578" spans="1:6" x14ac:dyDescent="0.25">
      <c r="A578" t="s">
        <v>4200</v>
      </c>
      <c r="B578" t="s">
        <v>890</v>
      </c>
      <c r="C578" t="s">
        <v>891</v>
      </c>
      <c r="D578" t="str">
        <f>HYPERLINK("http://service.sap.com/sap/support/notes/1726332","1726332")</f>
        <v>1726332</v>
      </c>
      <c r="E578">
        <v>4</v>
      </c>
      <c r="F578" t="s">
        <v>893</v>
      </c>
    </row>
    <row r="579" spans="1:6" x14ac:dyDescent="0.25">
      <c r="A579" t="s">
        <v>4200</v>
      </c>
      <c r="B579" t="s">
        <v>890</v>
      </c>
      <c r="C579" t="s">
        <v>891</v>
      </c>
      <c r="D579" t="str">
        <f>HYPERLINK("http://service.sap.com/sap/support/notes/1729732","1729732")</f>
        <v>1729732</v>
      </c>
      <c r="E579">
        <v>1</v>
      </c>
      <c r="F579" t="s">
        <v>894</v>
      </c>
    </row>
    <row r="580" spans="1:6" x14ac:dyDescent="0.25">
      <c r="A580" t="s">
        <v>4200</v>
      </c>
      <c r="B580" t="s">
        <v>890</v>
      </c>
      <c r="C580" t="s">
        <v>891</v>
      </c>
      <c r="D580" t="str">
        <f>HYPERLINK("http://service.sap.com/sap/support/notes/1739175","1739175")</f>
        <v>1739175</v>
      </c>
      <c r="E580">
        <v>1</v>
      </c>
      <c r="F580" t="s">
        <v>895</v>
      </c>
    </row>
    <row r="581" spans="1:6" x14ac:dyDescent="0.25">
      <c r="A581" t="s">
        <v>4200</v>
      </c>
      <c r="B581" t="s">
        <v>890</v>
      </c>
      <c r="C581" t="s">
        <v>891</v>
      </c>
      <c r="D581" t="str">
        <f>HYPERLINK("http://service.sap.com/sap/support/notes/1741666","1741666")</f>
        <v>1741666</v>
      </c>
      <c r="E581">
        <v>1</v>
      </c>
      <c r="F581" t="s">
        <v>896</v>
      </c>
    </row>
    <row r="582" spans="1:6" x14ac:dyDescent="0.25">
      <c r="A582" t="s">
        <v>4200</v>
      </c>
      <c r="B582" t="s">
        <v>890</v>
      </c>
      <c r="C582" t="s">
        <v>891</v>
      </c>
      <c r="D582" t="str">
        <f>HYPERLINK("http://service.sap.com/sap/support/notes/1741716","1741716")</f>
        <v>1741716</v>
      </c>
      <c r="E582">
        <v>1</v>
      </c>
      <c r="F582" t="s">
        <v>897</v>
      </c>
    </row>
    <row r="583" spans="1:6" x14ac:dyDescent="0.25">
      <c r="A583" t="s">
        <v>4200</v>
      </c>
      <c r="B583" t="s">
        <v>890</v>
      </c>
      <c r="C583" t="s">
        <v>891</v>
      </c>
      <c r="D583" t="str">
        <f>HYPERLINK("http://service.sap.com/sap/support/notes/1748525","1748525")</f>
        <v>1748525</v>
      </c>
      <c r="E583">
        <v>2</v>
      </c>
      <c r="F583" t="s">
        <v>898</v>
      </c>
    </row>
    <row r="584" spans="1:6" x14ac:dyDescent="0.25">
      <c r="A584" t="s">
        <v>4200</v>
      </c>
      <c r="B584" t="s">
        <v>890</v>
      </c>
      <c r="C584" t="s">
        <v>891</v>
      </c>
      <c r="D584" t="str">
        <f>HYPERLINK("http://service.sap.com/sap/support/notes/1751380","1751380")</f>
        <v>1751380</v>
      </c>
      <c r="E584">
        <v>1</v>
      </c>
      <c r="F584" t="s">
        <v>899</v>
      </c>
    </row>
    <row r="585" spans="1:6" x14ac:dyDescent="0.25">
      <c r="A585" t="s">
        <v>4200</v>
      </c>
      <c r="B585" t="s">
        <v>890</v>
      </c>
      <c r="C585" t="s">
        <v>891</v>
      </c>
      <c r="D585" t="str">
        <f>HYPERLINK("http://service.sap.com/sap/support/notes/1752955","1752955")</f>
        <v>1752955</v>
      </c>
      <c r="E585">
        <v>1</v>
      </c>
      <c r="F585" t="s">
        <v>900</v>
      </c>
    </row>
    <row r="586" spans="1:6" x14ac:dyDescent="0.25">
      <c r="A586" t="s">
        <v>4200</v>
      </c>
      <c r="B586" t="s">
        <v>901</v>
      </c>
      <c r="C586" t="s">
        <v>902</v>
      </c>
      <c r="D586" t="str">
        <f>HYPERLINK("http://service.sap.com/sap/support/notes/1732464","1732464")</f>
        <v>1732464</v>
      </c>
      <c r="E586">
        <v>1</v>
      </c>
      <c r="F586" t="s">
        <v>903</v>
      </c>
    </row>
    <row r="587" spans="1:6" x14ac:dyDescent="0.25">
      <c r="A587" t="s">
        <v>4200</v>
      </c>
      <c r="B587" t="s">
        <v>901</v>
      </c>
      <c r="C587" t="s">
        <v>902</v>
      </c>
      <c r="D587" t="str">
        <f>HYPERLINK("http://service.sap.com/sap/support/notes/1736997","1736997")</f>
        <v>1736997</v>
      </c>
      <c r="E587">
        <v>1</v>
      </c>
      <c r="F587" t="s">
        <v>904</v>
      </c>
    </row>
    <row r="588" spans="1:6" x14ac:dyDescent="0.25">
      <c r="A588" t="s">
        <v>4200</v>
      </c>
      <c r="B588" t="s">
        <v>905</v>
      </c>
      <c r="C588" t="s">
        <v>29</v>
      </c>
      <c r="D588" t="str">
        <f>HYPERLINK("http://service.sap.com/sap/support/notes/1664280","1664280")</f>
        <v>1664280</v>
      </c>
      <c r="E588">
        <v>2</v>
      </c>
      <c r="F588" t="s">
        <v>906</v>
      </c>
    </row>
    <row r="589" spans="1:6" x14ac:dyDescent="0.25">
      <c r="A589" t="s">
        <v>4200</v>
      </c>
      <c r="B589" t="s">
        <v>905</v>
      </c>
      <c r="C589" t="s">
        <v>29</v>
      </c>
      <c r="D589" t="str">
        <f>HYPERLINK("http://service.sap.com/sap/support/notes/1694540","1694540")</f>
        <v>1694540</v>
      </c>
      <c r="E589">
        <v>3</v>
      </c>
      <c r="F589" t="s">
        <v>907</v>
      </c>
    </row>
    <row r="590" spans="1:6" x14ac:dyDescent="0.25">
      <c r="A590" t="s">
        <v>4200</v>
      </c>
      <c r="B590" t="s">
        <v>905</v>
      </c>
      <c r="C590" t="s">
        <v>29</v>
      </c>
      <c r="D590" t="str">
        <f>HYPERLINK("http://service.sap.com/sap/support/notes/1721576","1721576")</f>
        <v>1721576</v>
      </c>
      <c r="E590">
        <v>2</v>
      </c>
      <c r="F590" t="s">
        <v>908</v>
      </c>
    </row>
    <row r="591" spans="1:6" x14ac:dyDescent="0.25">
      <c r="A591" t="s">
        <v>4200</v>
      </c>
      <c r="B591" t="s">
        <v>905</v>
      </c>
      <c r="C591" t="s">
        <v>29</v>
      </c>
      <c r="D591" t="str">
        <f>HYPERLINK("http://service.sap.com/sap/support/notes/1736333","1736333")</f>
        <v>1736333</v>
      </c>
      <c r="E591">
        <v>1</v>
      </c>
      <c r="F591" t="s">
        <v>909</v>
      </c>
    </row>
    <row r="592" spans="1:6" x14ac:dyDescent="0.25">
      <c r="A592" t="s">
        <v>4200</v>
      </c>
      <c r="B592" t="s">
        <v>905</v>
      </c>
      <c r="C592" t="s">
        <v>29</v>
      </c>
      <c r="D592" t="str">
        <f>HYPERLINK("http://service.sap.com/sap/support/notes/1762051","1762051")</f>
        <v>1762051</v>
      </c>
      <c r="E592">
        <v>1</v>
      </c>
      <c r="F592" t="s">
        <v>910</v>
      </c>
    </row>
    <row r="593" spans="1:6" x14ac:dyDescent="0.25">
      <c r="A593" t="s">
        <v>4200</v>
      </c>
      <c r="B593" t="s">
        <v>911</v>
      </c>
      <c r="C593" t="s">
        <v>912</v>
      </c>
      <c r="D593" t="str">
        <f>HYPERLINK("http://service.sap.com/sap/support/notes/1716303","1716303")</f>
        <v>1716303</v>
      </c>
      <c r="E593">
        <v>1</v>
      </c>
      <c r="F593" t="s">
        <v>913</v>
      </c>
    </row>
    <row r="594" spans="1:6" x14ac:dyDescent="0.25">
      <c r="A594" t="s">
        <v>4200</v>
      </c>
      <c r="B594" t="s">
        <v>911</v>
      </c>
      <c r="C594" t="s">
        <v>912</v>
      </c>
      <c r="D594" t="str">
        <f>HYPERLINK("http://service.sap.com/sap/support/notes/1727705","1727705")</f>
        <v>1727705</v>
      </c>
      <c r="E594">
        <v>3</v>
      </c>
      <c r="F594" t="s">
        <v>914</v>
      </c>
    </row>
    <row r="595" spans="1:6" x14ac:dyDescent="0.25">
      <c r="A595" t="s">
        <v>4200</v>
      </c>
      <c r="B595" t="s">
        <v>911</v>
      </c>
      <c r="C595" t="s">
        <v>912</v>
      </c>
      <c r="D595" t="str">
        <f>HYPERLINK("http://service.sap.com/sap/support/notes/1731749","1731749")</f>
        <v>1731749</v>
      </c>
      <c r="E595">
        <v>1</v>
      </c>
      <c r="F595" t="s">
        <v>915</v>
      </c>
    </row>
    <row r="596" spans="1:6" x14ac:dyDescent="0.25">
      <c r="A596" t="s">
        <v>4200</v>
      </c>
      <c r="B596" t="s">
        <v>911</v>
      </c>
      <c r="C596" t="s">
        <v>912</v>
      </c>
      <c r="D596" t="str">
        <f>HYPERLINK("http://service.sap.com/sap/support/notes/1733597","1733597")</f>
        <v>1733597</v>
      </c>
      <c r="E596">
        <v>1</v>
      </c>
      <c r="F596" t="s">
        <v>916</v>
      </c>
    </row>
    <row r="597" spans="1:6" x14ac:dyDescent="0.25">
      <c r="A597" t="s">
        <v>4200</v>
      </c>
      <c r="B597" t="s">
        <v>911</v>
      </c>
      <c r="C597" t="s">
        <v>912</v>
      </c>
      <c r="D597" t="str">
        <f>HYPERLINK("http://service.sap.com/sap/support/notes/1741646","1741646")</f>
        <v>1741646</v>
      </c>
      <c r="E597">
        <v>1</v>
      </c>
      <c r="F597" t="s">
        <v>917</v>
      </c>
    </row>
    <row r="598" spans="1:6" x14ac:dyDescent="0.25">
      <c r="A598" t="s">
        <v>4200</v>
      </c>
      <c r="B598" t="s">
        <v>911</v>
      </c>
      <c r="C598" t="s">
        <v>912</v>
      </c>
      <c r="D598" t="str">
        <f>HYPERLINK("http://service.sap.com/sap/support/notes/1764163","1764163")</f>
        <v>1764163</v>
      </c>
      <c r="E598">
        <v>1</v>
      </c>
      <c r="F598" t="s">
        <v>918</v>
      </c>
    </row>
    <row r="599" spans="1:6" x14ac:dyDescent="0.25">
      <c r="A599" t="s">
        <v>4200</v>
      </c>
      <c r="B599" t="s">
        <v>919</v>
      </c>
      <c r="C599" t="s">
        <v>920</v>
      </c>
      <c r="D599" t="str">
        <f>HYPERLINK("http://service.sap.com/sap/support/notes/1227804","1227804")</f>
        <v>1227804</v>
      </c>
      <c r="E599">
        <v>1</v>
      </c>
      <c r="F599" t="s">
        <v>24</v>
      </c>
    </row>
    <row r="600" spans="1:6" x14ac:dyDescent="0.25">
      <c r="A600" t="s">
        <v>4200</v>
      </c>
      <c r="B600" t="s">
        <v>919</v>
      </c>
      <c r="C600" t="s">
        <v>920</v>
      </c>
      <c r="D600" t="str">
        <f>HYPERLINK("http://service.sap.com/sap/support/notes/1696678","1696678")</f>
        <v>1696678</v>
      </c>
      <c r="E600">
        <v>2</v>
      </c>
      <c r="F600" t="s">
        <v>921</v>
      </c>
    </row>
    <row r="601" spans="1:6" x14ac:dyDescent="0.25">
      <c r="A601" t="s">
        <v>4200</v>
      </c>
      <c r="B601" t="s">
        <v>919</v>
      </c>
      <c r="C601" t="s">
        <v>920</v>
      </c>
      <c r="D601" t="str">
        <f>HYPERLINK("http://service.sap.com/sap/support/notes/1703679","1703679")</f>
        <v>1703679</v>
      </c>
      <c r="E601">
        <v>2</v>
      </c>
      <c r="F601" t="s">
        <v>922</v>
      </c>
    </row>
    <row r="602" spans="1:6" x14ac:dyDescent="0.25">
      <c r="A602" t="s">
        <v>4200</v>
      </c>
      <c r="B602" t="s">
        <v>919</v>
      </c>
      <c r="C602" t="s">
        <v>920</v>
      </c>
      <c r="D602" t="str">
        <f>HYPERLINK("http://service.sap.com/sap/support/notes/1711341","1711341")</f>
        <v>1711341</v>
      </c>
      <c r="E602">
        <v>5</v>
      </c>
      <c r="F602" t="s">
        <v>923</v>
      </c>
    </row>
    <row r="603" spans="1:6" x14ac:dyDescent="0.25">
      <c r="A603" t="s">
        <v>4200</v>
      </c>
      <c r="B603" t="s">
        <v>919</v>
      </c>
      <c r="C603" t="s">
        <v>920</v>
      </c>
      <c r="D603" t="str">
        <f>HYPERLINK("http://service.sap.com/sap/support/notes/1723871","1723871")</f>
        <v>1723871</v>
      </c>
      <c r="E603">
        <v>4</v>
      </c>
      <c r="F603" t="s">
        <v>924</v>
      </c>
    </row>
    <row r="604" spans="1:6" x14ac:dyDescent="0.25">
      <c r="A604" t="s">
        <v>4200</v>
      </c>
      <c r="B604" t="s">
        <v>919</v>
      </c>
      <c r="C604" t="s">
        <v>920</v>
      </c>
      <c r="D604" t="str">
        <f>HYPERLINK("http://service.sap.com/sap/support/notes/1727196","1727196")</f>
        <v>1727196</v>
      </c>
      <c r="E604">
        <v>2</v>
      </c>
      <c r="F604" t="s">
        <v>925</v>
      </c>
    </row>
    <row r="605" spans="1:6" x14ac:dyDescent="0.25">
      <c r="A605" t="s">
        <v>4200</v>
      </c>
      <c r="B605" t="s">
        <v>919</v>
      </c>
      <c r="C605" t="s">
        <v>920</v>
      </c>
      <c r="D605" t="str">
        <f>HYPERLINK("http://service.sap.com/sap/support/notes/1729465","1729465")</f>
        <v>1729465</v>
      </c>
      <c r="E605">
        <v>2</v>
      </c>
      <c r="F605" t="s">
        <v>926</v>
      </c>
    </row>
    <row r="606" spans="1:6" x14ac:dyDescent="0.25">
      <c r="A606" t="s">
        <v>4200</v>
      </c>
      <c r="B606" t="s">
        <v>919</v>
      </c>
      <c r="C606" t="s">
        <v>920</v>
      </c>
      <c r="D606" t="str">
        <f>HYPERLINK("http://service.sap.com/sap/support/notes/1729912","1729912")</f>
        <v>1729912</v>
      </c>
      <c r="E606">
        <v>1</v>
      </c>
      <c r="F606" t="s">
        <v>927</v>
      </c>
    </row>
    <row r="607" spans="1:6" x14ac:dyDescent="0.25">
      <c r="A607" t="s">
        <v>4200</v>
      </c>
      <c r="B607" t="s">
        <v>919</v>
      </c>
      <c r="C607" t="s">
        <v>920</v>
      </c>
      <c r="D607" t="str">
        <f>HYPERLINK("http://service.sap.com/sap/support/notes/1732341","1732341")</f>
        <v>1732341</v>
      </c>
      <c r="E607">
        <v>2</v>
      </c>
      <c r="F607" t="s">
        <v>928</v>
      </c>
    </row>
    <row r="608" spans="1:6" x14ac:dyDescent="0.25">
      <c r="A608" t="s">
        <v>4200</v>
      </c>
      <c r="B608" t="s">
        <v>919</v>
      </c>
      <c r="C608" t="s">
        <v>920</v>
      </c>
      <c r="D608" t="str">
        <f>HYPERLINK("http://service.sap.com/sap/support/notes/1734088","1734088")</f>
        <v>1734088</v>
      </c>
      <c r="E608">
        <v>1</v>
      </c>
      <c r="F608" t="s">
        <v>929</v>
      </c>
    </row>
    <row r="609" spans="1:6" x14ac:dyDescent="0.25">
      <c r="A609" t="s">
        <v>4200</v>
      </c>
      <c r="B609" t="s">
        <v>919</v>
      </c>
      <c r="C609" t="s">
        <v>920</v>
      </c>
      <c r="D609" t="str">
        <f>HYPERLINK("http://service.sap.com/sap/support/notes/1735381","1735381")</f>
        <v>1735381</v>
      </c>
      <c r="E609">
        <v>3</v>
      </c>
      <c r="F609" t="s">
        <v>930</v>
      </c>
    </row>
    <row r="610" spans="1:6" x14ac:dyDescent="0.25">
      <c r="A610" t="s">
        <v>4200</v>
      </c>
      <c r="B610" t="s">
        <v>919</v>
      </c>
      <c r="C610" t="s">
        <v>920</v>
      </c>
      <c r="D610" t="str">
        <f>HYPERLINK("http://service.sap.com/sap/support/notes/1740520","1740520")</f>
        <v>1740520</v>
      </c>
      <c r="E610">
        <v>1</v>
      </c>
      <c r="F610" t="s">
        <v>931</v>
      </c>
    </row>
    <row r="611" spans="1:6" x14ac:dyDescent="0.25">
      <c r="A611" t="s">
        <v>4200</v>
      </c>
      <c r="B611" t="s">
        <v>919</v>
      </c>
      <c r="C611" t="s">
        <v>920</v>
      </c>
      <c r="D611" t="str">
        <f>HYPERLINK("http://service.sap.com/sap/support/notes/1741865","1741865")</f>
        <v>1741865</v>
      </c>
      <c r="E611">
        <v>2</v>
      </c>
      <c r="F611" t="s">
        <v>932</v>
      </c>
    </row>
    <row r="612" spans="1:6" x14ac:dyDescent="0.25">
      <c r="A612" t="s">
        <v>4200</v>
      </c>
      <c r="B612" t="s">
        <v>919</v>
      </c>
      <c r="C612" t="s">
        <v>920</v>
      </c>
      <c r="D612" t="str">
        <f>HYPERLINK("http://service.sap.com/sap/support/notes/1747845","1747845")</f>
        <v>1747845</v>
      </c>
      <c r="E612">
        <v>1</v>
      </c>
      <c r="F612" t="s">
        <v>933</v>
      </c>
    </row>
    <row r="613" spans="1:6" x14ac:dyDescent="0.25">
      <c r="A613" t="s">
        <v>4200</v>
      </c>
      <c r="B613" t="s">
        <v>919</v>
      </c>
      <c r="C613" t="s">
        <v>920</v>
      </c>
      <c r="D613" t="str">
        <f>HYPERLINK("http://service.sap.com/sap/support/notes/1752872","1752872")</f>
        <v>1752872</v>
      </c>
      <c r="E613">
        <v>2</v>
      </c>
      <c r="F613" t="s">
        <v>934</v>
      </c>
    </row>
    <row r="614" spans="1:6" x14ac:dyDescent="0.25">
      <c r="A614" t="s">
        <v>4200</v>
      </c>
      <c r="B614" t="s">
        <v>919</v>
      </c>
      <c r="C614" t="s">
        <v>920</v>
      </c>
      <c r="D614" t="str">
        <f>HYPERLINK("http://service.sap.com/sap/support/notes/1762145","1762145")</f>
        <v>1762145</v>
      </c>
      <c r="E614">
        <v>1</v>
      </c>
      <c r="F614" t="s">
        <v>935</v>
      </c>
    </row>
    <row r="615" spans="1:6" x14ac:dyDescent="0.25">
      <c r="A615" t="s">
        <v>4200</v>
      </c>
      <c r="B615" t="s">
        <v>936</v>
      </c>
      <c r="C615" t="s">
        <v>937</v>
      </c>
      <c r="D615" t="str">
        <f>HYPERLINK("http://service.sap.com/sap/support/notes/1735748","1735748")</f>
        <v>1735748</v>
      </c>
      <c r="E615">
        <v>1</v>
      </c>
      <c r="F615" t="s">
        <v>938</v>
      </c>
    </row>
    <row r="616" spans="1:6" x14ac:dyDescent="0.25">
      <c r="A616" t="s">
        <v>4200</v>
      </c>
      <c r="B616" t="s">
        <v>936</v>
      </c>
      <c r="C616" t="s">
        <v>937</v>
      </c>
      <c r="D616" t="str">
        <f>HYPERLINK("http://service.sap.com/sap/support/notes/1744651","1744651")</f>
        <v>1744651</v>
      </c>
      <c r="E616">
        <v>4</v>
      </c>
      <c r="F616" t="s">
        <v>939</v>
      </c>
    </row>
    <row r="617" spans="1:6" x14ac:dyDescent="0.25">
      <c r="A617" t="s">
        <v>4200</v>
      </c>
      <c r="B617" t="s">
        <v>936</v>
      </c>
      <c r="C617" t="s">
        <v>937</v>
      </c>
      <c r="D617" t="str">
        <f>HYPERLINK("http://service.sap.com/sap/support/notes/1765373","1765373")</f>
        <v>1765373</v>
      </c>
      <c r="E617">
        <v>1</v>
      </c>
      <c r="F617" t="s">
        <v>940</v>
      </c>
    </row>
    <row r="618" spans="1:6" x14ac:dyDescent="0.25">
      <c r="A618" t="s">
        <v>4200</v>
      </c>
      <c r="B618" t="s">
        <v>936</v>
      </c>
      <c r="C618" t="s">
        <v>937</v>
      </c>
      <c r="D618" t="str">
        <f>HYPERLINK("http://service.sap.com/sap/support/notes/1766327","1766327")</f>
        <v>1766327</v>
      </c>
      <c r="E618">
        <v>1</v>
      </c>
      <c r="F618" t="s">
        <v>941</v>
      </c>
    </row>
    <row r="619" spans="1:6" x14ac:dyDescent="0.25">
      <c r="A619" t="s">
        <v>4200</v>
      </c>
      <c r="B619" t="s">
        <v>942</v>
      </c>
      <c r="C619" t="s">
        <v>943</v>
      </c>
    </row>
    <row r="620" spans="1:6" x14ac:dyDescent="0.25">
      <c r="A620" t="s">
        <v>4200</v>
      </c>
      <c r="B620" t="s">
        <v>944</v>
      </c>
      <c r="C620" t="s">
        <v>151</v>
      </c>
    </row>
    <row r="621" spans="1:6" x14ac:dyDescent="0.25">
      <c r="A621" t="s">
        <v>4200</v>
      </c>
      <c r="B621" t="s">
        <v>945</v>
      </c>
      <c r="C621" t="s">
        <v>839</v>
      </c>
      <c r="D621" t="str">
        <f>HYPERLINK("http://service.sap.com/sap/support/notes/1713072","1713072")</f>
        <v>1713072</v>
      </c>
      <c r="E621">
        <v>2</v>
      </c>
      <c r="F621" t="s">
        <v>946</v>
      </c>
    </row>
    <row r="622" spans="1:6" x14ac:dyDescent="0.25">
      <c r="A622" t="s">
        <v>4200</v>
      </c>
      <c r="B622" t="s">
        <v>945</v>
      </c>
      <c r="C622" t="s">
        <v>839</v>
      </c>
      <c r="D622" t="str">
        <f>HYPERLINK("http://service.sap.com/sap/support/notes/1728028","1728028")</f>
        <v>1728028</v>
      </c>
      <c r="E622">
        <v>4</v>
      </c>
      <c r="F622" t="s">
        <v>947</v>
      </c>
    </row>
    <row r="623" spans="1:6" x14ac:dyDescent="0.25">
      <c r="A623" t="s">
        <v>4200</v>
      </c>
      <c r="B623" t="s">
        <v>945</v>
      </c>
      <c r="C623" t="s">
        <v>839</v>
      </c>
      <c r="D623" t="str">
        <f>HYPERLINK("http://service.sap.com/sap/support/notes/1733224","1733224")</f>
        <v>1733224</v>
      </c>
      <c r="E623">
        <v>1</v>
      </c>
      <c r="F623" t="s">
        <v>948</v>
      </c>
    </row>
    <row r="624" spans="1:6" x14ac:dyDescent="0.25">
      <c r="A624" t="s">
        <v>4200</v>
      </c>
      <c r="B624" t="s">
        <v>945</v>
      </c>
      <c r="C624" t="s">
        <v>839</v>
      </c>
      <c r="D624" t="str">
        <f>HYPERLINK("http://service.sap.com/sap/support/notes/1733736","1733736")</f>
        <v>1733736</v>
      </c>
      <c r="E624">
        <v>3</v>
      </c>
      <c r="F624" t="s">
        <v>949</v>
      </c>
    </row>
    <row r="625" spans="1:6" x14ac:dyDescent="0.25">
      <c r="A625" t="s">
        <v>4200</v>
      </c>
      <c r="B625" t="s">
        <v>945</v>
      </c>
      <c r="C625" t="s">
        <v>839</v>
      </c>
      <c r="D625" t="str">
        <f>HYPERLINK("http://service.sap.com/sap/support/notes/1744695","1744695")</f>
        <v>1744695</v>
      </c>
      <c r="E625">
        <v>2</v>
      </c>
      <c r="F625" t="s">
        <v>950</v>
      </c>
    </row>
    <row r="626" spans="1:6" x14ac:dyDescent="0.25">
      <c r="A626" t="s">
        <v>4200</v>
      </c>
      <c r="B626" t="s">
        <v>945</v>
      </c>
      <c r="C626" t="s">
        <v>839</v>
      </c>
      <c r="D626" t="str">
        <f>HYPERLINK("http://service.sap.com/sap/support/notes/1746078","1746078")</f>
        <v>1746078</v>
      </c>
      <c r="E626">
        <v>1</v>
      </c>
      <c r="F626" t="s">
        <v>951</v>
      </c>
    </row>
    <row r="627" spans="1:6" x14ac:dyDescent="0.25">
      <c r="A627" t="s">
        <v>4200</v>
      </c>
      <c r="B627" t="s">
        <v>945</v>
      </c>
      <c r="C627" t="s">
        <v>839</v>
      </c>
      <c r="D627" t="str">
        <f>HYPERLINK("http://service.sap.com/sap/support/notes/1748146","1748146")</f>
        <v>1748146</v>
      </c>
      <c r="E627">
        <v>1</v>
      </c>
      <c r="F627" t="s">
        <v>952</v>
      </c>
    </row>
    <row r="628" spans="1:6" x14ac:dyDescent="0.25">
      <c r="A628" t="s">
        <v>4200</v>
      </c>
      <c r="B628" t="s">
        <v>945</v>
      </c>
      <c r="C628" t="s">
        <v>839</v>
      </c>
      <c r="D628" t="str">
        <f>HYPERLINK("http://service.sap.com/sap/support/notes/1749814","1749814")</f>
        <v>1749814</v>
      </c>
      <c r="E628">
        <v>1</v>
      </c>
      <c r="F628" t="s">
        <v>953</v>
      </c>
    </row>
    <row r="629" spans="1:6" x14ac:dyDescent="0.25">
      <c r="A629" t="s">
        <v>4200</v>
      </c>
      <c r="B629" t="s">
        <v>945</v>
      </c>
      <c r="C629" t="s">
        <v>839</v>
      </c>
      <c r="D629" t="str">
        <f>HYPERLINK("http://service.sap.com/sap/support/notes/1750169","1750169")</f>
        <v>1750169</v>
      </c>
      <c r="E629">
        <v>1</v>
      </c>
      <c r="F629" t="s">
        <v>954</v>
      </c>
    </row>
    <row r="630" spans="1:6" x14ac:dyDescent="0.25">
      <c r="A630" t="s">
        <v>4200</v>
      </c>
      <c r="B630" t="s">
        <v>945</v>
      </c>
      <c r="C630" t="s">
        <v>839</v>
      </c>
      <c r="D630" t="str">
        <f>HYPERLINK("http://service.sap.com/sap/support/notes/1756574","1756574")</f>
        <v>1756574</v>
      </c>
      <c r="E630">
        <v>1</v>
      </c>
      <c r="F630" t="s">
        <v>955</v>
      </c>
    </row>
    <row r="631" spans="1:6" x14ac:dyDescent="0.25">
      <c r="A631" t="s">
        <v>4200</v>
      </c>
      <c r="B631" t="s">
        <v>956</v>
      </c>
      <c r="C631" t="s">
        <v>957</v>
      </c>
      <c r="D631" t="str">
        <f>HYPERLINK("http://service.sap.com/sap/support/notes/1693728","1693728")</f>
        <v>1693728</v>
      </c>
      <c r="E631">
        <v>1</v>
      </c>
      <c r="F631" t="s">
        <v>958</v>
      </c>
    </row>
    <row r="632" spans="1:6" x14ac:dyDescent="0.25">
      <c r="A632" t="s">
        <v>4200</v>
      </c>
      <c r="B632" t="s">
        <v>956</v>
      </c>
      <c r="C632" t="s">
        <v>957</v>
      </c>
      <c r="D632" t="str">
        <f>HYPERLINK("http://service.sap.com/sap/support/notes/1701885","1701885")</f>
        <v>1701885</v>
      </c>
      <c r="E632">
        <v>1</v>
      </c>
      <c r="F632" t="s">
        <v>959</v>
      </c>
    </row>
    <row r="633" spans="1:6" x14ac:dyDescent="0.25">
      <c r="A633" t="s">
        <v>4200</v>
      </c>
      <c r="B633" t="s">
        <v>956</v>
      </c>
      <c r="C633" t="s">
        <v>957</v>
      </c>
      <c r="D633" t="str">
        <f>HYPERLINK("http://service.sap.com/sap/support/notes/1722085","1722085")</f>
        <v>1722085</v>
      </c>
      <c r="E633">
        <v>1</v>
      </c>
      <c r="F633" t="s">
        <v>960</v>
      </c>
    </row>
    <row r="634" spans="1:6" x14ac:dyDescent="0.25">
      <c r="A634" t="s">
        <v>4200</v>
      </c>
      <c r="B634" t="s">
        <v>956</v>
      </c>
      <c r="C634" t="s">
        <v>957</v>
      </c>
      <c r="D634" t="str">
        <f>HYPERLINK("http://service.sap.com/sap/support/notes/1736971","1736971")</f>
        <v>1736971</v>
      </c>
      <c r="E634">
        <v>1</v>
      </c>
      <c r="F634" t="s">
        <v>961</v>
      </c>
    </row>
    <row r="635" spans="1:6" x14ac:dyDescent="0.25">
      <c r="A635" t="s">
        <v>4200</v>
      </c>
      <c r="B635" t="s">
        <v>956</v>
      </c>
      <c r="C635" t="s">
        <v>957</v>
      </c>
      <c r="D635" t="str">
        <f>HYPERLINK("http://service.sap.com/sap/support/notes/1739014","1739014")</f>
        <v>1739014</v>
      </c>
      <c r="E635">
        <v>1</v>
      </c>
      <c r="F635" t="s">
        <v>962</v>
      </c>
    </row>
    <row r="636" spans="1:6" x14ac:dyDescent="0.25">
      <c r="A636" t="s">
        <v>4200</v>
      </c>
      <c r="B636" t="s">
        <v>956</v>
      </c>
      <c r="C636" t="s">
        <v>957</v>
      </c>
      <c r="D636" t="str">
        <f>HYPERLINK("http://service.sap.com/sap/support/notes/1739586","1739586")</f>
        <v>1739586</v>
      </c>
      <c r="E636">
        <v>1</v>
      </c>
      <c r="F636" t="s">
        <v>963</v>
      </c>
    </row>
    <row r="637" spans="1:6" x14ac:dyDescent="0.25">
      <c r="A637" t="s">
        <v>4200</v>
      </c>
      <c r="B637" t="s">
        <v>956</v>
      </c>
      <c r="C637" t="s">
        <v>957</v>
      </c>
      <c r="D637" t="str">
        <f>HYPERLINK("http://service.sap.com/sap/support/notes/1740118","1740118")</f>
        <v>1740118</v>
      </c>
      <c r="E637">
        <v>2</v>
      </c>
      <c r="F637" t="s">
        <v>964</v>
      </c>
    </row>
    <row r="638" spans="1:6" x14ac:dyDescent="0.25">
      <c r="A638" t="s">
        <v>4200</v>
      </c>
      <c r="B638" t="s">
        <v>956</v>
      </c>
      <c r="C638" t="s">
        <v>957</v>
      </c>
      <c r="D638" t="str">
        <f>HYPERLINK("http://service.sap.com/sap/support/notes/1742321","1742321")</f>
        <v>1742321</v>
      </c>
      <c r="E638">
        <v>3</v>
      </c>
      <c r="F638" t="s">
        <v>965</v>
      </c>
    </row>
    <row r="639" spans="1:6" x14ac:dyDescent="0.25">
      <c r="A639" t="s">
        <v>4200</v>
      </c>
      <c r="B639" t="s">
        <v>956</v>
      </c>
      <c r="C639" t="s">
        <v>957</v>
      </c>
      <c r="D639" t="str">
        <f>HYPERLINK("http://service.sap.com/sap/support/notes/1742418","1742418")</f>
        <v>1742418</v>
      </c>
      <c r="E639">
        <v>1</v>
      </c>
      <c r="F639" t="s">
        <v>966</v>
      </c>
    </row>
    <row r="640" spans="1:6" x14ac:dyDescent="0.25">
      <c r="A640" t="s">
        <v>4200</v>
      </c>
      <c r="B640" t="s">
        <v>956</v>
      </c>
      <c r="C640" t="s">
        <v>957</v>
      </c>
      <c r="D640" t="str">
        <f>HYPERLINK("http://service.sap.com/sap/support/notes/1745158","1745158")</f>
        <v>1745158</v>
      </c>
      <c r="E640">
        <v>2</v>
      </c>
      <c r="F640" t="s">
        <v>967</v>
      </c>
    </row>
    <row r="641" spans="1:6" x14ac:dyDescent="0.25">
      <c r="A641" t="s">
        <v>4200</v>
      </c>
      <c r="B641" t="s">
        <v>956</v>
      </c>
      <c r="C641" t="s">
        <v>957</v>
      </c>
      <c r="D641" t="str">
        <f>HYPERLINK("http://service.sap.com/sap/support/notes/1747788","1747788")</f>
        <v>1747788</v>
      </c>
      <c r="E641">
        <v>1</v>
      </c>
      <c r="F641" t="s">
        <v>968</v>
      </c>
    </row>
    <row r="642" spans="1:6" x14ac:dyDescent="0.25">
      <c r="A642" t="s">
        <v>4200</v>
      </c>
      <c r="B642" t="s">
        <v>956</v>
      </c>
      <c r="C642" t="s">
        <v>957</v>
      </c>
      <c r="D642" t="str">
        <f>HYPERLINK("http://service.sap.com/sap/support/notes/1765439","1765439")</f>
        <v>1765439</v>
      </c>
      <c r="E642">
        <v>1</v>
      </c>
      <c r="F642" t="s">
        <v>969</v>
      </c>
    </row>
    <row r="643" spans="1:6" x14ac:dyDescent="0.25">
      <c r="A643" t="s">
        <v>4200</v>
      </c>
      <c r="B643" t="s">
        <v>970</v>
      </c>
      <c r="C643" t="s">
        <v>971</v>
      </c>
      <c r="D643" t="str">
        <f>HYPERLINK("http://service.sap.com/sap/support/notes/1704263","1704263")</f>
        <v>1704263</v>
      </c>
      <c r="E643">
        <v>1</v>
      </c>
      <c r="F643" t="s">
        <v>972</v>
      </c>
    </row>
    <row r="644" spans="1:6" x14ac:dyDescent="0.25">
      <c r="A644" t="s">
        <v>4200</v>
      </c>
      <c r="B644" t="s">
        <v>970</v>
      </c>
      <c r="C644" t="s">
        <v>971</v>
      </c>
      <c r="D644" t="str">
        <f>HYPERLINK("http://service.sap.com/sap/support/notes/1713381","1713381")</f>
        <v>1713381</v>
      </c>
      <c r="E644">
        <v>1</v>
      </c>
      <c r="F644" t="s">
        <v>973</v>
      </c>
    </row>
    <row r="645" spans="1:6" x14ac:dyDescent="0.25">
      <c r="A645" t="s">
        <v>4200</v>
      </c>
      <c r="B645" t="s">
        <v>970</v>
      </c>
      <c r="C645" t="s">
        <v>971</v>
      </c>
      <c r="D645" t="str">
        <f>HYPERLINK("http://service.sap.com/sap/support/notes/1716140","1716140")</f>
        <v>1716140</v>
      </c>
      <c r="E645">
        <v>1</v>
      </c>
      <c r="F645" t="s">
        <v>974</v>
      </c>
    </row>
    <row r="646" spans="1:6" x14ac:dyDescent="0.25">
      <c r="A646" t="s">
        <v>4200</v>
      </c>
      <c r="B646" t="s">
        <v>970</v>
      </c>
      <c r="C646" t="s">
        <v>971</v>
      </c>
      <c r="D646" t="str">
        <f>HYPERLINK("http://service.sap.com/sap/support/notes/1726721","1726721")</f>
        <v>1726721</v>
      </c>
      <c r="E646">
        <v>1</v>
      </c>
      <c r="F646" t="s">
        <v>975</v>
      </c>
    </row>
    <row r="647" spans="1:6" x14ac:dyDescent="0.25">
      <c r="A647" t="s">
        <v>4200</v>
      </c>
      <c r="B647" t="s">
        <v>970</v>
      </c>
      <c r="C647" t="s">
        <v>971</v>
      </c>
      <c r="D647" t="str">
        <f>HYPERLINK("http://service.sap.com/sap/support/notes/1744654","1744654")</f>
        <v>1744654</v>
      </c>
      <c r="E647">
        <v>1</v>
      </c>
      <c r="F647" t="s">
        <v>976</v>
      </c>
    </row>
    <row r="648" spans="1:6" x14ac:dyDescent="0.25">
      <c r="A648" t="s">
        <v>4200</v>
      </c>
      <c r="B648" t="s">
        <v>977</v>
      </c>
      <c r="C648" t="s">
        <v>978</v>
      </c>
      <c r="D648" t="str">
        <f>HYPERLINK("http://service.sap.com/sap/support/notes/1748090","1748090")</f>
        <v>1748090</v>
      </c>
      <c r="E648">
        <v>3</v>
      </c>
      <c r="F648" t="s">
        <v>979</v>
      </c>
    </row>
    <row r="649" spans="1:6" x14ac:dyDescent="0.25">
      <c r="A649" t="s">
        <v>4200</v>
      </c>
      <c r="B649" t="s">
        <v>980</v>
      </c>
      <c r="C649" t="s">
        <v>883</v>
      </c>
      <c r="D649" t="str">
        <f>HYPERLINK("http://service.sap.com/sap/support/notes/658521","658521")</f>
        <v>658521</v>
      </c>
      <c r="E649">
        <v>1</v>
      </c>
      <c r="F649" t="s">
        <v>981</v>
      </c>
    </row>
    <row r="650" spans="1:6" x14ac:dyDescent="0.25">
      <c r="A650" t="s">
        <v>4200</v>
      </c>
      <c r="B650" t="s">
        <v>982</v>
      </c>
      <c r="C650" t="s">
        <v>983</v>
      </c>
      <c r="D650" t="str">
        <f>HYPERLINK("http://service.sap.com/sap/support/notes/1656794","1656794")</f>
        <v>1656794</v>
      </c>
      <c r="E650">
        <v>4</v>
      </c>
      <c r="F650" t="s">
        <v>984</v>
      </c>
    </row>
    <row r="651" spans="1:6" x14ac:dyDescent="0.25">
      <c r="A651" t="s">
        <v>4200</v>
      </c>
      <c r="B651" t="s">
        <v>982</v>
      </c>
      <c r="C651" t="s">
        <v>983</v>
      </c>
      <c r="D651" t="str">
        <f>HYPERLINK("http://service.sap.com/sap/support/notes/1733074","1733074")</f>
        <v>1733074</v>
      </c>
      <c r="E651">
        <v>2</v>
      </c>
      <c r="F651" t="s">
        <v>985</v>
      </c>
    </row>
    <row r="652" spans="1:6" x14ac:dyDescent="0.25">
      <c r="A652" t="s">
        <v>4200</v>
      </c>
      <c r="B652" t="s">
        <v>986</v>
      </c>
      <c r="C652" t="s">
        <v>887</v>
      </c>
      <c r="D652" t="str">
        <f>HYPERLINK("http://service.sap.com/sap/support/notes/1710870","1710870")</f>
        <v>1710870</v>
      </c>
      <c r="E652">
        <v>1</v>
      </c>
      <c r="F652" t="s">
        <v>987</v>
      </c>
    </row>
    <row r="653" spans="1:6" x14ac:dyDescent="0.25">
      <c r="A653" t="s">
        <v>4200</v>
      </c>
      <c r="B653" t="s">
        <v>986</v>
      </c>
      <c r="C653" t="s">
        <v>887</v>
      </c>
      <c r="D653" t="str">
        <f>HYPERLINK("http://service.sap.com/sap/support/notes/1728590","1728590")</f>
        <v>1728590</v>
      </c>
      <c r="E653">
        <v>1</v>
      </c>
      <c r="F653" t="s">
        <v>988</v>
      </c>
    </row>
    <row r="654" spans="1:6" x14ac:dyDescent="0.25">
      <c r="A654" t="s">
        <v>4200</v>
      </c>
      <c r="B654" t="s">
        <v>986</v>
      </c>
      <c r="C654" t="s">
        <v>887</v>
      </c>
      <c r="D654" t="str">
        <f>HYPERLINK("http://service.sap.com/sap/support/notes/1734244","1734244")</f>
        <v>1734244</v>
      </c>
      <c r="E654">
        <v>1</v>
      </c>
      <c r="F654" t="s">
        <v>989</v>
      </c>
    </row>
    <row r="655" spans="1:6" x14ac:dyDescent="0.25">
      <c r="A655" t="s">
        <v>4200</v>
      </c>
      <c r="B655" t="s">
        <v>990</v>
      </c>
      <c r="C655" t="s">
        <v>29</v>
      </c>
      <c r="D655" t="str">
        <f>HYPERLINK("http://service.sap.com/sap/support/notes/1447338","1447338")</f>
        <v>1447338</v>
      </c>
      <c r="E655">
        <v>2</v>
      </c>
      <c r="F655" t="s">
        <v>991</v>
      </c>
    </row>
    <row r="656" spans="1:6" x14ac:dyDescent="0.25">
      <c r="A656" t="s">
        <v>4200</v>
      </c>
      <c r="B656" t="s">
        <v>990</v>
      </c>
      <c r="C656" t="s">
        <v>29</v>
      </c>
      <c r="D656" t="str">
        <f>HYPERLINK("http://service.sap.com/sap/support/notes/1726185","1726185")</f>
        <v>1726185</v>
      </c>
      <c r="E656">
        <v>1</v>
      </c>
      <c r="F656" t="s">
        <v>992</v>
      </c>
    </row>
    <row r="657" spans="1:6" x14ac:dyDescent="0.25">
      <c r="A657" t="s">
        <v>4200</v>
      </c>
      <c r="B657" t="s">
        <v>990</v>
      </c>
      <c r="C657" t="s">
        <v>29</v>
      </c>
      <c r="D657" t="str">
        <f>HYPERLINK("http://service.sap.com/sap/support/notes/1735074","1735074")</f>
        <v>1735074</v>
      </c>
      <c r="E657">
        <v>3</v>
      </c>
      <c r="F657" t="s">
        <v>993</v>
      </c>
    </row>
    <row r="658" spans="1:6" x14ac:dyDescent="0.25">
      <c r="A658" t="s">
        <v>4200</v>
      </c>
      <c r="B658" t="s">
        <v>990</v>
      </c>
      <c r="C658" t="s">
        <v>29</v>
      </c>
      <c r="D658" t="str">
        <f>HYPERLINK("http://service.sap.com/sap/support/notes/1737007","1737007")</f>
        <v>1737007</v>
      </c>
      <c r="E658">
        <v>1</v>
      </c>
      <c r="F658" t="s">
        <v>994</v>
      </c>
    </row>
    <row r="659" spans="1:6" x14ac:dyDescent="0.25">
      <c r="A659" t="s">
        <v>4200</v>
      </c>
      <c r="B659" t="s">
        <v>990</v>
      </c>
      <c r="C659" t="s">
        <v>29</v>
      </c>
      <c r="D659" t="str">
        <f>HYPERLINK("http://service.sap.com/sap/support/notes/1744884","1744884")</f>
        <v>1744884</v>
      </c>
      <c r="E659">
        <v>2</v>
      </c>
      <c r="F659" t="s">
        <v>995</v>
      </c>
    </row>
    <row r="660" spans="1:6" x14ac:dyDescent="0.25">
      <c r="A660" t="s">
        <v>4200</v>
      </c>
      <c r="B660" t="s">
        <v>990</v>
      </c>
      <c r="C660" t="s">
        <v>29</v>
      </c>
      <c r="D660" t="str">
        <f>HYPERLINK("http://service.sap.com/sap/support/notes/1745041","1745041")</f>
        <v>1745041</v>
      </c>
      <c r="E660">
        <v>1</v>
      </c>
      <c r="F660" t="s">
        <v>996</v>
      </c>
    </row>
    <row r="661" spans="1:6" x14ac:dyDescent="0.25">
      <c r="A661" t="s">
        <v>4200</v>
      </c>
      <c r="B661" t="s">
        <v>997</v>
      </c>
      <c r="C661" t="s">
        <v>998</v>
      </c>
      <c r="D661" t="str">
        <f>HYPERLINK("http://service.sap.com/sap/support/notes/1718046","1718046")</f>
        <v>1718046</v>
      </c>
      <c r="E661">
        <v>1</v>
      </c>
      <c r="F661" t="s">
        <v>999</v>
      </c>
    </row>
    <row r="662" spans="1:6" x14ac:dyDescent="0.25">
      <c r="A662" t="s">
        <v>4200</v>
      </c>
      <c r="B662" t="s">
        <v>1000</v>
      </c>
      <c r="C662" t="s">
        <v>1001</v>
      </c>
    </row>
    <row r="663" spans="1:6" x14ac:dyDescent="0.25">
      <c r="A663" t="s">
        <v>4200</v>
      </c>
      <c r="B663" t="s">
        <v>1002</v>
      </c>
      <c r="C663" t="s">
        <v>29</v>
      </c>
      <c r="D663" t="str">
        <f>HYPERLINK("http://service.sap.com/sap/support/notes/1682768","1682768")</f>
        <v>1682768</v>
      </c>
      <c r="E663">
        <v>1</v>
      </c>
      <c r="F663" t="s">
        <v>1003</v>
      </c>
    </row>
    <row r="664" spans="1:6" x14ac:dyDescent="0.25">
      <c r="A664" t="s">
        <v>4200</v>
      </c>
      <c r="B664" t="s">
        <v>1002</v>
      </c>
      <c r="C664" t="s">
        <v>29</v>
      </c>
      <c r="D664" t="str">
        <f>HYPERLINK("http://service.sap.com/sap/support/notes/1739494","1739494")</f>
        <v>1739494</v>
      </c>
      <c r="E664">
        <v>1</v>
      </c>
      <c r="F664" t="s">
        <v>1004</v>
      </c>
    </row>
    <row r="665" spans="1:6" x14ac:dyDescent="0.25">
      <c r="A665" t="s">
        <v>4200</v>
      </c>
      <c r="B665" t="s">
        <v>1005</v>
      </c>
      <c r="C665" t="s">
        <v>1006</v>
      </c>
      <c r="D665" t="str">
        <f>HYPERLINK("http://service.sap.com/sap/support/notes/1736050","1736050")</f>
        <v>1736050</v>
      </c>
      <c r="E665">
        <v>8</v>
      </c>
      <c r="F665" t="s">
        <v>1007</v>
      </c>
    </row>
    <row r="666" spans="1:6" x14ac:dyDescent="0.25">
      <c r="A666" t="s">
        <v>4200</v>
      </c>
      <c r="B666" t="s">
        <v>1008</v>
      </c>
      <c r="C666" t="s">
        <v>1009</v>
      </c>
      <c r="D666" t="str">
        <f>HYPERLINK("http://service.sap.com/sap/support/notes/747633","747633")</f>
        <v>747633</v>
      </c>
      <c r="E666">
        <v>5</v>
      </c>
      <c r="F666" t="s">
        <v>1010</v>
      </c>
    </row>
    <row r="667" spans="1:6" x14ac:dyDescent="0.25">
      <c r="A667" t="s">
        <v>4200</v>
      </c>
      <c r="B667" t="s">
        <v>1008</v>
      </c>
      <c r="C667" t="s">
        <v>1009</v>
      </c>
      <c r="D667" t="str">
        <f>HYPERLINK("http://service.sap.com/sap/support/notes/1680978","1680978")</f>
        <v>1680978</v>
      </c>
      <c r="E667">
        <v>1</v>
      </c>
      <c r="F667" t="s">
        <v>1011</v>
      </c>
    </row>
    <row r="668" spans="1:6" x14ac:dyDescent="0.25">
      <c r="A668" t="s">
        <v>4200</v>
      </c>
      <c r="B668" t="s">
        <v>1008</v>
      </c>
      <c r="C668" t="s">
        <v>1009</v>
      </c>
      <c r="D668" t="str">
        <f>HYPERLINK("http://service.sap.com/sap/support/notes/1729745","1729745")</f>
        <v>1729745</v>
      </c>
      <c r="E668">
        <v>3</v>
      </c>
      <c r="F668" t="s">
        <v>1012</v>
      </c>
    </row>
    <row r="669" spans="1:6" x14ac:dyDescent="0.25">
      <c r="A669" t="s">
        <v>4200</v>
      </c>
      <c r="B669" t="s">
        <v>1008</v>
      </c>
      <c r="C669" t="s">
        <v>1009</v>
      </c>
      <c r="D669" t="str">
        <f>HYPERLINK("http://service.sap.com/sap/support/notes/1733555","1733555")</f>
        <v>1733555</v>
      </c>
      <c r="E669">
        <v>2</v>
      </c>
      <c r="F669" t="s">
        <v>1013</v>
      </c>
    </row>
    <row r="670" spans="1:6" x14ac:dyDescent="0.25">
      <c r="A670" t="s">
        <v>4200</v>
      </c>
      <c r="B670" t="s">
        <v>1008</v>
      </c>
      <c r="C670" t="s">
        <v>1009</v>
      </c>
      <c r="D670" t="str">
        <f>HYPERLINK("http://service.sap.com/sap/support/notes/1733613","1733613")</f>
        <v>1733613</v>
      </c>
      <c r="E670">
        <v>1</v>
      </c>
      <c r="F670" t="s">
        <v>1014</v>
      </c>
    </row>
    <row r="671" spans="1:6" x14ac:dyDescent="0.25">
      <c r="A671" t="s">
        <v>4200</v>
      </c>
      <c r="B671" t="s">
        <v>1008</v>
      </c>
      <c r="C671" t="s">
        <v>1009</v>
      </c>
      <c r="D671" t="str">
        <f>HYPERLINK("http://service.sap.com/sap/support/notes/1734580","1734580")</f>
        <v>1734580</v>
      </c>
      <c r="E671">
        <v>1</v>
      </c>
      <c r="F671" t="s">
        <v>1015</v>
      </c>
    </row>
    <row r="672" spans="1:6" x14ac:dyDescent="0.25">
      <c r="A672" t="s">
        <v>4200</v>
      </c>
      <c r="B672" t="s">
        <v>1008</v>
      </c>
      <c r="C672" t="s">
        <v>1009</v>
      </c>
      <c r="D672" t="str">
        <f>HYPERLINK("http://service.sap.com/sap/support/notes/1738392","1738392")</f>
        <v>1738392</v>
      </c>
      <c r="E672">
        <v>2</v>
      </c>
      <c r="F672" t="s">
        <v>1016</v>
      </c>
    </row>
    <row r="673" spans="1:6" x14ac:dyDescent="0.25">
      <c r="A673" t="s">
        <v>4200</v>
      </c>
      <c r="B673" t="s">
        <v>1008</v>
      </c>
      <c r="C673" t="s">
        <v>1009</v>
      </c>
      <c r="D673" t="str">
        <f>HYPERLINK("http://service.sap.com/sap/support/notes/1740331","1740331")</f>
        <v>1740331</v>
      </c>
      <c r="E673">
        <v>1</v>
      </c>
      <c r="F673" t="s">
        <v>1017</v>
      </c>
    </row>
    <row r="674" spans="1:6" x14ac:dyDescent="0.25">
      <c r="A674" t="s">
        <v>4200</v>
      </c>
      <c r="B674" t="s">
        <v>1008</v>
      </c>
      <c r="C674" t="s">
        <v>1009</v>
      </c>
      <c r="D674" t="str">
        <f>HYPERLINK("http://service.sap.com/sap/support/notes/1742470","1742470")</f>
        <v>1742470</v>
      </c>
      <c r="E674">
        <v>2</v>
      </c>
      <c r="F674" t="s">
        <v>1018</v>
      </c>
    </row>
    <row r="675" spans="1:6" x14ac:dyDescent="0.25">
      <c r="A675" t="s">
        <v>4200</v>
      </c>
      <c r="B675" t="s">
        <v>1008</v>
      </c>
      <c r="C675" t="s">
        <v>1009</v>
      </c>
      <c r="D675" t="str">
        <f>HYPERLINK("http://service.sap.com/sap/support/notes/1743977","1743977")</f>
        <v>1743977</v>
      </c>
      <c r="E675">
        <v>1</v>
      </c>
      <c r="F675" t="s">
        <v>1019</v>
      </c>
    </row>
    <row r="676" spans="1:6" x14ac:dyDescent="0.25">
      <c r="A676" t="s">
        <v>4200</v>
      </c>
      <c r="B676" t="s">
        <v>1008</v>
      </c>
      <c r="C676" t="s">
        <v>1009</v>
      </c>
      <c r="D676" t="str">
        <f>HYPERLINK("http://service.sap.com/sap/support/notes/1744143","1744143")</f>
        <v>1744143</v>
      </c>
      <c r="E676">
        <v>1</v>
      </c>
      <c r="F676" t="s">
        <v>1020</v>
      </c>
    </row>
    <row r="677" spans="1:6" x14ac:dyDescent="0.25">
      <c r="A677" t="s">
        <v>4200</v>
      </c>
      <c r="B677" t="s">
        <v>1008</v>
      </c>
      <c r="C677" t="s">
        <v>1009</v>
      </c>
      <c r="D677" t="str">
        <f>HYPERLINK("http://service.sap.com/sap/support/notes/1755485","1755485")</f>
        <v>1755485</v>
      </c>
      <c r="E677">
        <v>1</v>
      </c>
      <c r="F677" t="s">
        <v>1021</v>
      </c>
    </row>
    <row r="678" spans="1:6" x14ac:dyDescent="0.25">
      <c r="A678" t="s">
        <v>4200</v>
      </c>
      <c r="B678" t="s">
        <v>1008</v>
      </c>
      <c r="C678" t="s">
        <v>1009</v>
      </c>
      <c r="D678" t="str">
        <f>HYPERLINK("http://service.sap.com/sap/support/notes/1766383","1766383")</f>
        <v>1766383</v>
      </c>
      <c r="E678">
        <v>1</v>
      </c>
      <c r="F678" t="s">
        <v>1022</v>
      </c>
    </row>
    <row r="679" spans="1:6" x14ac:dyDescent="0.25">
      <c r="A679" t="s">
        <v>4200</v>
      </c>
      <c r="B679" t="s">
        <v>1023</v>
      </c>
      <c r="C679" t="s">
        <v>1024</v>
      </c>
      <c r="D679" t="str">
        <f>HYPERLINK("http://service.sap.com/sap/support/notes/1642124","1642124")</f>
        <v>1642124</v>
      </c>
      <c r="E679">
        <v>3</v>
      </c>
      <c r="F679" t="s">
        <v>1025</v>
      </c>
    </row>
    <row r="680" spans="1:6" x14ac:dyDescent="0.25">
      <c r="A680" t="s">
        <v>4200</v>
      </c>
      <c r="B680" t="s">
        <v>1023</v>
      </c>
      <c r="C680" t="s">
        <v>1024</v>
      </c>
      <c r="D680" t="str">
        <f>HYPERLINK("http://service.sap.com/sap/support/notes/1700478","1700478")</f>
        <v>1700478</v>
      </c>
      <c r="E680">
        <v>2</v>
      </c>
      <c r="F680" t="s">
        <v>1026</v>
      </c>
    </row>
    <row r="681" spans="1:6" x14ac:dyDescent="0.25">
      <c r="A681" t="s">
        <v>4200</v>
      </c>
      <c r="B681" t="s">
        <v>1023</v>
      </c>
      <c r="C681" t="s">
        <v>1024</v>
      </c>
      <c r="D681" t="str">
        <f>HYPERLINK("http://service.sap.com/sap/support/notes/1719593","1719593")</f>
        <v>1719593</v>
      </c>
      <c r="E681">
        <v>1</v>
      </c>
      <c r="F681" t="s">
        <v>1027</v>
      </c>
    </row>
    <row r="682" spans="1:6" x14ac:dyDescent="0.25">
      <c r="A682" t="s">
        <v>4200</v>
      </c>
      <c r="B682" t="s">
        <v>1023</v>
      </c>
      <c r="C682" t="s">
        <v>1024</v>
      </c>
      <c r="D682" t="str">
        <f>HYPERLINK("http://service.sap.com/sap/support/notes/1726167","1726167")</f>
        <v>1726167</v>
      </c>
      <c r="E682">
        <v>2</v>
      </c>
      <c r="F682" t="s">
        <v>1028</v>
      </c>
    </row>
    <row r="683" spans="1:6" x14ac:dyDescent="0.25">
      <c r="A683" t="s">
        <v>4200</v>
      </c>
      <c r="B683" t="s">
        <v>1023</v>
      </c>
      <c r="C683" t="s">
        <v>1024</v>
      </c>
      <c r="D683" t="str">
        <f>HYPERLINK("http://service.sap.com/sap/support/notes/1727154","1727154")</f>
        <v>1727154</v>
      </c>
      <c r="E683">
        <v>1</v>
      </c>
      <c r="F683" t="s">
        <v>1029</v>
      </c>
    </row>
    <row r="684" spans="1:6" x14ac:dyDescent="0.25">
      <c r="A684" t="s">
        <v>4200</v>
      </c>
      <c r="B684" t="s">
        <v>1023</v>
      </c>
      <c r="C684" t="s">
        <v>1024</v>
      </c>
      <c r="D684" t="str">
        <f>HYPERLINK("http://service.sap.com/sap/support/notes/1735118","1735118")</f>
        <v>1735118</v>
      </c>
      <c r="E684">
        <v>2</v>
      </c>
      <c r="F684" t="s">
        <v>1030</v>
      </c>
    </row>
    <row r="685" spans="1:6" x14ac:dyDescent="0.25">
      <c r="A685" t="s">
        <v>4200</v>
      </c>
      <c r="B685" t="s">
        <v>1023</v>
      </c>
      <c r="C685" t="s">
        <v>1024</v>
      </c>
      <c r="D685" t="str">
        <f>HYPERLINK("http://service.sap.com/sap/support/notes/1738093","1738093")</f>
        <v>1738093</v>
      </c>
      <c r="E685">
        <v>1</v>
      </c>
      <c r="F685" t="s">
        <v>1031</v>
      </c>
    </row>
    <row r="686" spans="1:6" x14ac:dyDescent="0.25">
      <c r="A686" t="s">
        <v>4200</v>
      </c>
      <c r="B686" t="s">
        <v>1023</v>
      </c>
      <c r="C686" t="s">
        <v>1024</v>
      </c>
      <c r="D686" t="str">
        <f>HYPERLINK("http://service.sap.com/sap/support/notes/1740833","1740833")</f>
        <v>1740833</v>
      </c>
      <c r="E686">
        <v>2</v>
      </c>
      <c r="F686" t="s">
        <v>1032</v>
      </c>
    </row>
    <row r="687" spans="1:6" x14ac:dyDescent="0.25">
      <c r="A687" t="s">
        <v>4200</v>
      </c>
      <c r="B687" t="s">
        <v>1033</v>
      </c>
      <c r="C687" t="s">
        <v>1034</v>
      </c>
      <c r="D687" t="str">
        <f>HYPERLINK("http://service.sap.com/sap/support/notes/1612702","1612702")</f>
        <v>1612702</v>
      </c>
      <c r="E687">
        <v>2</v>
      </c>
      <c r="F687" t="s">
        <v>1035</v>
      </c>
    </row>
    <row r="688" spans="1:6" x14ac:dyDescent="0.25">
      <c r="A688" t="s">
        <v>4200</v>
      </c>
      <c r="B688" t="s">
        <v>1033</v>
      </c>
      <c r="C688" t="s">
        <v>1034</v>
      </c>
      <c r="D688" t="str">
        <f>HYPERLINK("http://service.sap.com/sap/support/notes/1622917","1622917")</f>
        <v>1622917</v>
      </c>
      <c r="E688">
        <v>2</v>
      </c>
      <c r="F688" t="s">
        <v>1036</v>
      </c>
    </row>
    <row r="689" spans="1:6" x14ac:dyDescent="0.25">
      <c r="A689" t="s">
        <v>4200</v>
      </c>
      <c r="B689" t="s">
        <v>1033</v>
      </c>
      <c r="C689" t="s">
        <v>1034</v>
      </c>
      <c r="D689" t="str">
        <f>HYPERLINK("http://service.sap.com/sap/support/notes/1640264","1640264")</f>
        <v>1640264</v>
      </c>
      <c r="E689">
        <v>6</v>
      </c>
      <c r="F689" t="s">
        <v>1037</v>
      </c>
    </row>
    <row r="690" spans="1:6" x14ac:dyDescent="0.25">
      <c r="A690" t="s">
        <v>4200</v>
      </c>
      <c r="B690" t="s">
        <v>1033</v>
      </c>
      <c r="C690" t="s">
        <v>1034</v>
      </c>
      <c r="D690" t="str">
        <f>HYPERLINK("http://service.sap.com/sap/support/notes/1655355","1655355")</f>
        <v>1655355</v>
      </c>
      <c r="E690">
        <v>3</v>
      </c>
      <c r="F690" t="s">
        <v>1038</v>
      </c>
    </row>
    <row r="691" spans="1:6" x14ac:dyDescent="0.25">
      <c r="A691" t="s">
        <v>4200</v>
      </c>
      <c r="B691" t="s">
        <v>1033</v>
      </c>
      <c r="C691" t="s">
        <v>1034</v>
      </c>
      <c r="D691" t="str">
        <f>HYPERLINK("http://service.sap.com/sap/support/notes/1668503","1668503")</f>
        <v>1668503</v>
      </c>
      <c r="E691">
        <v>3</v>
      </c>
      <c r="F691" t="s">
        <v>1039</v>
      </c>
    </row>
    <row r="692" spans="1:6" x14ac:dyDescent="0.25">
      <c r="A692" t="s">
        <v>4200</v>
      </c>
      <c r="B692" t="s">
        <v>1033</v>
      </c>
      <c r="C692" t="s">
        <v>1034</v>
      </c>
      <c r="D692" t="str">
        <f>HYPERLINK("http://service.sap.com/sap/support/notes/1689105","1689105")</f>
        <v>1689105</v>
      </c>
      <c r="E692">
        <v>5</v>
      </c>
      <c r="F692" t="s">
        <v>1040</v>
      </c>
    </row>
    <row r="693" spans="1:6" x14ac:dyDescent="0.25">
      <c r="A693" t="s">
        <v>4200</v>
      </c>
      <c r="B693" t="s">
        <v>1033</v>
      </c>
      <c r="C693" t="s">
        <v>1034</v>
      </c>
      <c r="D693" t="str">
        <f>HYPERLINK("http://service.sap.com/sap/support/notes/1697336","1697336")</f>
        <v>1697336</v>
      </c>
      <c r="E693">
        <v>1</v>
      </c>
      <c r="F693" t="s">
        <v>1041</v>
      </c>
    </row>
    <row r="694" spans="1:6" x14ac:dyDescent="0.25">
      <c r="A694" t="s">
        <v>4200</v>
      </c>
      <c r="B694" t="s">
        <v>1033</v>
      </c>
      <c r="C694" t="s">
        <v>1034</v>
      </c>
      <c r="D694" t="str">
        <f>HYPERLINK("http://service.sap.com/sap/support/notes/1697981","1697981")</f>
        <v>1697981</v>
      </c>
      <c r="E694">
        <v>2</v>
      </c>
      <c r="F694" t="s">
        <v>1042</v>
      </c>
    </row>
    <row r="695" spans="1:6" x14ac:dyDescent="0.25">
      <c r="A695" t="s">
        <v>4200</v>
      </c>
      <c r="B695" t="s">
        <v>1033</v>
      </c>
      <c r="C695" t="s">
        <v>1034</v>
      </c>
      <c r="D695" t="str">
        <f>HYPERLINK("http://service.sap.com/sap/support/notes/1704372","1704372")</f>
        <v>1704372</v>
      </c>
      <c r="E695">
        <v>1</v>
      </c>
      <c r="F695" t="s">
        <v>1043</v>
      </c>
    </row>
    <row r="696" spans="1:6" x14ac:dyDescent="0.25">
      <c r="A696" t="s">
        <v>4200</v>
      </c>
      <c r="B696" t="s">
        <v>1033</v>
      </c>
      <c r="C696" t="s">
        <v>1034</v>
      </c>
      <c r="D696" t="str">
        <f>HYPERLINK("http://service.sap.com/sap/support/notes/1707085","1707085")</f>
        <v>1707085</v>
      </c>
      <c r="E696">
        <v>4</v>
      </c>
      <c r="F696" t="s">
        <v>1044</v>
      </c>
    </row>
    <row r="697" spans="1:6" x14ac:dyDescent="0.25">
      <c r="A697" t="s">
        <v>4200</v>
      </c>
      <c r="B697" t="s">
        <v>1033</v>
      </c>
      <c r="C697" t="s">
        <v>1034</v>
      </c>
      <c r="D697" t="str">
        <f>HYPERLINK("http://service.sap.com/sap/support/notes/1711972","1711972")</f>
        <v>1711972</v>
      </c>
      <c r="E697">
        <v>1</v>
      </c>
      <c r="F697" t="s">
        <v>1045</v>
      </c>
    </row>
    <row r="698" spans="1:6" x14ac:dyDescent="0.25">
      <c r="A698" t="s">
        <v>4200</v>
      </c>
      <c r="B698" t="s">
        <v>1033</v>
      </c>
      <c r="C698" t="s">
        <v>1034</v>
      </c>
      <c r="D698" t="str">
        <f>HYPERLINK("http://service.sap.com/sap/support/notes/1719976","1719976")</f>
        <v>1719976</v>
      </c>
      <c r="E698">
        <v>3</v>
      </c>
      <c r="F698" t="s">
        <v>1046</v>
      </c>
    </row>
    <row r="699" spans="1:6" x14ac:dyDescent="0.25">
      <c r="A699" t="s">
        <v>4200</v>
      </c>
      <c r="B699" t="s">
        <v>1033</v>
      </c>
      <c r="C699" t="s">
        <v>1034</v>
      </c>
      <c r="D699" t="str">
        <f>HYPERLINK("http://service.sap.com/sap/support/notes/1725723","1725723")</f>
        <v>1725723</v>
      </c>
      <c r="E699">
        <v>2</v>
      </c>
      <c r="F699" t="s">
        <v>1047</v>
      </c>
    </row>
    <row r="700" spans="1:6" x14ac:dyDescent="0.25">
      <c r="A700" t="s">
        <v>4200</v>
      </c>
      <c r="B700" t="s">
        <v>1033</v>
      </c>
      <c r="C700" t="s">
        <v>1034</v>
      </c>
      <c r="D700" t="str">
        <f>HYPERLINK("http://service.sap.com/sap/support/notes/1730049","1730049")</f>
        <v>1730049</v>
      </c>
      <c r="E700">
        <v>1</v>
      </c>
      <c r="F700" t="s">
        <v>1048</v>
      </c>
    </row>
    <row r="701" spans="1:6" x14ac:dyDescent="0.25">
      <c r="A701" t="s">
        <v>4200</v>
      </c>
      <c r="B701" t="s">
        <v>1033</v>
      </c>
      <c r="C701" t="s">
        <v>1034</v>
      </c>
      <c r="D701" t="str">
        <f>HYPERLINK("http://service.sap.com/sap/support/notes/1736322","1736322")</f>
        <v>1736322</v>
      </c>
      <c r="E701">
        <v>1</v>
      </c>
      <c r="F701" t="s">
        <v>1049</v>
      </c>
    </row>
    <row r="702" spans="1:6" x14ac:dyDescent="0.25">
      <c r="A702" t="s">
        <v>4200</v>
      </c>
      <c r="B702" t="s">
        <v>1033</v>
      </c>
      <c r="C702" t="s">
        <v>1034</v>
      </c>
      <c r="D702" t="str">
        <f>HYPERLINK("http://service.sap.com/sap/support/notes/1744432","1744432")</f>
        <v>1744432</v>
      </c>
      <c r="E702">
        <v>1</v>
      </c>
      <c r="F702" t="s">
        <v>1050</v>
      </c>
    </row>
    <row r="703" spans="1:6" x14ac:dyDescent="0.25">
      <c r="A703" t="s">
        <v>4200</v>
      </c>
      <c r="B703" t="s">
        <v>1051</v>
      </c>
      <c r="C703" t="s">
        <v>1052</v>
      </c>
      <c r="D703" t="str">
        <f>HYPERLINK("http://service.sap.com/sap/support/notes/1684492","1684492")</f>
        <v>1684492</v>
      </c>
      <c r="E703">
        <v>2</v>
      </c>
      <c r="F703" t="s">
        <v>1053</v>
      </c>
    </row>
    <row r="704" spans="1:6" x14ac:dyDescent="0.25">
      <c r="A704" t="s">
        <v>4200</v>
      </c>
      <c r="B704" t="s">
        <v>1051</v>
      </c>
      <c r="C704" t="s">
        <v>1052</v>
      </c>
      <c r="D704" t="str">
        <f>HYPERLINK("http://service.sap.com/sap/support/notes/1715730","1715730")</f>
        <v>1715730</v>
      </c>
      <c r="E704">
        <v>1</v>
      </c>
      <c r="F704" t="s">
        <v>1054</v>
      </c>
    </row>
    <row r="705" spans="1:6" x14ac:dyDescent="0.25">
      <c r="A705" t="s">
        <v>4200</v>
      </c>
      <c r="B705" t="s">
        <v>1051</v>
      </c>
      <c r="C705" t="s">
        <v>1052</v>
      </c>
      <c r="D705" t="str">
        <f>HYPERLINK("http://service.sap.com/sap/support/notes/1720754","1720754")</f>
        <v>1720754</v>
      </c>
      <c r="E705">
        <v>8</v>
      </c>
      <c r="F705" t="s">
        <v>1055</v>
      </c>
    </row>
    <row r="706" spans="1:6" x14ac:dyDescent="0.25">
      <c r="A706" t="s">
        <v>4200</v>
      </c>
      <c r="B706" t="s">
        <v>1051</v>
      </c>
      <c r="C706" t="s">
        <v>1052</v>
      </c>
      <c r="D706" t="str">
        <f>HYPERLINK("http://service.sap.com/sap/support/notes/1733553","1733553")</f>
        <v>1733553</v>
      </c>
      <c r="E706">
        <v>4</v>
      </c>
      <c r="F706" t="s">
        <v>1056</v>
      </c>
    </row>
    <row r="707" spans="1:6" x14ac:dyDescent="0.25">
      <c r="A707" t="s">
        <v>4200</v>
      </c>
      <c r="B707" t="s">
        <v>1051</v>
      </c>
      <c r="C707" t="s">
        <v>1052</v>
      </c>
      <c r="D707" t="str">
        <f>HYPERLINK("http://service.sap.com/sap/support/notes/1750780","1750780")</f>
        <v>1750780</v>
      </c>
      <c r="E707">
        <v>1</v>
      </c>
      <c r="F707" t="s">
        <v>1057</v>
      </c>
    </row>
    <row r="708" spans="1:6" x14ac:dyDescent="0.25">
      <c r="A708" t="s">
        <v>4200</v>
      </c>
      <c r="B708" t="s">
        <v>1058</v>
      </c>
      <c r="C708" t="s">
        <v>1059</v>
      </c>
      <c r="D708" t="str">
        <f>HYPERLINK("http://service.sap.com/sap/support/notes/1586615","1586615")</f>
        <v>1586615</v>
      </c>
      <c r="E708">
        <v>7</v>
      </c>
      <c r="F708" t="s">
        <v>1060</v>
      </c>
    </row>
    <row r="709" spans="1:6" x14ac:dyDescent="0.25">
      <c r="A709" t="s">
        <v>4200</v>
      </c>
      <c r="B709" t="s">
        <v>1058</v>
      </c>
      <c r="C709" t="s">
        <v>1059</v>
      </c>
      <c r="D709" t="str">
        <f>HYPERLINK("http://service.sap.com/sap/support/notes/1696097","1696097")</f>
        <v>1696097</v>
      </c>
      <c r="E709">
        <v>5</v>
      </c>
      <c r="F709" t="s">
        <v>1061</v>
      </c>
    </row>
    <row r="710" spans="1:6" x14ac:dyDescent="0.25">
      <c r="A710" t="s">
        <v>4200</v>
      </c>
      <c r="B710" t="s">
        <v>1058</v>
      </c>
      <c r="C710" t="s">
        <v>1059</v>
      </c>
      <c r="D710" t="str">
        <f>HYPERLINK("http://service.sap.com/sap/support/notes/1705679","1705679")</f>
        <v>1705679</v>
      </c>
      <c r="E710">
        <v>3</v>
      </c>
      <c r="F710" t="s">
        <v>1062</v>
      </c>
    </row>
    <row r="711" spans="1:6" x14ac:dyDescent="0.25">
      <c r="A711" t="s">
        <v>4200</v>
      </c>
      <c r="B711" t="s">
        <v>1058</v>
      </c>
      <c r="C711" t="s">
        <v>1059</v>
      </c>
      <c r="D711" t="str">
        <f>HYPERLINK("http://service.sap.com/sap/support/notes/1739833","1739833")</f>
        <v>1739833</v>
      </c>
      <c r="E711">
        <v>2</v>
      </c>
      <c r="F711" t="s">
        <v>1063</v>
      </c>
    </row>
    <row r="712" spans="1:6" x14ac:dyDescent="0.25">
      <c r="A712" t="s">
        <v>4200</v>
      </c>
      <c r="B712" t="s">
        <v>1058</v>
      </c>
      <c r="C712" t="s">
        <v>1059</v>
      </c>
      <c r="D712" t="str">
        <f>HYPERLINK("http://service.sap.com/sap/support/notes/1742067","1742067")</f>
        <v>1742067</v>
      </c>
      <c r="E712">
        <v>1</v>
      </c>
      <c r="F712" t="s">
        <v>1064</v>
      </c>
    </row>
    <row r="713" spans="1:6" x14ac:dyDescent="0.25">
      <c r="A713" t="s">
        <v>4200</v>
      </c>
      <c r="B713" t="s">
        <v>1065</v>
      </c>
      <c r="C713" t="s">
        <v>1066</v>
      </c>
      <c r="D713" t="str">
        <f>HYPERLINK("http://service.sap.com/sap/support/notes/1745637","1745637")</f>
        <v>1745637</v>
      </c>
      <c r="E713">
        <v>4</v>
      </c>
      <c r="F713" t="s">
        <v>1067</v>
      </c>
    </row>
    <row r="714" spans="1:6" x14ac:dyDescent="0.25">
      <c r="A714" t="s">
        <v>4200</v>
      </c>
      <c r="B714" t="s">
        <v>1068</v>
      </c>
      <c r="C714" t="s">
        <v>1069</v>
      </c>
      <c r="D714" t="str">
        <f>HYPERLINK("http://service.sap.com/sap/support/notes/1485116","1485116")</f>
        <v>1485116</v>
      </c>
      <c r="E714">
        <v>1</v>
      </c>
      <c r="F714" t="s">
        <v>1070</v>
      </c>
    </row>
    <row r="715" spans="1:6" x14ac:dyDescent="0.25">
      <c r="A715" t="s">
        <v>4200</v>
      </c>
      <c r="B715" t="s">
        <v>1068</v>
      </c>
      <c r="C715" t="s">
        <v>1069</v>
      </c>
      <c r="D715" t="str">
        <f>HYPERLINK("http://service.sap.com/sap/support/notes/1685703","1685703")</f>
        <v>1685703</v>
      </c>
      <c r="E715">
        <v>4</v>
      </c>
      <c r="F715" t="s">
        <v>1071</v>
      </c>
    </row>
    <row r="716" spans="1:6" x14ac:dyDescent="0.25">
      <c r="A716" t="s">
        <v>4200</v>
      </c>
      <c r="B716" t="s">
        <v>1068</v>
      </c>
      <c r="C716" t="s">
        <v>1069</v>
      </c>
      <c r="D716" t="str">
        <f>HYPERLINK("http://service.sap.com/sap/support/notes/1764030","1764030")</f>
        <v>1764030</v>
      </c>
      <c r="E716">
        <v>1</v>
      </c>
      <c r="F716" t="s">
        <v>1072</v>
      </c>
    </row>
    <row r="717" spans="1:6" x14ac:dyDescent="0.25">
      <c r="A717" t="s">
        <v>4200</v>
      </c>
      <c r="B717" t="s">
        <v>1068</v>
      </c>
      <c r="C717" t="s">
        <v>1069</v>
      </c>
      <c r="D717" t="str">
        <f>HYPERLINK("http://service.sap.com/sap/support/notes/1766307","1766307")</f>
        <v>1766307</v>
      </c>
      <c r="E717">
        <v>1</v>
      </c>
      <c r="F717" t="s">
        <v>1073</v>
      </c>
    </row>
    <row r="718" spans="1:6" x14ac:dyDescent="0.25">
      <c r="A718" t="s">
        <v>4200</v>
      </c>
      <c r="B718" t="s">
        <v>1074</v>
      </c>
      <c r="C718" t="s">
        <v>1075</v>
      </c>
      <c r="D718" t="str">
        <f>HYPERLINK("http://service.sap.com/sap/support/notes/1719344","1719344")</f>
        <v>1719344</v>
      </c>
      <c r="E718">
        <v>2</v>
      </c>
      <c r="F718" t="s">
        <v>1076</v>
      </c>
    </row>
    <row r="719" spans="1:6" x14ac:dyDescent="0.25">
      <c r="A719" t="s">
        <v>4200</v>
      </c>
      <c r="B719" t="s">
        <v>1074</v>
      </c>
      <c r="C719" t="s">
        <v>1075</v>
      </c>
      <c r="D719" t="str">
        <f>HYPERLINK("http://service.sap.com/sap/support/notes/1724029","1724029")</f>
        <v>1724029</v>
      </c>
      <c r="E719">
        <v>1</v>
      </c>
      <c r="F719" t="s">
        <v>1077</v>
      </c>
    </row>
    <row r="720" spans="1:6" x14ac:dyDescent="0.25">
      <c r="A720" t="s">
        <v>4200</v>
      </c>
      <c r="B720" t="s">
        <v>1074</v>
      </c>
      <c r="C720" t="s">
        <v>1075</v>
      </c>
      <c r="D720" t="str">
        <f>HYPERLINK("http://service.sap.com/sap/support/notes/1756516","1756516")</f>
        <v>1756516</v>
      </c>
      <c r="E720">
        <v>1</v>
      </c>
      <c r="F720" t="s">
        <v>1078</v>
      </c>
    </row>
    <row r="721" spans="1:6" x14ac:dyDescent="0.25">
      <c r="A721" t="s">
        <v>4200</v>
      </c>
      <c r="B721" t="s">
        <v>1079</v>
      </c>
      <c r="C721" t="s">
        <v>1080</v>
      </c>
    </row>
    <row r="722" spans="1:6" x14ac:dyDescent="0.25">
      <c r="A722" t="s">
        <v>4200</v>
      </c>
      <c r="B722" t="s">
        <v>1081</v>
      </c>
      <c r="C722" t="s">
        <v>1082</v>
      </c>
      <c r="D722" t="str">
        <f>HYPERLINK("http://service.sap.com/sap/support/notes/1653295","1653295")</f>
        <v>1653295</v>
      </c>
      <c r="E722">
        <v>1</v>
      </c>
      <c r="F722" t="s">
        <v>1083</v>
      </c>
    </row>
    <row r="723" spans="1:6" x14ac:dyDescent="0.25">
      <c r="A723" t="s">
        <v>4200</v>
      </c>
      <c r="B723" t="s">
        <v>1081</v>
      </c>
      <c r="C723" t="s">
        <v>1082</v>
      </c>
      <c r="D723" t="str">
        <f>HYPERLINK("http://service.sap.com/sap/support/notes/1667460","1667460")</f>
        <v>1667460</v>
      </c>
      <c r="E723">
        <v>1</v>
      </c>
      <c r="F723" t="s">
        <v>1084</v>
      </c>
    </row>
    <row r="724" spans="1:6" x14ac:dyDescent="0.25">
      <c r="A724" t="s">
        <v>4200</v>
      </c>
      <c r="B724" t="s">
        <v>1081</v>
      </c>
      <c r="C724" t="s">
        <v>1082</v>
      </c>
      <c r="D724" t="str">
        <f>HYPERLINK("http://service.sap.com/sap/support/notes/1703421","1703421")</f>
        <v>1703421</v>
      </c>
      <c r="E724">
        <v>3</v>
      </c>
      <c r="F724" t="s">
        <v>1085</v>
      </c>
    </row>
    <row r="725" spans="1:6" x14ac:dyDescent="0.25">
      <c r="A725" t="s">
        <v>4200</v>
      </c>
      <c r="B725" t="s">
        <v>1081</v>
      </c>
      <c r="C725" t="s">
        <v>1082</v>
      </c>
      <c r="D725" t="str">
        <f>HYPERLINK("http://service.sap.com/sap/support/notes/1715127","1715127")</f>
        <v>1715127</v>
      </c>
      <c r="E725">
        <v>2</v>
      </c>
      <c r="F725" t="s">
        <v>1086</v>
      </c>
    </row>
    <row r="726" spans="1:6" x14ac:dyDescent="0.25">
      <c r="A726" t="s">
        <v>4200</v>
      </c>
      <c r="B726" t="s">
        <v>1081</v>
      </c>
      <c r="C726" t="s">
        <v>1082</v>
      </c>
      <c r="D726" t="str">
        <f>HYPERLINK("http://service.sap.com/sap/support/notes/1744481","1744481")</f>
        <v>1744481</v>
      </c>
      <c r="E726">
        <v>2</v>
      </c>
      <c r="F726" t="s">
        <v>1087</v>
      </c>
    </row>
    <row r="727" spans="1:6" x14ac:dyDescent="0.25">
      <c r="A727" t="s">
        <v>4200</v>
      </c>
      <c r="B727" t="s">
        <v>1081</v>
      </c>
      <c r="C727" t="s">
        <v>1082</v>
      </c>
      <c r="D727" t="str">
        <f>HYPERLINK("http://service.sap.com/sap/support/notes/1747464","1747464")</f>
        <v>1747464</v>
      </c>
      <c r="E727">
        <v>1</v>
      </c>
      <c r="F727" t="s">
        <v>1088</v>
      </c>
    </row>
    <row r="728" spans="1:6" x14ac:dyDescent="0.25">
      <c r="A728" t="s">
        <v>4200</v>
      </c>
      <c r="B728" t="s">
        <v>1081</v>
      </c>
      <c r="C728" t="s">
        <v>1082</v>
      </c>
      <c r="D728" t="str">
        <f>HYPERLINK("http://service.sap.com/sap/support/notes/1748423","1748423")</f>
        <v>1748423</v>
      </c>
      <c r="E728">
        <v>1</v>
      </c>
      <c r="F728" t="s">
        <v>1089</v>
      </c>
    </row>
    <row r="729" spans="1:6" x14ac:dyDescent="0.25">
      <c r="A729" t="s">
        <v>4200</v>
      </c>
      <c r="B729" t="s">
        <v>1081</v>
      </c>
      <c r="C729" t="s">
        <v>1082</v>
      </c>
      <c r="D729" t="str">
        <f>HYPERLINK("http://service.sap.com/sap/support/notes/1749950","1749950")</f>
        <v>1749950</v>
      </c>
      <c r="E729">
        <v>1</v>
      </c>
      <c r="F729" t="s">
        <v>1090</v>
      </c>
    </row>
    <row r="730" spans="1:6" x14ac:dyDescent="0.25">
      <c r="A730" t="s">
        <v>4200</v>
      </c>
      <c r="B730" t="s">
        <v>1081</v>
      </c>
      <c r="C730" t="s">
        <v>1082</v>
      </c>
      <c r="D730" t="str">
        <f>HYPERLINK("http://service.sap.com/sap/support/notes/1751951","1751951")</f>
        <v>1751951</v>
      </c>
      <c r="E730">
        <v>1</v>
      </c>
      <c r="F730" t="s">
        <v>1091</v>
      </c>
    </row>
    <row r="731" spans="1:6" x14ac:dyDescent="0.25">
      <c r="A731" t="s">
        <v>4200</v>
      </c>
      <c r="B731" t="s">
        <v>1081</v>
      </c>
      <c r="C731" t="s">
        <v>1082</v>
      </c>
      <c r="D731" t="str">
        <f>HYPERLINK("http://service.sap.com/sap/support/notes/1754108","1754108")</f>
        <v>1754108</v>
      </c>
      <c r="E731">
        <v>2</v>
      </c>
      <c r="F731" t="s">
        <v>1092</v>
      </c>
    </row>
    <row r="732" spans="1:6" x14ac:dyDescent="0.25">
      <c r="A732" t="s">
        <v>4200</v>
      </c>
      <c r="B732" t="s">
        <v>1081</v>
      </c>
      <c r="C732" t="s">
        <v>1082</v>
      </c>
      <c r="D732" t="str">
        <f>HYPERLINK("http://service.sap.com/sap/support/notes/1756685","1756685")</f>
        <v>1756685</v>
      </c>
      <c r="E732">
        <v>1</v>
      </c>
      <c r="F732" t="s">
        <v>1093</v>
      </c>
    </row>
    <row r="733" spans="1:6" x14ac:dyDescent="0.25">
      <c r="A733" t="s">
        <v>4200</v>
      </c>
      <c r="B733" t="s">
        <v>1081</v>
      </c>
      <c r="C733" t="s">
        <v>1082</v>
      </c>
      <c r="D733" t="str">
        <f>HYPERLINK("http://service.sap.com/sap/support/notes/1761658","1761658")</f>
        <v>1761658</v>
      </c>
      <c r="E733">
        <v>1</v>
      </c>
      <c r="F733" t="s">
        <v>1094</v>
      </c>
    </row>
    <row r="734" spans="1:6" x14ac:dyDescent="0.25">
      <c r="A734" t="s">
        <v>4200</v>
      </c>
      <c r="B734" t="s">
        <v>1081</v>
      </c>
      <c r="C734" t="s">
        <v>1082</v>
      </c>
      <c r="D734" t="str">
        <f>HYPERLINK("http://service.sap.com/sap/support/notes/1766639","1766639")</f>
        <v>1766639</v>
      </c>
      <c r="E734">
        <v>3</v>
      </c>
      <c r="F734" t="s">
        <v>1095</v>
      </c>
    </row>
    <row r="735" spans="1:6" x14ac:dyDescent="0.25">
      <c r="A735" t="s">
        <v>4200</v>
      </c>
      <c r="B735" t="s">
        <v>1096</v>
      </c>
      <c r="C735" t="s">
        <v>1097</v>
      </c>
      <c r="D735" t="str">
        <f>HYPERLINK("http://service.sap.com/sap/support/notes/855538","855538")</f>
        <v>855538</v>
      </c>
      <c r="E735">
        <v>1</v>
      </c>
      <c r="F735" t="s">
        <v>1098</v>
      </c>
    </row>
    <row r="736" spans="1:6" x14ac:dyDescent="0.25">
      <c r="A736" t="s">
        <v>4200</v>
      </c>
      <c r="B736" t="s">
        <v>1096</v>
      </c>
      <c r="C736" t="s">
        <v>1097</v>
      </c>
      <c r="D736" t="str">
        <f>HYPERLINK("http://service.sap.com/sap/support/notes/1647368","1647368")</f>
        <v>1647368</v>
      </c>
      <c r="E736">
        <v>1</v>
      </c>
      <c r="F736" t="s">
        <v>1099</v>
      </c>
    </row>
    <row r="737" spans="1:6" x14ac:dyDescent="0.25">
      <c r="A737" t="s">
        <v>4200</v>
      </c>
      <c r="B737" t="s">
        <v>1096</v>
      </c>
      <c r="C737" t="s">
        <v>1097</v>
      </c>
      <c r="D737" t="str">
        <f>HYPERLINK("http://service.sap.com/sap/support/notes/1709015","1709015")</f>
        <v>1709015</v>
      </c>
      <c r="E737">
        <v>5</v>
      </c>
      <c r="F737" t="s">
        <v>1100</v>
      </c>
    </row>
    <row r="738" spans="1:6" x14ac:dyDescent="0.25">
      <c r="A738" t="s">
        <v>4200</v>
      </c>
      <c r="B738" t="s">
        <v>1096</v>
      </c>
      <c r="C738" t="s">
        <v>1097</v>
      </c>
      <c r="D738" t="str">
        <f>HYPERLINK("http://service.sap.com/sap/support/notes/1712008","1712008")</f>
        <v>1712008</v>
      </c>
      <c r="E738">
        <v>3</v>
      </c>
      <c r="F738" t="s">
        <v>1101</v>
      </c>
    </row>
    <row r="739" spans="1:6" x14ac:dyDescent="0.25">
      <c r="A739" t="s">
        <v>4200</v>
      </c>
      <c r="B739" t="s">
        <v>1096</v>
      </c>
      <c r="C739" t="s">
        <v>1097</v>
      </c>
      <c r="D739" t="str">
        <f>HYPERLINK("http://service.sap.com/sap/support/notes/1728493","1728493")</f>
        <v>1728493</v>
      </c>
      <c r="E739">
        <v>2</v>
      </c>
      <c r="F739" t="s">
        <v>1102</v>
      </c>
    </row>
    <row r="740" spans="1:6" x14ac:dyDescent="0.25">
      <c r="A740" t="s">
        <v>4200</v>
      </c>
      <c r="B740" t="s">
        <v>1096</v>
      </c>
      <c r="C740" t="s">
        <v>1097</v>
      </c>
      <c r="D740" t="str">
        <f>HYPERLINK("http://service.sap.com/sap/support/notes/1731947","1731947")</f>
        <v>1731947</v>
      </c>
      <c r="E740">
        <v>1</v>
      </c>
      <c r="F740" t="s">
        <v>1103</v>
      </c>
    </row>
    <row r="741" spans="1:6" x14ac:dyDescent="0.25">
      <c r="A741" t="s">
        <v>4200</v>
      </c>
      <c r="B741" t="s">
        <v>1096</v>
      </c>
      <c r="C741" t="s">
        <v>1097</v>
      </c>
      <c r="D741" t="str">
        <f>HYPERLINK("http://service.sap.com/sap/support/notes/1734128","1734128")</f>
        <v>1734128</v>
      </c>
      <c r="E741">
        <v>3</v>
      </c>
      <c r="F741" t="s">
        <v>1104</v>
      </c>
    </row>
    <row r="742" spans="1:6" x14ac:dyDescent="0.25">
      <c r="A742" t="s">
        <v>4200</v>
      </c>
      <c r="B742" t="s">
        <v>1096</v>
      </c>
      <c r="C742" t="s">
        <v>1097</v>
      </c>
      <c r="D742" t="str">
        <f>HYPERLINK("http://service.sap.com/sap/support/notes/1736181","1736181")</f>
        <v>1736181</v>
      </c>
      <c r="E742">
        <v>1</v>
      </c>
      <c r="F742" t="s">
        <v>1105</v>
      </c>
    </row>
    <row r="743" spans="1:6" x14ac:dyDescent="0.25">
      <c r="A743" t="s">
        <v>4200</v>
      </c>
      <c r="B743" t="s">
        <v>1096</v>
      </c>
      <c r="C743" t="s">
        <v>1097</v>
      </c>
      <c r="D743" t="str">
        <f>HYPERLINK("http://service.sap.com/sap/support/notes/1755323","1755323")</f>
        <v>1755323</v>
      </c>
      <c r="E743">
        <v>1</v>
      </c>
      <c r="F743" t="s">
        <v>1106</v>
      </c>
    </row>
    <row r="744" spans="1:6" x14ac:dyDescent="0.25">
      <c r="A744" t="s">
        <v>4200</v>
      </c>
      <c r="B744" t="s">
        <v>1096</v>
      </c>
      <c r="C744" t="s">
        <v>1097</v>
      </c>
      <c r="D744" t="str">
        <f>HYPERLINK("http://service.sap.com/sap/support/notes/1758539","1758539")</f>
        <v>1758539</v>
      </c>
      <c r="E744">
        <v>1</v>
      </c>
      <c r="F744" t="s">
        <v>1107</v>
      </c>
    </row>
    <row r="745" spans="1:6" x14ac:dyDescent="0.25">
      <c r="A745" t="s">
        <v>4200</v>
      </c>
      <c r="B745" t="s">
        <v>1108</v>
      </c>
      <c r="C745" t="s">
        <v>151</v>
      </c>
      <c r="D745" t="str">
        <f>HYPERLINK("http://service.sap.com/sap/support/notes/1747103","1747103")</f>
        <v>1747103</v>
      </c>
      <c r="E745">
        <v>2</v>
      </c>
      <c r="F745" t="s">
        <v>1109</v>
      </c>
    </row>
    <row r="746" spans="1:6" x14ac:dyDescent="0.25">
      <c r="A746" t="s">
        <v>4200</v>
      </c>
      <c r="B746" t="s">
        <v>1110</v>
      </c>
      <c r="C746" t="s">
        <v>1111</v>
      </c>
      <c r="D746" t="str">
        <f>HYPERLINK("http://service.sap.com/sap/support/notes/666375","666375")</f>
        <v>666375</v>
      </c>
      <c r="E746">
        <v>4</v>
      </c>
      <c r="F746" t="s">
        <v>1112</v>
      </c>
    </row>
    <row r="747" spans="1:6" x14ac:dyDescent="0.25">
      <c r="A747" t="s">
        <v>4200</v>
      </c>
      <c r="B747" t="s">
        <v>1110</v>
      </c>
      <c r="C747" t="s">
        <v>1111</v>
      </c>
      <c r="D747" t="str">
        <f>HYPERLINK("http://service.sap.com/sap/support/notes/1548583","1548583")</f>
        <v>1548583</v>
      </c>
      <c r="E747">
        <v>1</v>
      </c>
      <c r="F747" t="s">
        <v>1113</v>
      </c>
    </row>
    <row r="748" spans="1:6" x14ac:dyDescent="0.25">
      <c r="A748" t="s">
        <v>4200</v>
      </c>
      <c r="B748" t="s">
        <v>1110</v>
      </c>
      <c r="C748" t="s">
        <v>1111</v>
      </c>
      <c r="D748" t="str">
        <f>HYPERLINK("http://service.sap.com/sap/support/notes/1714467","1714467")</f>
        <v>1714467</v>
      </c>
      <c r="E748">
        <v>1</v>
      </c>
      <c r="F748" t="s">
        <v>1114</v>
      </c>
    </row>
    <row r="749" spans="1:6" x14ac:dyDescent="0.25">
      <c r="A749" t="s">
        <v>4200</v>
      </c>
      <c r="B749" t="s">
        <v>1110</v>
      </c>
      <c r="C749" t="s">
        <v>1111</v>
      </c>
      <c r="D749" t="str">
        <f>HYPERLINK("http://service.sap.com/sap/support/notes/1715328","1715328")</f>
        <v>1715328</v>
      </c>
      <c r="E749">
        <v>1</v>
      </c>
      <c r="F749" t="s">
        <v>1115</v>
      </c>
    </row>
    <row r="750" spans="1:6" x14ac:dyDescent="0.25">
      <c r="A750" t="s">
        <v>4200</v>
      </c>
      <c r="B750" t="s">
        <v>1110</v>
      </c>
      <c r="C750" t="s">
        <v>1111</v>
      </c>
      <c r="D750" t="str">
        <f>HYPERLINK("http://service.sap.com/sap/support/notes/1722558","1722558")</f>
        <v>1722558</v>
      </c>
      <c r="E750">
        <v>2</v>
      </c>
      <c r="F750" t="s">
        <v>1116</v>
      </c>
    </row>
    <row r="751" spans="1:6" x14ac:dyDescent="0.25">
      <c r="A751" t="s">
        <v>4200</v>
      </c>
      <c r="B751" t="s">
        <v>1110</v>
      </c>
      <c r="C751" t="s">
        <v>1111</v>
      </c>
      <c r="D751" t="str">
        <f>HYPERLINK("http://service.sap.com/sap/support/notes/1726258","1726258")</f>
        <v>1726258</v>
      </c>
      <c r="E751">
        <v>2</v>
      </c>
      <c r="F751" t="s">
        <v>1117</v>
      </c>
    </row>
    <row r="752" spans="1:6" x14ac:dyDescent="0.25">
      <c r="A752" t="s">
        <v>4200</v>
      </c>
      <c r="B752" t="s">
        <v>1110</v>
      </c>
      <c r="C752" t="s">
        <v>1111</v>
      </c>
      <c r="D752" t="str">
        <f>HYPERLINK("http://service.sap.com/sap/support/notes/1727337","1727337")</f>
        <v>1727337</v>
      </c>
      <c r="E752">
        <v>2</v>
      </c>
      <c r="F752" t="s">
        <v>1118</v>
      </c>
    </row>
    <row r="753" spans="1:6" x14ac:dyDescent="0.25">
      <c r="A753" t="s">
        <v>4200</v>
      </c>
      <c r="B753" t="s">
        <v>1110</v>
      </c>
      <c r="C753" t="s">
        <v>1111</v>
      </c>
      <c r="D753" t="str">
        <f>HYPERLINK("http://service.sap.com/sap/support/notes/1740120","1740120")</f>
        <v>1740120</v>
      </c>
      <c r="E753">
        <v>1</v>
      </c>
      <c r="F753" t="s">
        <v>1119</v>
      </c>
    </row>
    <row r="754" spans="1:6" x14ac:dyDescent="0.25">
      <c r="A754" t="s">
        <v>4200</v>
      </c>
      <c r="B754" t="s">
        <v>1110</v>
      </c>
      <c r="C754" t="s">
        <v>1111</v>
      </c>
      <c r="D754" t="str">
        <f>HYPERLINK("http://service.sap.com/sap/support/notes/1740323","1740323")</f>
        <v>1740323</v>
      </c>
      <c r="E754">
        <v>3</v>
      </c>
      <c r="F754" t="s">
        <v>1120</v>
      </c>
    </row>
    <row r="755" spans="1:6" x14ac:dyDescent="0.25">
      <c r="A755" t="s">
        <v>4200</v>
      </c>
      <c r="B755" t="s">
        <v>1110</v>
      </c>
      <c r="C755" t="s">
        <v>1111</v>
      </c>
      <c r="D755" t="str">
        <f>HYPERLINK("http://service.sap.com/sap/support/notes/1743524","1743524")</f>
        <v>1743524</v>
      </c>
      <c r="E755">
        <v>1</v>
      </c>
      <c r="F755" t="s">
        <v>1121</v>
      </c>
    </row>
    <row r="756" spans="1:6" x14ac:dyDescent="0.25">
      <c r="A756" t="s">
        <v>4200</v>
      </c>
      <c r="B756" t="s">
        <v>1110</v>
      </c>
      <c r="C756" t="s">
        <v>1111</v>
      </c>
      <c r="D756" t="str">
        <f>HYPERLINK("http://service.sap.com/sap/support/notes/1743636","1743636")</f>
        <v>1743636</v>
      </c>
      <c r="E756">
        <v>1</v>
      </c>
      <c r="F756" t="s">
        <v>1122</v>
      </c>
    </row>
    <row r="757" spans="1:6" x14ac:dyDescent="0.25">
      <c r="A757" t="s">
        <v>4200</v>
      </c>
      <c r="B757" t="s">
        <v>1110</v>
      </c>
      <c r="C757" t="s">
        <v>1111</v>
      </c>
      <c r="D757" t="str">
        <f>HYPERLINK("http://service.sap.com/sap/support/notes/1744248","1744248")</f>
        <v>1744248</v>
      </c>
      <c r="E757">
        <v>1</v>
      </c>
      <c r="F757" t="s">
        <v>1123</v>
      </c>
    </row>
    <row r="758" spans="1:6" x14ac:dyDescent="0.25">
      <c r="A758" t="s">
        <v>4200</v>
      </c>
      <c r="B758" t="s">
        <v>1110</v>
      </c>
      <c r="C758" t="s">
        <v>1111</v>
      </c>
      <c r="D758" t="str">
        <f>HYPERLINK("http://service.sap.com/sap/support/notes/1749843","1749843")</f>
        <v>1749843</v>
      </c>
      <c r="E758">
        <v>1</v>
      </c>
      <c r="F758" t="s">
        <v>1124</v>
      </c>
    </row>
    <row r="759" spans="1:6" x14ac:dyDescent="0.25">
      <c r="A759" t="s">
        <v>4200</v>
      </c>
      <c r="B759" t="s">
        <v>1110</v>
      </c>
      <c r="C759" t="s">
        <v>1111</v>
      </c>
      <c r="D759" t="str">
        <f>HYPERLINK("http://service.sap.com/sap/support/notes/1750388","1750388")</f>
        <v>1750388</v>
      </c>
      <c r="E759">
        <v>1</v>
      </c>
      <c r="F759" t="s">
        <v>1125</v>
      </c>
    </row>
    <row r="760" spans="1:6" x14ac:dyDescent="0.25">
      <c r="A760" t="s">
        <v>4200</v>
      </c>
      <c r="B760" t="s">
        <v>1110</v>
      </c>
      <c r="C760" t="s">
        <v>1111</v>
      </c>
      <c r="D760" t="str">
        <f>HYPERLINK("http://service.sap.com/sap/support/notes/1760837","1760837")</f>
        <v>1760837</v>
      </c>
      <c r="E760">
        <v>1</v>
      </c>
      <c r="F760" t="s">
        <v>1126</v>
      </c>
    </row>
    <row r="761" spans="1:6" x14ac:dyDescent="0.25">
      <c r="A761" t="s">
        <v>4200</v>
      </c>
      <c r="B761" t="s">
        <v>1110</v>
      </c>
      <c r="C761" t="s">
        <v>1111</v>
      </c>
      <c r="D761" t="str">
        <f>HYPERLINK("http://service.sap.com/sap/support/notes/1766573","1766573")</f>
        <v>1766573</v>
      </c>
      <c r="E761">
        <v>2</v>
      </c>
      <c r="F761" t="s">
        <v>1127</v>
      </c>
    </row>
    <row r="762" spans="1:6" x14ac:dyDescent="0.25">
      <c r="A762" t="s">
        <v>4200</v>
      </c>
      <c r="B762" t="s">
        <v>1128</v>
      </c>
      <c r="C762" t="s">
        <v>1129</v>
      </c>
      <c r="D762" t="str">
        <f>HYPERLINK("http://service.sap.com/sap/support/notes/1720521","1720521")</f>
        <v>1720521</v>
      </c>
      <c r="E762">
        <v>6</v>
      </c>
      <c r="F762" t="s">
        <v>1130</v>
      </c>
    </row>
    <row r="763" spans="1:6" x14ac:dyDescent="0.25">
      <c r="A763" t="s">
        <v>4200</v>
      </c>
      <c r="B763" t="s">
        <v>1128</v>
      </c>
      <c r="C763" t="s">
        <v>1129</v>
      </c>
      <c r="D763" t="str">
        <f>HYPERLINK("http://service.sap.com/sap/support/notes/1723465","1723465")</f>
        <v>1723465</v>
      </c>
      <c r="E763">
        <v>4</v>
      </c>
      <c r="F763" t="s">
        <v>1131</v>
      </c>
    </row>
    <row r="764" spans="1:6" x14ac:dyDescent="0.25">
      <c r="A764" t="s">
        <v>4200</v>
      </c>
      <c r="B764" t="s">
        <v>1128</v>
      </c>
      <c r="C764" t="s">
        <v>1129</v>
      </c>
      <c r="D764" t="str">
        <f>HYPERLINK("http://service.sap.com/sap/support/notes/1731281","1731281")</f>
        <v>1731281</v>
      </c>
      <c r="E764">
        <v>5</v>
      </c>
      <c r="F764" t="s">
        <v>1132</v>
      </c>
    </row>
    <row r="765" spans="1:6" x14ac:dyDescent="0.25">
      <c r="A765" t="s">
        <v>4200</v>
      </c>
      <c r="B765" t="s">
        <v>1133</v>
      </c>
      <c r="C765" t="s">
        <v>1134</v>
      </c>
      <c r="D765" t="str">
        <f>HYPERLINK("http://service.sap.com/sap/support/notes/1702280","1702280")</f>
        <v>1702280</v>
      </c>
      <c r="E765">
        <v>3</v>
      </c>
      <c r="F765" t="s">
        <v>1135</v>
      </c>
    </row>
    <row r="766" spans="1:6" x14ac:dyDescent="0.25">
      <c r="A766" t="s">
        <v>4200</v>
      </c>
      <c r="B766" t="s">
        <v>1136</v>
      </c>
      <c r="C766" t="s">
        <v>1137</v>
      </c>
      <c r="D766" t="str">
        <f>HYPERLINK("http://service.sap.com/sap/support/notes/1759690","1759690")</f>
        <v>1759690</v>
      </c>
      <c r="E766">
        <v>1</v>
      </c>
      <c r="F766" t="s">
        <v>1138</v>
      </c>
    </row>
    <row r="767" spans="1:6" x14ac:dyDescent="0.25">
      <c r="A767" t="s">
        <v>4200</v>
      </c>
      <c r="B767" t="s">
        <v>1139</v>
      </c>
      <c r="C767" t="s">
        <v>971</v>
      </c>
      <c r="D767" t="str">
        <f>HYPERLINK("http://service.sap.com/sap/support/notes/1725503","1725503")</f>
        <v>1725503</v>
      </c>
      <c r="E767">
        <v>1</v>
      </c>
      <c r="F767" t="s">
        <v>1140</v>
      </c>
    </row>
    <row r="768" spans="1:6" x14ac:dyDescent="0.25">
      <c r="A768" t="s">
        <v>4200</v>
      </c>
      <c r="B768" t="s">
        <v>1139</v>
      </c>
      <c r="C768" t="s">
        <v>971</v>
      </c>
      <c r="D768" t="str">
        <f>HYPERLINK("http://service.sap.com/sap/support/notes/1728409","1728409")</f>
        <v>1728409</v>
      </c>
      <c r="E768">
        <v>1</v>
      </c>
      <c r="F768" t="s">
        <v>1141</v>
      </c>
    </row>
    <row r="769" spans="1:6" x14ac:dyDescent="0.25">
      <c r="A769" t="s">
        <v>4200</v>
      </c>
      <c r="B769" t="s">
        <v>1139</v>
      </c>
      <c r="C769" t="s">
        <v>971</v>
      </c>
      <c r="D769" t="str">
        <f>HYPERLINK("http://service.sap.com/sap/support/notes/1732621","1732621")</f>
        <v>1732621</v>
      </c>
      <c r="E769">
        <v>2</v>
      </c>
      <c r="F769" t="s">
        <v>1142</v>
      </c>
    </row>
    <row r="770" spans="1:6" x14ac:dyDescent="0.25">
      <c r="A770" t="s">
        <v>4200</v>
      </c>
      <c r="B770" t="s">
        <v>1139</v>
      </c>
      <c r="C770" t="s">
        <v>971</v>
      </c>
      <c r="D770" t="str">
        <f>HYPERLINK("http://service.sap.com/sap/support/notes/1734108","1734108")</f>
        <v>1734108</v>
      </c>
      <c r="E770">
        <v>1</v>
      </c>
      <c r="F770" t="s">
        <v>1143</v>
      </c>
    </row>
    <row r="771" spans="1:6" x14ac:dyDescent="0.25">
      <c r="A771" t="s">
        <v>4200</v>
      </c>
      <c r="B771" t="s">
        <v>1139</v>
      </c>
      <c r="C771" t="s">
        <v>971</v>
      </c>
      <c r="D771" t="str">
        <f>HYPERLINK("http://service.sap.com/sap/support/notes/1735824","1735824")</f>
        <v>1735824</v>
      </c>
      <c r="E771">
        <v>1</v>
      </c>
      <c r="F771" t="s">
        <v>1144</v>
      </c>
    </row>
    <row r="772" spans="1:6" x14ac:dyDescent="0.25">
      <c r="A772" t="s">
        <v>4200</v>
      </c>
      <c r="B772" t="s">
        <v>1139</v>
      </c>
      <c r="C772" t="s">
        <v>971</v>
      </c>
      <c r="D772" t="str">
        <f>HYPERLINK("http://service.sap.com/sap/support/notes/1740142","1740142")</f>
        <v>1740142</v>
      </c>
      <c r="E772">
        <v>1</v>
      </c>
      <c r="F772" t="s">
        <v>1145</v>
      </c>
    </row>
    <row r="773" spans="1:6" x14ac:dyDescent="0.25">
      <c r="A773" t="s">
        <v>4200</v>
      </c>
      <c r="B773" t="s">
        <v>1139</v>
      </c>
      <c r="C773" t="s">
        <v>971</v>
      </c>
      <c r="D773" t="str">
        <f>HYPERLINK("http://service.sap.com/sap/support/notes/1743017","1743017")</f>
        <v>1743017</v>
      </c>
      <c r="E773">
        <v>2</v>
      </c>
      <c r="F773" t="s">
        <v>1146</v>
      </c>
    </row>
    <row r="774" spans="1:6" x14ac:dyDescent="0.25">
      <c r="A774" t="s">
        <v>4200</v>
      </c>
      <c r="B774" t="s">
        <v>1139</v>
      </c>
      <c r="C774" t="s">
        <v>971</v>
      </c>
      <c r="D774" t="str">
        <f>HYPERLINK("http://service.sap.com/sap/support/notes/1764246","1764246")</f>
        <v>1764246</v>
      </c>
      <c r="E774">
        <v>1</v>
      </c>
      <c r="F774" t="s">
        <v>1147</v>
      </c>
    </row>
    <row r="775" spans="1:6" x14ac:dyDescent="0.25">
      <c r="A775" t="s">
        <v>4200</v>
      </c>
      <c r="B775" t="s">
        <v>1148</v>
      </c>
      <c r="C775" t="s">
        <v>978</v>
      </c>
      <c r="D775" t="str">
        <f>HYPERLINK("http://service.sap.com/sap/support/notes/1702862","1702862")</f>
        <v>1702862</v>
      </c>
      <c r="E775">
        <v>4</v>
      </c>
      <c r="F775" t="s">
        <v>1149</v>
      </c>
    </row>
    <row r="776" spans="1:6" x14ac:dyDescent="0.25">
      <c r="A776" t="s">
        <v>4200</v>
      </c>
      <c r="B776" t="s">
        <v>1150</v>
      </c>
      <c r="C776" t="s">
        <v>1151</v>
      </c>
      <c r="D776" t="str">
        <f>HYPERLINK("http://service.sap.com/sap/support/notes/1653207","1653207")</f>
        <v>1653207</v>
      </c>
      <c r="E776">
        <v>6</v>
      </c>
      <c r="F776" t="s">
        <v>1152</v>
      </c>
    </row>
    <row r="777" spans="1:6" x14ac:dyDescent="0.25">
      <c r="A777" t="s">
        <v>4200</v>
      </c>
      <c r="B777" t="s">
        <v>1150</v>
      </c>
      <c r="C777" t="s">
        <v>1151</v>
      </c>
      <c r="D777" t="str">
        <f>HYPERLINK("http://service.sap.com/sap/support/notes/1659830","1659830")</f>
        <v>1659830</v>
      </c>
      <c r="E777">
        <v>3</v>
      </c>
      <c r="F777" t="s">
        <v>1153</v>
      </c>
    </row>
    <row r="778" spans="1:6" x14ac:dyDescent="0.25">
      <c r="A778" t="s">
        <v>4200</v>
      </c>
      <c r="B778" t="s">
        <v>1150</v>
      </c>
      <c r="C778" t="s">
        <v>1151</v>
      </c>
      <c r="D778" t="str">
        <f>HYPERLINK("http://service.sap.com/sap/support/notes/1705910","1705910")</f>
        <v>1705910</v>
      </c>
      <c r="E778">
        <v>2</v>
      </c>
      <c r="F778" t="s">
        <v>1154</v>
      </c>
    </row>
    <row r="779" spans="1:6" x14ac:dyDescent="0.25">
      <c r="A779" t="s">
        <v>4200</v>
      </c>
      <c r="B779" t="s">
        <v>1150</v>
      </c>
      <c r="C779" t="s">
        <v>1151</v>
      </c>
      <c r="D779" t="str">
        <f>HYPERLINK("http://service.sap.com/sap/support/notes/1712076","1712076")</f>
        <v>1712076</v>
      </c>
      <c r="E779">
        <v>1</v>
      </c>
      <c r="F779" t="s">
        <v>1155</v>
      </c>
    </row>
    <row r="780" spans="1:6" x14ac:dyDescent="0.25">
      <c r="A780" t="s">
        <v>4200</v>
      </c>
      <c r="B780" t="s">
        <v>1150</v>
      </c>
      <c r="C780" t="s">
        <v>1151</v>
      </c>
      <c r="D780" t="str">
        <f>HYPERLINK("http://service.sap.com/sap/support/notes/1719134","1719134")</f>
        <v>1719134</v>
      </c>
      <c r="E780">
        <v>2</v>
      </c>
      <c r="F780" t="s">
        <v>1156</v>
      </c>
    </row>
    <row r="781" spans="1:6" x14ac:dyDescent="0.25">
      <c r="A781" t="s">
        <v>4200</v>
      </c>
      <c r="B781" t="s">
        <v>1150</v>
      </c>
      <c r="C781" t="s">
        <v>1151</v>
      </c>
      <c r="D781" t="str">
        <f>HYPERLINK("http://service.sap.com/sap/support/notes/1719798","1719798")</f>
        <v>1719798</v>
      </c>
      <c r="E781">
        <v>1</v>
      </c>
      <c r="F781" t="s">
        <v>1157</v>
      </c>
    </row>
    <row r="782" spans="1:6" x14ac:dyDescent="0.25">
      <c r="A782" t="s">
        <v>4200</v>
      </c>
      <c r="B782" t="s">
        <v>1150</v>
      </c>
      <c r="C782" t="s">
        <v>1151</v>
      </c>
      <c r="D782" t="str">
        <f>HYPERLINK("http://service.sap.com/sap/support/notes/1722865","1722865")</f>
        <v>1722865</v>
      </c>
      <c r="E782">
        <v>2</v>
      </c>
      <c r="F782" t="s">
        <v>1158</v>
      </c>
    </row>
    <row r="783" spans="1:6" x14ac:dyDescent="0.25">
      <c r="A783" t="s">
        <v>4200</v>
      </c>
      <c r="B783" t="s">
        <v>1150</v>
      </c>
      <c r="C783" t="s">
        <v>1151</v>
      </c>
      <c r="D783" t="str">
        <f>HYPERLINK("http://service.sap.com/sap/support/notes/1723137","1723137")</f>
        <v>1723137</v>
      </c>
      <c r="E783">
        <v>2</v>
      </c>
      <c r="F783" t="s">
        <v>1159</v>
      </c>
    </row>
    <row r="784" spans="1:6" x14ac:dyDescent="0.25">
      <c r="A784" t="s">
        <v>4200</v>
      </c>
      <c r="B784" t="s">
        <v>1150</v>
      </c>
      <c r="C784" t="s">
        <v>1151</v>
      </c>
      <c r="D784" t="str">
        <f>HYPERLINK("http://service.sap.com/sap/support/notes/1728099","1728099")</f>
        <v>1728099</v>
      </c>
      <c r="E784">
        <v>2</v>
      </c>
      <c r="F784" t="s">
        <v>1160</v>
      </c>
    </row>
    <row r="785" spans="1:6" x14ac:dyDescent="0.25">
      <c r="A785" t="s">
        <v>4200</v>
      </c>
      <c r="B785" t="s">
        <v>1150</v>
      </c>
      <c r="C785" t="s">
        <v>1151</v>
      </c>
      <c r="D785" t="str">
        <f>HYPERLINK("http://service.sap.com/sap/support/notes/1730795","1730795")</f>
        <v>1730795</v>
      </c>
      <c r="E785">
        <v>2</v>
      </c>
      <c r="F785" t="s">
        <v>1161</v>
      </c>
    </row>
    <row r="786" spans="1:6" x14ac:dyDescent="0.25">
      <c r="A786" t="s">
        <v>4200</v>
      </c>
      <c r="B786" t="s">
        <v>1150</v>
      </c>
      <c r="C786" t="s">
        <v>1151</v>
      </c>
      <c r="D786" t="str">
        <f>HYPERLINK("http://service.sap.com/sap/support/notes/1731193","1731193")</f>
        <v>1731193</v>
      </c>
      <c r="E786">
        <v>9</v>
      </c>
      <c r="F786" t="s">
        <v>1162</v>
      </c>
    </row>
    <row r="787" spans="1:6" x14ac:dyDescent="0.25">
      <c r="A787" t="s">
        <v>4200</v>
      </c>
      <c r="B787" t="s">
        <v>1150</v>
      </c>
      <c r="C787" t="s">
        <v>1151</v>
      </c>
      <c r="D787" t="str">
        <f>HYPERLINK("http://service.sap.com/sap/support/notes/1732747","1732747")</f>
        <v>1732747</v>
      </c>
      <c r="E787">
        <v>1</v>
      </c>
      <c r="F787" t="s">
        <v>1163</v>
      </c>
    </row>
    <row r="788" spans="1:6" x14ac:dyDescent="0.25">
      <c r="A788" t="s">
        <v>4200</v>
      </c>
      <c r="B788" t="s">
        <v>1150</v>
      </c>
      <c r="C788" t="s">
        <v>1151</v>
      </c>
      <c r="D788" t="str">
        <f>HYPERLINK("http://service.sap.com/sap/support/notes/1733723","1733723")</f>
        <v>1733723</v>
      </c>
      <c r="E788">
        <v>6</v>
      </c>
      <c r="F788" t="s">
        <v>1164</v>
      </c>
    </row>
    <row r="789" spans="1:6" x14ac:dyDescent="0.25">
      <c r="A789" t="s">
        <v>4200</v>
      </c>
      <c r="B789" t="s">
        <v>1150</v>
      </c>
      <c r="C789" t="s">
        <v>1151</v>
      </c>
      <c r="D789" t="str">
        <f>HYPERLINK("http://service.sap.com/sap/support/notes/1736708","1736708")</f>
        <v>1736708</v>
      </c>
      <c r="E789">
        <v>1</v>
      </c>
      <c r="F789" t="s">
        <v>1165</v>
      </c>
    </row>
    <row r="790" spans="1:6" x14ac:dyDescent="0.25">
      <c r="A790" t="s">
        <v>4200</v>
      </c>
      <c r="B790" t="s">
        <v>1150</v>
      </c>
      <c r="C790" t="s">
        <v>1151</v>
      </c>
      <c r="D790" t="str">
        <f>HYPERLINK("http://service.sap.com/sap/support/notes/1737030","1737030")</f>
        <v>1737030</v>
      </c>
      <c r="E790">
        <v>1</v>
      </c>
      <c r="F790" t="s">
        <v>1166</v>
      </c>
    </row>
    <row r="791" spans="1:6" x14ac:dyDescent="0.25">
      <c r="A791" t="s">
        <v>4200</v>
      </c>
      <c r="B791" t="s">
        <v>1150</v>
      </c>
      <c r="C791" t="s">
        <v>1151</v>
      </c>
      <c r="D791" t="str">
        <f>HYPERLINK("http://service.sap.com/sap/support/notes/1738528","1738528")</f>
        <v>1738528</v>
      </c>
      <c r="E791">
        <v>6</v>
      </c>
      <c r="F791" t="s">
        <v>1167</v>
      </c>
    </row>
    <row r="792" spans="1:6" x14ac:dyDescent="0.25">
      <c r="A792" t="s">
        <v>4200</v>
      </c>
      <c r="B792" t="s">
        <v>1150</v>
      </c>
      <c r="C792" t="s">
        <v>1151</v>
      </c>
      <c r="D792" t="str">
        <f>HYPERLINK("http://service.sap.com/sap/support/notes/1739485","1739485")</f>
        <v>1739485</v>
      </c>
      <c r="E792">
        <v>6</v>
      </c>
      <c r="F792" t="s">
        <v>1168</v>
      </c>
    </row>
    <row r="793" spans="1:6" x14ac:dyDescent="0.25">
      <c r="A793" t="s">
        <v>4200</v>
      </c>
      <c r="B793" t="s">
        <v>1150</v>
      </c>
      <c r="C793" t="s">
        <v>1151</v>
      </c>
      <c r="D793" t="str">
        <f>HYPERLINK("http://service.sap.com/sap/support/notes/1741287","1741287")</f>
        <v>1741287</v>
      </c>
      <c r="E793">
        <v>2</v>
      </c>
      <c r="F793" t="s">
        <v>1169</v>
      </c>
    </row>
    <row r="794" spans="1:6" x14ac:dyDescent="0.25">
      <c r="A794" t="s">
        <v>4200</v>
      </c>
      <c r="B794" t="s">
        <v>1150</v>
      </c>
      <c r="C794" t="s">
        <v>1151</v>
      </c>
      <c r="D794" t="str">
        <f>HYPERLINK("http://service.sap.com/sap/support/notes/1741341","1741341")</f>
        <v>1741341</v>
      </c>
      <c r="E794">
        <v>8</v>
      </c>
      <c r="F794" t="s">
        <v>1170</v>
      </c>
    </row>
    <row r="795" spans="1:6" x14ac:dyDescent="0.25">
      <c r="A795" t="s">
        <v>4200</v>
      </c>
      <c r="B795" t="s">
        <v>1150</v>
      </c>
      <c r="C795" t="s">
        <v>1151</v>
      </c>
      <c r="D795" t="str">
        <f>HYPERLINK("http://service.sap.com/sap/support/notes/1741929","1741929")</f>
        <v>1741929</v>
      </c>
      <c r="E795">
        <v>1</v>
      </c>
      <c r="F795" t="s">
        <v>1171</v>
      </c>
    </row>
    <row r="796" spans="1:6" x14ac:dyDescent="0.25">
      <c r="A796" t="s">
        <v>4200</v>
      </c>
      <c r="B796" t="s">
        <v>1150</v>
      </c>
      <c r="C796" t="s">
        <v>1151</v>
      </c>
      <c r="D796" t="str">
        <f>HYPERLINK("http://service.sap.com/sap/support/notes/1744591","1744591")</f>
        <v>1744591</v>
      </c>
      <c r="E796">
        <v>3</v>
      </c>
      <c r="F796" t="s">
        <v>1172</v>
      </c>
    </row>
    <row r="797" spans="1:6" x14ac:dyDescent="0.25">
      <c r="A797" t="s">
        <v>4200</v>
      </c>
      <c r="B797" t="s">
        <v>1150</v>
      </c>
      <c r="C797" t="s">
        <v>1151</v>
      </c>
      <c r="D797" t="str">
        <f>HYPERLINK("http://service.sap.com/sap/support/notes/1746292","1746292")</f>
        <v>1746292</v>
      </c>
      <c r="E797">
        <v>1</v>
      </c>
      <c r="F797" t="s">
        <v>1173</v>
      </c>
    </row>
    <row r="798" spans="1:6" x14ac:dyDescent="0.25">
      <c r="A798" t="s">
        <v>4200</v>
      </c>
      <c r="B798" t="s">
        <v>1150</v>
      </c>
      <c r="C798" t="s">
        <v>1151</v>
      </c>
      <c r="D798" t="str">
        <f>HYPERLINK("http://service.sap.com/sap/support/notes/1747902","1747902")</f>
        <v>1747902</v>
      </c>
      <c r="E798">
        <v>1</v>
      </c>
      <c r="F798" t="s">
        <v>1174</v>
      </c>
    </row>
    <row r="799" spans="1:6" x14ac:dyDescent="0.25">
      <c r="A799" t="s">
        <v>4200</v>
      </c>
      <c r="B799" t="s">
        <v>1150</v>
      </c>
      <c r="C799" t="s">
        <v>1151</v>
      </c>
      <c r="D799" t="str">
        <f>HYPERLINK("http://service.sap.com/sap/support/notes/1748390","1748390")</f>
        <v>1748390</v>
      </c>
      <c r="E799">
        <v>1</v>
      </c>
      <c r="F799" t="s">
        <v>1175</v>
      </c>
    </row>
    <row r="800" spans="1:6" x14ac:dyDescent="0.25">
      <c r="A800" t="s">
        <v>4200</v>
      </c>
      <c r="B800" t="s">
        <v>1150</v>
      </c>
      <c r="C800" t="s">
        <v>1151</v>
      </c>
      <c r="D800" t="str">
        <f>HYPERLINK("http://service.sap.com/sap/support/notes/1748505","1748505")</f>
        <v>1748505</v>
      </c>
      <c r="E800">
        <v>6</v>
      </c>
      <c r="F800" t="s">
        <v>1176</v>
      </c>
    </row>
    <row r="801" spans="1:6" x14ac:dyDescent="0.25">
      <c r="A801" t="s">
        <v>4200</v>
      </c>
      <c r="B801" t="s">
        <v>1150</v>
      </c>
      <c r="C801" t="s">
        <v>1151</v>
      </c>
      <c r="D801" t="str">
        <f>HYPERLINK("http://service.sap.com/sap/support/notes/1749386","1749386")</f>
        <v>1749386</v>
      </c>
      <c r="E801">
        <v>1</v>
      </c>
      <c r="F801" t="s">
        <v>1177</v>
      </c>
    </row>
    <row r="802" spans="1:6" x14ac:dyDescent="0.25">
      <c r="A802" t="s">
        <v>4200</v>
      </c>
      <c r="B802" t="s">
        <v>1150</v>
      </c>
      <c r="C802" t="s">
        <v>1151</v>
      </c>
      <c r="D802" t="str">
        <f>HYPERLINK("http://service.sap.com/sap/support/notes/1749715","1749715")</f>
        <v>1749715</v>
      </c>
      <c r="E802">
        <v>1</v>
      </c>
      <c r="F802" t="s">
        <v>1178</v>
      </c>
    </row>
    <row r="803" spans="1:6" x14ac:dyDescent="0.25">
      <c r="A803" t="s">
        <v>4200</v>
      </c>
      <c r="B803" t="s">
        <v>1150</v>
      </c>
      <c r="C803" t="s">
        <v>1151</v>
      </c>
      <c r="D803" t="str">
        <f>HYPERLINK("http://service.sap.com/sap/support/notes/1750267","1750267")</f>
        <v>1750267</v>
      </c>
      <c r="E803">
        <v>2</v>
      </c>
      <c r="F803" t="s">
        <v>1179</v>
      </c>
    </row>
    <row r="804" spans="1:6" x14ac:dyDescent="0.25">
      <c r="A804" t="s">
        <v>4200</v>
      </c>
      <c r="B804" t="s">
        <v>1150</v>
      </c>
      <c r="C804" t="s">
        <v>1151</v>
      </c>
      <c r="D804" t="str">
        <f>HYPERLINK("http://service.sap.com/sap/support/notes/1750649","1750649")</f>
        <v>1750649</v>
      </c>
      <c r="E804">
        <v>4</v>
      </c>
      <c r="F804" t="s">
        <v>1180</v>
      </c>
    </row>
    <row r="805" spans="1:6" x14ac:dyDescent="0.25">
      <c r="A805" t="s">
        <v>4200</v>
      </c>
      <c r="B805" t="s">
        <v>1150</v>
      </c>
      <c r="C805" t="s">
        <v>1151</v>
      </c>
      <c r="D805" t="str">
        <f>HYPERLINK("http://service.sap.com/sap/support/notes/1750935","1750935")</f>
        <v>1750935</v>
      </c>
      <c r="E805">
        <v>1</v>
      </c>
      <c r="F805" t="s">
        <v>1181</v>
      </c>
    </row>
    <row r="806" spans="1:6" x14ac:dyDescent="0.25">
      <c r="A806" t="s">
        <v>4200</v>
      </c>
      <c r="B806" t="s">
        <v>1150</v>
      </c>
      <c r="C806" t="s">
        <v>1151</v>
      </c>
      <c r="D806" t="str">
        <f>HYPERLINK("http://service.sap.com/sap/support/notes/1751252","1751252")</f>
        <v>1751252</v>
      </c>
      <c r="E806">
        <v>1</v>
      </c>
      <c r="F806" t="s">
        <v>1182</v>
      </c>
    </row>
    <row r="807" spans="1:6" x14ac:dyDescent="0.25">
      <c r="A807" t="s">
        <v>4200</v>
      </c>
      <c r="B807" t="s">
        <v>1150</v>
      </c>
      <c r="C807" t="s">
        <v>1151</v>
      </c>
      <c r="D807" t="str">
        <f>HYPERLINK("http://service.sap.com/sap/support/notes/1761953","1761953")</f>
        <v>1761953</v>
      </c>
      <c r="E807">
        <v>1</v>
      </c>
      <c r="F807" t="s">
        <v>1183</v>
      </c>
    </row>
    <row r="808" spans="1:6" x14ac:dyDescent="0.25">
      <c r="A808" t="s">
        <v>4200</v>
      </c>
      <c r="B808" t="s">
        <v>1184</v>
      </c>
      <c r="C808" t="s">
        <v>1185</v>
      </c>
      <c r="D808" t="str">
        <f>HYPERLINK("http://service.sap.com/sap/support/notes/1268032","1268032")</f>
        <v>1268032</v>
      </c>
      <c r="E808">
        <v>1</v>
      </c>
      <c r="F808" t="s">
        <v>1186</v>
      </c>
    </row>
    <row r="809" spans="1:6" x14ac:dyDescent="0.25">
      <c r="A809" t="s">
        <v>4200</v>
      </c>
      <c r="B809" t="s">
        <v>1184</v>
      </c>
      <c r="C809" t="s">
        <v>1185</v>
      </c>
      <c r="D809" t="str">
        <f>HYPERLINK("http://service.sap.com/sap/support/notes/1625717","1625717")</f>
        <v>1625717</v>
      </c>
      <c r="E809">
        <v>2</v>
      </c>
      <c r="F809" t="s">
        <v>1187</v>
      </c>
    </row>
    <row r="810" spans="1:6" x14ac:dyDescent="0.25">
      <c r="A810" t="s">
        <v>4200</v>
      </c>
      <c r="B810" t="s">
        <v>1184</v>
      </c>
      <c r="C810" t="s">
        <v>1185</v>
      </c>
      <c r="D810" t="str">
        <f>HYPERLINK("http://service.sap.com/sap/support/notes/1656167","1656167")</f>
        <v>1656167</v>
      </c>
      <c r="E810">
        <v>2</v>
      </c>
      <c r="F810" t="s">
        <v>1188</v>
      </c>
    </row>
    <row r="811" spans="1:6" x14ac:dyDescent="0.25">
      <c r="A811" t="s">
        <v>4200</v>
      </c>
      <c r="B811" t="s">
        <v>1184</v>
      </c>
      <c r="C811" t="s">
        <v>1185</v>
      </c>
      <c r="D811" t="str">
        <f>HYPERLINK("http://service.sap.com/sap/support/notes/1659997","1659997")</f>
        <v>1659997</v>
      </c>
      <c r="E811">
        <v>3</v>
      </c>
      <c r="F811" t="s">
        <v>1189</v>
      </c>
    </row>
    <row r="812" spans="1:6" x14ac:dyDescent="0.25">
      <c r="A812" t="s">
        <v>4200</v>
      </c>
      <c r="B812" t="s">
        <v>1184</v>
      </c>
      <c r="C812" t="s">
        <v>1185</v>
      </c>
      <c r="D812" t="str">
        <f>HYPERLINK("http://service.sap.com/sap/support/notes/1673761","1673761")</f>
        <v>1673761</v>
      </c>
      <c r="E812">
        <v>1</v>
      </c>
      <c r="F812" t="s">
        <v>1190</v>
      </c>
    </row>
    <row r="813" spans="1:6" x14ac:dyDescent="0.25">
      <c r="A813" t="s">
        <v>4200</v>
      </c>
      <c r="B813" t="s">
        <v>1184</v>
      </c>
      <c r="C813" t="s">
        <v>1185</v>
      </c>
      <c r="D813" t="str">
        <f>HYPERLINK("http://service.sap.com/sap/support/notes/1696782","1696782")</f>
        <v>1696782</v>
      </c>
      <c r="E813">
        <v>3</v>
      </c>
      <c r="F813" t="s">
        <v>1191</v>
      </c>
    </row>
    <row r="814" spans="1:6" x14ac:dyDescent="0.25">
      <c r="A814" t="s">
        <v>4200</v>
      </c>
      <c r="B814" t="s">
        <v>1184</v>
      </c>
      <c r="C814" t="s">
        <v>1185</v>
      </c>
      <c r="D814" t="str">
        <f>HYPERLINK("http://service.sap.com/sap/support/notes/1697672","1697672")</f>
        <v>1697672</v>
      </c>
      <c r="E814">
        <v>2</v>
      </c>
      <c r="F814" t="s">
        <v>1192</v>
      </c>
    </row>
    <row r="815" spans="1:6" x14ac:dyDescent="0.25">
      <c r="A815" t="s">
        <v>4200</v>
      </c>
      <c r="B815" t="s">
        <v>1184</v>
      </c>
      <c r="C815" t="s">
        <v>1185</v>
      </c>
      <c r="D815" t="str">
        <f>HYPERLINK("http://service.sap.com/sap/support/notes/1698242","1698242")</f>
        <v>1698242</v>
      </c>
      <c r="E815">
        <v>1</v>
      </c>
      <c r="F815" t="s">
        <v>1193</v>
      </c>
    </row>
    <row r="816" spans="1:6" x14ac:dyDescent="0.25">
      <c r="A816" t="s">
        <v>4200</v>
      </c>
      <c r="B816" t="s">
        <v>1184</v>
      </c>
      <c r="C816" t="s">
        <v>1185</v>
      </c>
      <c r="D816" t="str">
        <f>HYPERLINK("http://service.sap.com/sap/support/notes/1701193","1701193")</f>
        <v>1701193</v>
      </c>
      <c r="E816">
        <v>1</v>
      </c>
      <c r="F816" t="s">
        <v>1194</v>
      </c>
    </row>
    <row r="817" spans="1:6" x14ac:dyDescent="0.25">
      <c r="A817" t="s">
        <v>4200</v>
      </c>
      <c r="B817" t="s">
        <v>1184</v>
      </c>
      <c r="C817" t="s">
        <v>1185</v>
      </c>
      <c r="D817" t="str">
        <f>HYPERLINK("http://service.sap.com/sap/support/notes/1709734","1709734")</f>
        <v>1709734</v>
      </c>
      <c r="E817">
        <v>3</v>
      </c>
      <c r="F817" t="s">
        <v>1195</v>
      </c>
    </row>
    <row r="818" spans="1:6" x14ac:dyDescent="0.25">
      <c r="A818" t="s">
        <v>4200</v>
      </c>
      <c r="B818" t="s">
        <v>1184</v>
      </c>
      <c r="C818" t="s">
        <v>1185</v>
      </c>
      <c r="D818" t="str">
        <f>HYPERLINK("http://service.sap.com/sap/support/notes/1710031","1710031")</f>
        <v>1710031</v>
      </c>
      <c r="E818">
        <v>5</v>
      </c>
      <c r="F818" t="s">
        <v>1196</v>
      </c>
    </row>
    <row r="819" spans="1:6" x14ac:dyDescent="0.25">
      <c r="A819" t="s">
        <v>4200</v>
      </c>
      <c r="B819" t="s">
        <v>1184</v>
      </c>
      <c r="C819" t="s">
        <v>1185</v>
      </c>
      <c r="D819" t="str">
        <f>HYPERLINK("http://service.sap.com/sap/support/notes/1712946","1712946")</f>
        <v>1712946</v>
      </c>
      <c r="E819">
        <v>1</v>
      </c>
      <c r="F819" t="s">
        <v>1197</v>
      </c>
    </row>
    <row r="820" spans="1:6" x14ac:dyDescent="0.25">
      <c r="A820" t="s">
        <v>4200</v>
      </c>
      <c r="B820" t="s">
        <v>1184</v>
      </c>
      <c r="C820" t="s">
        <v>1185</v>
      </c>
      <c r="D820" t="str">
        <f>HYPERLINK("http://service.sap.com/sap/support/notes/1714816","1714816")</f>
        <v>1714816</v>
      </c>
      <c r="E820">
        <v>3</v>
      </c>
      <c r="F820" t="s">
        <v>1198</v>
      </c>
    </row>
    <row r="821" spans="1:6" x14ac:dyDescent="0.25">
      <c r="A821" t="s">
        <v>4200</v>
      </c>
      <c r="B821" t="s">
        <v>1184</v>
      </c>
      <c r="C821" t="s">
        <v>1185</v>
      </c>
      <c r="D821" t="str">
        <f>HYPERLINK("http://service.sap.com/sap/support/notes/1719026","1719026")</f>
        <v>1719026</v>
      </c>
      <c r="E821">
        <v>5</v>
      </c>
      <c r="F821" t="s">
        <v>1199</v>
      </c>
    </row>
    <row r="822" spans="1:6" x14ac:dyDescent="0.25">
      <c r="A822" t="s">
        <v>4200</v>
      </c>
      <c r="B822" t="s">
        <v>1184</v>
      </c>
      <c r="C822" t="s">
        <v>1185</v>
      </c>
      <c r="D822" t="str">
        <f>HYPERLINK("http://service.sap.com/sap/support/notes/1720968","1720968")</f>
        <v>1720968</v>
      </c>
      <c r="E822">
        <v>4</v>
      </c>
      <c r="F822" t="s">
        <v>1200</v>
      </c>
    </row>
    <row r="823" spans="1:6" x14ac:dyDescent="0.25">
      <c r="A823" t="s">
        <v>4200</v>
      </c>
      <c r="B823" t="s">
        <v>1184</v>
      </c>
      <c r="C823" t="s">
        <v>1185</v>
      </c>
      <c r="D823" t="str">
        <f>HYPERLINK("http://service.sap.com/sap/support/notes/1724947","1724947")</f>
        <v>1724947</v>
      </c>
      <c r="E823">
        <v>2</v>
      </c>
      <c r="F823" t="s">
        <v>1201</v>
      </c>
    </row>
    <row r="824" spans="1:6" x14ac:dyDescent="0.25">
      <c r="A824" t="s">
        <v>4200</v>
      </c>
      <c r="B824" t="s">
        <v>1184</v>
      </c>
      <c r="C824" t="s">
        <v>1185</v>
      </c>
      <c r="D824" t="str">
        <f>HYPERLINK("http://service.sap.com/sap/support/notes/1726363","1726363")</f>
        <v>1726363</v>
      </c>
      <c r="E824">
        <v>2</v>
      </c>
      <c r="F824" t="s">
        <v>1202</v>
      </c>
    </row>
    <row r="825" spans="1:6" x14ac:dyDescent="0.25">
      <c r="A825" t="s">
        <v>4200</v>
      </c>
      <c r="B825" t="s">
        <v>1184</v>
      </c>
      <c r="C825" t="s">
        <v>1185</v>
      </c>
      <c r="D825" t="str">
        <f>HYPERLINK("http://service.sap.com/sap/support/notes/1727510","1727510")</f>
        <v>1727510</v>
      </c>
      <c r="E825">
        <v>2</v>
      </c>
      <c r="F825" t="s">
        <v>1203</v>
      </c>
    </row>
    <row r="826" spans="1:6" x14ac:dyDescent="0.25">
      <c r="A826" t="s">
        <v>4200</v>
      </c>
      <c r="B826" t="s">
        <v>1184</v>
      </c>
      <c r="C826" t="s">
        <v>1185</v>
      </c>
      <c r="D826" t="str">
        <f>HYPERLINK("http://service.sap.com/sap/support/notes/1727990","1727990")</f>
        <v>1727990</v>
      </c>
      <c r="E826">
        <v>2</v>
      </c>
      <c r="F826" t="s">
        <v>1204</v>
      </c>
    </row>
    <row r="827" spans="1:6" x14ac:dyDescent="0.25">
      <c r="A827" t="s">
        <v>4200</v>
      </c>
      <c r="B827" t="s">
        <v>1184</v>
      </c>
      <c r="C827" t="s">
        <v>1185</v>
      </c>
      <c r="D827" t="str">
        <f>HYPERLINK("http://service.sap.com/sap/support/notes/1729455","1729455")</f>
        <v>1729455</v>
      </c>
      <c r="E827">
        <v>1</v>
      </c>
      <c r="F827" t="s">
        <v>1205</v>
      </c>
    </row>
    <row r="828" spans="1:6" x14ac:dyDescent="0.25">
      <c r="A828" t="s">
        <v>4200</v>
      </c>
      <c r="B828" t="s">
        <v>1184</v>
      </c>
      <c r="C828" t="s">
        <v>1185</v>
      </c>
      <c r="D828" t="str">
        <f>HYPERLINK("http://service.sap.com/sap/support/notes/1730642","1730642")</f>
        <v>1730642</v>
      </c>
      <c r="E828">
        <v>4</v>
      </c>
      <c r="F828" t="s">
        <v>1206</v>
      </c>
    </row>
    <row r="829" spans="1:6" x14ac:dyDescent="0.25">
      <c r="A829" t="s">
        <v>4200</v>
      </c>
      <c r="B829" t="s">
        <v>1184</v>
      </c>
      <c r="C829" t="s">
        <v>1185</v>
      </c>
      <c r="D829" t="str">
        <f>HYPERLINK("http://service.sap.com/sap/support/notes/1734017","1734017")</f>
        <v>1734017</v>
      </c>
      <c r="E829">
        <v>3</v>
      </c>
      <c r="F829" t="s">
        <v>1207</v>
      </c>
    </row>
    <row r="830" spans="1:6" x14ac:dyDescent="0.25">
      <c r="A830" t="s">
        <v>4200</v>
      </c>
      <c r="B830" t="s">
        <v>1184</v>
      </c>
      <c r="C830" t="s">
        <v>1185</v>
      </c>
      <c r="D830" t="str">
        <f>HYPERLINK("http://service.sap.com/sap/support/notes/1736117","1736117")</f>
        <v>1736117</v>
      </c>
      <c r="E830">
        <v>2</v>
      </c>
      <c r="F830" t="s">
        <v>1208</v>
      </c>
    </row>
    <row r="831" spans="1:6" x14ac:dyDescent="0.25">
      <c r="A831" t="s">
        <v>4200</v>
      </c>
      <c r="B831" t="s">
        <v>1184</v>
      </c>
      <c r="C831" t="s">
        <v>1185</v>
      </c>
      <c r="D831" t="str">
        <f>HYPERLINK("http://service.sap.com/sap/support/notes/1737696","1737696")</f>
        <v>1737696</v>
      </c>
      <c r="E831">
        <v>3</v>
      </c>
      <c r="F831" t="s">
        <v>1209</v>
      </c>
    </row>
    <row r="832" spans="1:6" x14ac:dyDescent="0.25">
      <c r="A832" t="s">
        <v>4200</v>
      </c>
      <c r="B832" t="s">
        <v>1184</v>
      </c>
      <c r="C832" t="s">
        <v>1185</v>
      </c>
      <c r="D832" t="str">
        <f>HYPERLINK("http://service.sap.com/sap/support/notes/1738188","1738188")</f>
        <v>1738188</v>
      </c>
      <c r="E832">
        <v>1</v>
      </c>
      <c r="F832" t="s">
        <v>1210</v>
      </c>
    </row>
    <row r="833" spans="1:6" x14ac:dyDescent="0.25">
      <c r="A833" t="s">
        <v>4200</v>
      </c>
      <c r="B833" t="s">
        <v>1184</v>
      </c>
      <c r="C833" t="s">
        <v>1185</v>
      </c>
      <c r="D833" t="str">
        <f>HYPERLINK("http://service.sap.com/sap/support/notes/1738367","1738367")</f>
        <v>1738367</v>
      </c>
      <c r="E833">
        <v>1</v>
      </c>
      <c r="F833" t="s">
        <v>1211</v>
      </c>
    </row>
    <row r="834" spans="1:6" x14ac:dyDescent="0.25">
      <c r="A834" t="s">
        <v>4200</v>
      </c>
      <c r="B834" t="s">
        <v>1184</v>
      </c>
      <c r="C834" t="s">
        <v>1185</v>
      </c>
      <c r="D834" t="str">
        <f>HYPERLINK("http://service.sap.com/sap/support/notes/1739805","1739805")</f>
        <v>1739805</v>
      </c>
      <c r="E834">
        <v>1</v>
      </c>
      <c r="F834" t="s">
        <v>1212</v>
      </c>
    </row>
    <row r="835" spans="1:6" x14ac:dyDescent="0.25">
      <c r="A835" t="s">
        <v>4200</v>
      </c>
      <c r="B835" t="s">
        <v>1184</v>
      </c>
      <c r="C835" t="s">
        <v>1185</v>
      </c>
      <c r="D835" t="str">
        <f>HYPERLINK("http://service.sap.com/sap/support/notes/1740085","1740085")</f>
        <v>1740085</v>
      </c>
      <c r="E835">
        <v>4</v>
      </c>
      <c r="F835" t="s">
        <v>1213</v>
      </c>
    </row>
    <row r="836" spans="1:6" x14ac:dyDescent="0.25">
      <c r="A836" t="s">
        <v>4200</v>
      </c>
      <c r="B836" t="s">
        <v>1184</v>
      </c>
      <c r="C836" t="s">
        <v>1185</v>
      </c>
      <c r="D836" t="str">
        <f>HYPERLINK("http://service.sap.com/sap/support/notes/1740165","1740165")</f>
        <v>1740165</v>
      </c>
      <c r="E836">
        <v>1</v>
      </c>
      <c r="F836" t="s">
        <v>1214</v>
      </c>
    </row>
    <row r="837" spans="1:6" x14ac:dyDescent="0.25">
      <c r="A837" t="s">
        <v>4200</v>
      </c>
      <c r="B837" t="s">
        <v>1184</v>
      </c>
      <c r="C837" t="s">
        <v>1185</v>
      </c>
      <c r="D837" t="str">
        <f>HYPERLINK("http://service.sap.com/sap/support/notes/1741096","1741096")</f>
        <v>1741096</v>
      </c>
      <c r="E837">
        <v>1</v>
      </c>
      <c r="F837" t="s">
        <v>1215</v>
      </c>
    </row>
    <row r="838" spans="1:6" x14ac:dyDescent="0.25">
      <c r="A838" t="s">
        <v>4200</v>
      </c>
      <c r="B838" t="s">
        <v>1184</v>
      </c>
      <c r="C838" t="s">
        <v>1185</v>
      </c>
      <c r="D838" t="str">
        <f>HYPERLINK("http://service.sap.com/sap/support/notes/1747487","1747487")</f>
        <v>1747487</v>
      </c>
      <c r="E838">
        <v>1</v>
      </c>
      <c r="F838" t="s">
        <v>1216</v>
      </c>
    </row>
    <row r="839" spans="1:6" x14ac:dyDescent="0.25">
      <c r="A839" t="s">
        <v>4200</v>
      </c>
      <c r="B839" t="s">
        <v>1184</v>
      </c>
      <c r="C839" t="s">
        <v>1185</v>
      </c>
      <c r="D839" t="str">
        <f>HYPERLINK("http://service.sap.com/sap/support/notes/1750545","1750545")</f>
        <v>1750545</v>
      </c>
      <c r="E839">
        <v>2</v>
      </c>
      <c r="F839" t="s">
        <v>1217</v>
      </c>
    </row>
    <row r="840" spans="1:6" x14ac:dyDescent="0.25">
      <c r="A840" t="s">
        <v>4200</v>
      </c>
      <c r="B840" t="s">
        <v>1184</v>
      </c>
      <c r="C840" t="s">
        <v>1185</v>
      </c>
      <c r="D840" t="str">
        <f>HYPERLINK("http://service.sap.com/sap/support/notes/1755187","1755187")</f>
        <v>1755187</v>
      </c>
      <c r="E840">
        <v>3</v>
      </c>
      <c r="F840" t="s">
        <v>1218</v>
      </c>
    </row>
    <row r="841" spans="1:6" x14ac:dyDescent="0.25">
      <c r="A841" t="s">
        <v>4200</v>
      </c>
      <c r="B841" t="s">
        <v>1184</v>
      </c>
      <c r="C841" t="s">
        <v>1185</v>
      </c>
      <c r="D841" t="str">
        <f>HYPERLINK("http://service.sap.com/sap/support/notes/1758619","1758619")</f>
        <v>1758619</v>
      </c>
      <c r="E841">
        <v>1</v>
      </c>
      <c r="F841" t="s">
        <v>1219</v>
      </c>
    </row>
    <row r="842" spans="1:6" x14ac:dyDescent="0.25">
      <c r="A842" t="s">
        <v>4200</v>
      </c>
      <c r="B842" t="s">
        <v>1220</v>
      </c>
      <c r="C842" t="s">
        <v>883</v>
      </c>
      <c r="D842" t="str">
        <f>HYPERLINK("http://service.sap.com/sap/support/notes/1090270","1090270")</f>
        <v>1090270</v>
      </c>
      <c r="E842">
        <v>5</v>
      </c>
      <c r="F842" t="s">
        <v>1221</v>
      </c>
    </row>
    <row r="843" spans="1:6" x14ac:dyDescent="0.25">
      <c r="A843" t="s">
        <v>4200</v>
      </c>
      <c r="B843" t="s">
        <v>1220</v>
      </c>
      <c r="C843" t="s">
        <v>883</v>
      </c>
      <c r="D843" t="str">
        <f>HYPERLINK("http://service.sap.com/sap/support/notes/1514521","1514521")</f>
        <v>1514521</v>
      </c>
      <c r="E843">
        <v>2</v>
      </c>
      <c r="F843" t="s">
        <v>1222</v>
      </c>
    </row>
    <row r="844" spans="1:6" x14ac:dyDescent="0.25">
      <c r="A844" t="s">
        <v>4200</v>
      </c>
      <c r="B844" t="s">
        <v>1220</v>
      </c>
      <c r="C844" t="s">
        <v>883</v>
      </c>
      <c r="D844" t="str">
        <f>HYPERLINK("http://service.sap.com/sap/support/notes/1565000","1565000")</f>
        <v>1565000</v>
      </c>
      <c r="E844">
        <v>4</v>
      </c>
      <c r="F844" t="s">
        <v>1223</v>
      </c>
    </row>
    <row r="845" spans="1:6" x14ac:dyDescent="0.25">
      <c r="A845" t="s">
        <v>4200</v>
      </c>
      <c r="B845" t="s">
        <v>1220</v>
      </c>
      <c r="C845" t="s">
        <v>883</v>
      </c>
      <c r="D845" t="str">
        <f>HYPERLINK("http://service.sap.com/sap/support/notes/1589421","1589421")</f>
        <v>1589421</v>
      </c>
      <c r="E845">
        <v>4</v>
      </c>
      <c r="F845" t="s">
        <v>1224</v>
      </c>
    </row>
    <row r="846" spans="1:6" x14ac:dyDescent="0.25">
      <c r="A846" t="s">
        <v>4200</v>
      </c>
      <c r="B846" t="s">
        <v>1220</v>
      </c>
      <c r="C846" t="s">
        <v>883</v>
      </c>
      <c r="D846" t="str">
        <f>HYPERLINK("http://service.sap.com/sap/support/notes/1611393","1611393")</f>
        <v>1611393</v>
      </c>
      <c r="E846">
        <v>9</v>
      </c>
      <c r="F846" t="s">
        <v>1225</v>
      </c>
    </row>
    <row r="847" spans="1:6" x14ac:dyDescent="0.25">
      <c r="A847" t="s">
        <v>4200</v>
      </c>
      <c r="B847" t="s">
        <v>1220</v>
      </c>
      <c r="C847" t="s">
        <v>883</v>
      </c>
      <c r="D847" t="str">
        <f>HYPERLINK("http://service.sap.com/sap/support/notes/1611727","1611727")</f>
        <v>1611727</v>
      </c>
      <c r="E847">
        <v>4</v>
      </c>
      <c r="F847" t="s">
        <v>1226</v>
      </c>
    </row>
    <row r="848" spans="1:6" x14ac:dyDescent="0.25">
      <c r="A848" t="s">
        <v>4200</v>
      </c>
      <c r="B848" t="s">
        <v>1220</v>
      </c>
      <c r="C848" t="s">
        <v>883</v>
      </c>
      <c r="D848" t="str">
        <f>HYPERLINK("http://service.sap.com/sap/support/notes/1643120","1643120")</f>
        <v>1643120</v>
      </c>
      <c r="E848">
        <v>1</v>
      </c>
      <c r="F848" t="s">
        <v>1227</v>
      </c>
    </row>
    <row r="849" spans="1:6" x14ac:dyDescent="0.25">
      <c r="A849" t="s">
        <v>4200</v>
      </c>
      <c r="B849" t="s">
        <v>1220</v>
      </c>
      <c r="C849" t="s">
        <v>883</v>
      </c>
      <c r="D849" t="str">
        <f>HYPERLINK("http://service.sap.com/sap/support/notes/1653335","1653335")</f>
        <v>1653335</v>
      </c>
      <c r="E849">
        <v>7</v>
      </c>
      <c r="F849" t="s">
        <v>1228</v>
      </c>
    </row>
    <row r="850" spans="1:6" x14ac:dyDescent="0.25">
      <c r="A850" t="s">
        <v>4200</v>
      </c>
      <c r="B850" t="s">
        <v>1220</v>
      </c>
      <c r="C850" t="s">
        <v>883</v>
      </c>
      <c r="D850" t="str">
        <f>HYPERLINK("http://service.sap.com/sap/support/notes/1663190","1663190")</f>
        <v>1663190</v>
      </c>
      <c r="E850">
        <v>4</v>
      </c>
      <c r="F850" t="s">
        <v>1229</v>
      </c>
    </row>
    <row r="851" spans="1:6" x14ac:dyDescent="0.25">
      <c r="A851" t="s">
        <v>4200</v>
      </c>
      <c r="B851" t="s">
        <v>1220</v>
      </c>
      <c r="C851" t="s">
        <v>883</v>
      </c>
      <c r="D851" t="str">
        <f>HYPERLINK("http://service.sap.com/sap/support/notes/1681300","1681300")</f>
        <v>1681300</v>
      </c>
      <c r="E851">
        <v>4</v>
      </c>
      <c r="F851" t="s">
        <v>1230</v>
      </c>
    </row>
    <row r="852" spans="1:6" x14ac:dyDescent="0.25">
      <c r="A852" t="s">
        <v>4200</v>
      </c>
      <c r="B852" t="s">
        <v>1220</v>
      </c>
      <c r="C852" t="s">
        <v>883</v>
      </c>
      <c r="D852" t="str">
        <f>HYPERLINK("http://service.sap.com/sap/support/notes/1686283","1686283")</f>
        <v>1686283</v>
      </c>
      <c r="E852">
        <v>2</v>
      </c>
      <c r="F852" t="s">
        <v>1231</v>
      </c>
    </row>
    <row r="853" spans="1:6" x14ac:dyDescent="0.25">
      <c r="A853" t="s">
        <v>4200</v>
      </c>
      <c r="B853" t="s">
        <v>1220</v>
      </c>
      <c r="C853" t="s">
        <v>883</v>
      </c>
      <c r="D853" t="str">
        <f>HYPERLINK("http://service.sap.com/sap/support/notes/1691212","1691212")</f>
        <v>1691212</v>
      </c>
      <c r="E853">
        <v>1</v>
      </c>
      <c r="F853" t="s">
        <v>1232</v>
      </c>
    </row>
    <row r="854" spans="1:6" x14ac:dyDescent="0.25">
      <c r="A854" t="s">
        <v>4200</v>
      </c>
      <c r="B854" t="s">
        <v>1220</v>
      </c>
      <c r="C854" t="s">
        <v>883</v>
      </c>
      <c r="D854" t="str">
        <f>HYPERLINK("http://service.sap.com/sap/support/notes/1692445","1692445")</f>
        <v>1692445</v>
      </c>
      <c r="E854">
        <v>4</v>
      </c>
      <c r="F854" t="s">
        <v>1233</v>
      </c>
    </row>
    <row r="855" spans="1:6" x14ac:dyDescent="0.25">
      <c r="A855" t="s">
        <v>4200</v>
      </c>
      <c r="B855" t="s">
        <v>1220</v>
      </c>
      <c r="C855" t="s">
        <v>883</v>
      </c>
      <c r="D855" t="str">
        <f>HYPERLINK("http://service.sap.com/sap/support/notes/1705254","1705254")</f>
        <v>1705254</v>
      </c>
      <c r="E855">
        <v>5</v>
      </c>
      <c r="F855" t="s">
        <v>1234</v>
      </c>
    </row>
    <row r="856" spans="1:6" x14ac:dyDescent="0.25">
      <c r="A856" t="s">
        <v>4200</v>
      </c>
      <c r="B856" t="s">
        <v>1220</v>
      </c>
      <c r="C856" t="s">
        <v>883</v>
      </c>
      <c r="D856" t="str">
        <f>HYPERLINK("http://service.sap.com/sap/support/notes/1714853","1714853")</f>
        <v>1714853</v>
      </c>
      <c r="E856">
        <v>2</v>
      </c>
      <c r="F856" t="s">
        <v>1235</v>
      </c>
    </row>
    <row r="857" spans="1:6" x14ac:dyDescent="0.25">
      <c r="A857" t="s">
        <v>4200</v>
      </c>
      <c r="B857" t="s">
        <v>1220</v>
      </c>
      <c r="C857" t="s">
        <v>883</v>
      </c>
      <c r="D857" t="str">
        <f>HYPERLINK("http://service.sap.com/sap/support/notes/1719166","1719166")</f>
        <v>1719166</v>
      </c>
      <c r="E857">
        <v>3</v>
      </c>
      <c r="F857" t="s">
        <v>1236</v>
      </c>
    </row>
    <row r="858" spans="1:6" x14ac:dyDescent="0.25">
      <c r="A858" t="s">
        <v>4200</v>
      </c>
      <c r="B858" t="s">
        <v>1220</v>
      </c>
      <c r="C858" t="s">
        <v>883</v>
      </c>
      <c r="D858" t="str">
        <f>HYPERLINK("http://service.sap.com/sap/support/notes/1721907","1721907")</f>
        <v>1721907</v>
      </c>
      <c r="E858">
        <v>1</v>
      </c>
      <c r="F858" t="s">
        <v>1237</v>
      </c>
    </row>
    <row r="859" spans="1:6" x14ac:dyDescent="0.25">
      <c r="A859" t="s">
        <v>4200</v>
      </c>
      <c r="B859" t="s">
        <v>1220</v>
      </c>
      <c r="C859" t="s">
        <v>883</v>
      </c>
      <c r="D859" t="str">
        <f>HYPERLINK("http://service.sap.com/sap/support/notes/1722409","1722409")</f>
        <v>1722409</v>
      </c>
      <c r="E859">
        <v>2</v>
      </c>
      <c r="F859" t="s">
        <v>1238</v>
      </c>
    </row>
    <row r="860" spans="1:6" x14ac:dyDescent="0.25">
      <c r="A860" t="s">
        <v>4200</v>
      </c>
      <c r="B860" t="s">
        <v>1220</v>
      </c>
      <c r="C860" t="s">
        <v>883</v>
      </c>
      <c r="D860" t="str">
        <f>HYPERLINK("http://service.sap.com/sap/support/notes/1722590","1722590")</f>
        <v>1722590</v>
      </c>
      <c r="E860">
        <v>2</v>
      </c>
      <c r="F860" t="s">
        <v>1239</v>
      </c>
    </row>
    <row r="861" spans="1:6" x14ac:dyDescent="0.25">
      <c r="A861" t="s">
        <v>4200</v>
      </c>
      <c r="B861" t="s">
        <v>1220</v>
      </c>
      <c r="C861" t="s">
        <v>883</v>
      </c>
      <c r="D861" t="str">
        <f>HYPERLINK("http://service.sap.com/sap/support/notes/1723146","1723146")</f>
        <v>1723146</v>
      </c>
      <c r="E861">
        <v>1</v>
      </c>
      <c r="F861" t="s">
        <v>1240</v>
      </c>
    </row>
    <row r="862" spans="1:6" x14ac:dyDescent="0.25">
      <c r="A862" t="s">
        <v>4200</v>
      </c>
      <c r="B862" t="s">
        <v>1220</v>
      </c>
      <c r="C862" t="s">
        <v>883</v>
      </c>
      <c r="D862" t="str">
        <f>HYPERLINK("http://service.sap.com/sap/support/notes/1726751","1726751")</f>
        <v>1726751</v>
      </c>
      <c r="E862">
        <v>4</v>
      </c>
      <c r="F862" t="s">
        <v>1241</v>
      </c>
    </row>
    <row r="863" spans="1:6" x14ac:dyDescent="0.25">
      <c r="A863" t="s">
        <v>4200</v>
      </c>
      <c r="B863" t="s">
        <v>1220</v>
      </c>
      <c r="C863" t="s">
        <v>883</v>
      </c>
      <c r="D863" t="str">
        <f>HYPERLINK("http://service.sap.com/sap/support/notes/1728619","1728619")</f>
        <v>1728619</v>
      </c>
      <c r="E863">
        <v>3</v>
      </c>
      <c r="F863" t="s">
        <v>1242</v>
      </c>
    </row>
    <row r="864" spans="1:6" x14ac:dyDescent="0.25">
      <c r="A864" t="s">
        <v>4200</v>
      </c>
      <c r="B864" t="s">
        <v>1220</v>
      </c>
      <c r="C864" t="s">
        <v>883</v>
      </c>
      <c r="D864" t="str">
        <f>HYPERLINK("http://service.sap.com/sap/support/notes/1730159","1730159")</f>
        <v>1730159</v>
      </c>
      <c r="E864">
        <v>1</v>
      </c>
      <c r="F864" t="s">
        <v>1243</v>
      </c>
    </row>
    <row r="865" spans="1:6" x14ac:dyDescent="0.25">
      <c r="A865" t="s">
        <v>4200</v>
      </c>
      <c r="B865" t="s">
        <v>1220</v>
      </c>
      <c r="C865" t="s">
        <v>883</v>
      </c>
      <c r="D865" t="str">
        <f>HYPERLINK("http://service.sap.com/sap/support/notes/1731480","1731480")</f>
        <v>1731480</v>
      </c>
      <c r="E865">
        <v>1</v>
      </c>
      <c r="F865" t="s">
        <v>1244</v>
      </c>
    </row>
    <row r="866" spans="1:6" x14ac:dyDescent="0.25">
      <c r="A866" t="s">
        <v>4200</v>
      </c>
      <c r="B866" t="s">
        <v>1220</v>
      </c>
      <c r="C866" t="s">
        <v>883</v>
      </c>
      <c r="D866" t="str">
        <f>HYPERLINK("http://service.sap.com/sap/support/notes/1731519","1731519")</f>
        <v>1731519</v>
      </c>
      <c r="E866">
        <v>3</v>
      </c>
      <c r="F866" t="s">
        <v>1245</v>
      </c>
    </row>
    <row r="867" spans="1:6" x14ac:dyDescent="0.25">
      <c r="A867" t="s">
        <v>4200</v>
      </c>
      <c r="B867" t="s">
        <v>1220</v>
      </c>
      <c r="C867" t="s">
        <v>883</v>
      </c>
      <c r="D867" t="str">
        <f>HYPERLINK("http://service.sap.com/sap/support/notes/1732381","1732381")</f>
        <v>1732381</v>
      </c>
      <c r="E867">
        <v>2</v>
      </c>
      <c r="F867" t="s">
        <v>1246</v>
      </c>
    </row>
    <row r="868" spans="1:6" x14ac:dyDescent="0.25">
      <c r="A868" t="s">
        <v>4200</v>
      </c>
      <c r="B868" t="s">
        <v>1220</v>
      </c>
      <c r="C868" t="s">
        <v>883</v>
      </c>
      <c r="D868" t="str">
        <f>HYPERLINK("http://service.sap.com/sap/support/notes/1732466","1732466")</f>
        <v>1732466</v>
      </c>
      <c r="E868">
        <v>2</v>
      </c>
      <c r="F868" t="s">
        <v>1247</v>
      </c>
    </row>
    <row r="869" spans="1:6" x14ac:dyDescent="0.25">
      <c r="A869" t="s">
        <v>4200</v>
      </c>
      <c r="B869" t="s">
        <v>1220</v>
      </c>
      <c r="C869" t="s">
        <v>883</v>
      </c>
      <c r="D869" t="str">
        <f>HYPERLINK("http://service.sap.com/sap/support/notes/1736125","1736125")</f>
        <v>1736125</v>
      </c>
      <c r="E869">
        <v>1</v>
      </c>
      <c r="F869" t="s">
        <v>1248</v>
      </c>
    </row>
    <row r="870" spans="1:6" x14ac:dyDescent="0.25">
      <c r="A870" t="s">
        <v>4200</v>
      </c>
      <c r="B870" t="s">
        <v>1220</v>
      </c>
      <c r="C870" t="s">
        <v>883</v>
      </c>
      <c r="D870" t="str">
        <f>HYPERLINK("http://service.sap.com/sap/support/notes/1737589","1737589")</f>
        <v>1737589</v>
      </c>
      <c r="E870">
        <v>2</v>
      </c>
      <c r="F870" t="s">
        <v>1249</v>
      </c>
    </row>
    <row r="871" spans="1:6" x14ac:dyDescent="0.25">
      <c r="A871" t="s">
        <v>4200</v>
      </c>
      <c r="B871" t="s">
        <v>1220</v>
      </c>
      <c r="C871" t="s">
        <v>883</v>
      </c>
      <c r="D871" t="str">
        <f>HYPERLINK("http://service.sap.com/sap/support/notes/1743347","1743347")</f>
        <v>1743347</v>
      </c>
      <c r="E871">
        <v>1</v>
      </c>
      <c r="F871" t="s">
        <v>1250</v>
      </c>
    </row>
    <row r="872" spans="1:6" x14ac:dyDescent="0.25">
      <c r="A872" t="s">
        <v>4200</v>
      </c>
      <c r="B872" t="s">
        <v>1220</v>
      </c>
      <c r="C872" t="s">
        <v>883</v>
      </c>
      <c r="D872" t="str">
        <f>HYPERLINK("http://service.sap.com/sap/support/notes/1743962","1743962")</f>
        <v>1743962</v>
      </c>
      <c r="E872">
        <v>6</v>
      </c>
      <c r="F872" t="s">
        <v>1251</v>
      </c>
    </row>
    <row r="873" spans="1:6" x14ac:dyDescent="0.25">
      <c r="A873" t="s">
        <v>4200</v>
      </c>
      <c r="B873" t="s">
        <v>1220</v>
      </c>
      <c r="C873" t="s">
        <v>883</v>
      </c>
      <c r="D873" t="str">
        <f>HYPERLINK("http://service.sap.com/sap/support/notes/1744121","1744121")</f>
        <v>1744121</v>
      </c>
      <c r="E873">
        <v>3</v>
      </c>
      <c r="F873" t="s">
        <v>1252</v>
      </c>
    </row>
    <row r="874" spans="1:6" x14ac:dyDescent="0.25">
      <c r="A874" t="s">
        <v>4200</v>
      </c>
      <c r="B874" t="s">
        <v>1220</v>
      </c>
      <c r="C874" t="s">
        <v>883</v>
      </c>
      <c r="D874" t="str">
        <f>HYPERLINK("http://service.sap.com/sap/support/notes/1744964","1744964")</f>
        <v>1744964</v>
      </c>
      <c r="E874">
        <v>1</v>
      </c>
      <c r="F874" t="s">
        <v>1253</v>
      </c>
    </row>
    <row r="875" spans="1:6" x14ac:dyDescent="0.25">
      <c r="A875" t="s">
        <v>4200</v>
      </c>
      <c r="B875" t="s">
        <v>1220</v>
      </c>
      <c r="C875" t="s">
        <v>883</v>
      </c>
      <c r="D875" t="str">
        <f>HYPERLINK("http://service.sap.com/sap/support/notes/1745276","1745276")</f>
        <v>1745276</v>
      </c>
      <c r="E875">
        <v>2</v>
      </c>
      <c r="F875" t="s">
        <v>1254</v>
      </c>
    </row>
    <row r="876" spans="1:6" x14ac:dyDescent="0.25">
      <c r="A876" t="s">
        <v>4200</v>
      </c>
      <c r="B876" t="s">
        <v>1220</v>
      </c>
      <c r="C876" t="s">
        <v>883</v>
      </c>
      <c r="D876" t="str">
        <f>HYPERLINK("http://service.sap.com/sap/support/notes/1745483","1745483")</f>
        <v>1745483</v>
      </c>
      <c r="E876">
        <v>1</v>
      </c>
      <c r="F876" t="s">
        <v>1255</v>
      </c>
    </row>
    <row r="877" spans="1:6" x14ac:dyDescent="0.25">
      <c r="A877" t="s">
        <v>4200</v>
      </c>
      <c r="B877" t="s">
        <v>1220</v>
      </c>
      <c r="C877" t="s">
        <v>883</v>
      </c>
      <c r="D877" t="str">
        <f>HYPERLINK("http://service.sap.com/sap/support/notes/1746005","1746005")</f>
        <v>1746005</v>
      </c>
      <c r="E877">
        <v>3</v>
      </c>
      <c r="F877" t="s">
        <v>1256</v>
      </c>
    </row>
    <row r="878" spans="1:6" x14ac:dyDescent="0.25">
      <c r="A878" t="s">
        <v>4200</v>
      </c>
      <c r="B878" t="s">
        <v>1220</v>
      </c>
      <c r="C878" t="s">
        <v>883</v>
      </c>
      <c r="D878" t="str">
        <f>HYPERLINK("http://service.sap.com/sap/support/notes/1746841","1746841")</f>
        <v>1746841</v>
      </c>
      <c r="E878">
        <v>1</v>
      </c>
      <c r="F878" t="s">
        <v>1257</v>
      </c>
    </row>
    <row r="879" spans="1:6" x14ac:dyDescent="0.25">
      <c r="A879" t="s">
        <v>4200</v>
      </c>
      <c r="B879" t="s">
        <v>1220</v>
      </c>
      <c r="C879" t="s">
        <v>883</v>
      </c>
      <c r="D879" t="str">
        <f>HYPERLINK("http://service.sap.com/sap/support/notes/1755146","1755146")</f>
        <v>1755146</v>
      </c>
      <c r="E879">
        <v>2</v>
      </c>
      <c r="F879" t="s">
        <v>1258</v>
      </c>
    </row>
    <row r="880" spans="1:6" x14ac:dyDescent="0.25">
      <c r="A880" t="s">
        <v>4200</v>
      </c>
      <c r="B880" t="s">
        <v>1220</v>
      </c>
      <c r="C880" t="s">
        <v>883</v>
      </c>
      <c r="D880" t="str">
        <f>HYPERLINK("http://service.sap.com/sap/support/notes/1766149","1766149")</f>
        <v>1766149</v>
      </c>
      <c r="E880">
        <v>1</v>
      </c>
      <c r="F880" t="s">
        <v>1259</v>
      </c>
    </row>
    <row r="881" spans="1:6" x14ac:dyDescent="0.25">
      <c r="A881" t="s">
        <v>4200</v>
      </c>
      <c r="B881" t="s">
        <v>1260</v>
      </c>
      <c r="C881" t="s">
        <v>887</v>
      </c>
      <c r="D881" t="str">
        <f>HYPERLINK("http://service.sap.com/sap/support/notes/1723936","1723936")</f>
        <v>1723936</v>
      </c>
      <c r="E881">
        <v>1</v>
      </c>
      <c r="F881" t="s">
        <v>1261</v>
      </c>
    </row>
    <row r="882" spans="1:6" x14ac:dyDescent="0.25">
      <c r="A882" t="s">
        <v>4200</v>
      </c>
      <c r="B882" t="s">
        <v>1260</v>
      </c>
      <c r="C882" t="s">
        <v>887</v>
      </c>
      <c r="D882" t="str">
        <f>HYPERLINK("http://service.sap.com/sap/support/notes/1733058","1733058")</f>
        <v>1733058</v>
      </c>
      <c r="E882">
        <v>1</v>
      </c>
      <c r="F882" t="s">
        <v>1262</v>
      </c>
    </row>
    <row r="883" spans="1:6" x14ac:dyDescent="0.25">
      <c r="A883" t="s">
        <v>4200</v>
      </c>
      <c r="B883" t="s">
        <v>1260</v>
      </c>
      <c r="C883" t="s">
        <v>887</v>
      </c>
      <c r="D883" t="str">
        <f>HYPERLINK("http://service.sap.com/sap/support/notes/1755035","1755035")</f>
        <v>1755035</v>
      </c>
      <c r="E883">
        <v>3</v>
      </c>
      <c r="F883" t="s">
        <v>1263</v>
      </c>
    </row>
    <row r="884" spans="1:6" x14ac:dyDescent="0.25">
      <c r="A884" t="s">
        <v>4200</v>
      </c>
      <c r="B884" t="s">
        <v>1264</v>
      </c>
      <c r="C884" t="s">
        <v>891</v>
      </c>
      <c r="D884" t="str">
        <f>HYPERLINK("http://service.sap.com/sap/support/notes/1701094","1701094")</f>
        <v>1701094</v>
      </c>
      <c r="E884">
        <v>1</v>
      </c>
      <c r="F884" t="s">
        <v>1265</v>
      </c>
    </row>
    <row r="885" spans="1:6" x14ac:dyDescent="0.25">
      <c r="A885" t="s">
        <v>4200</v>
      </c>
      <c r="B885" t="s">
        <v>1264</v>
      </c>
      <c r="C885" t="s">
        <v>891</v>
      </c>
      <c r="D885" t="str">
        <f>HYPERLINK("http://service.sap.com/sap/support/notes/1701254","1701254")</f>
        <v>1701254</v>
      </c>
      <c r="E885">
        <v>3</v>
      </c>
      <c r="F885" t="s">
        <v>1266</v>
      </c>
    </row>
    <row r="886" spans="1:6" x14ac:dyDescent="0.25">
      <c r="A886" t="s">
        <v>4200</v>
      </c>
      <c r="B886" t="s">
        <v>1264</v>
      </c>
      <c r="C886" t="s">
        <v>891</v>
      </c>
      <c r="D886" t="str">
        <f>HYPERLINK("http://service.sap.com/sap/support/notes/1729294","1729294")</f>
        <v>1729294</v>
      </c>
      <c r="E886">
        <v>1</v>
      </c>
      <c r="F886" t="s">
        <v>1267</v>
      </c>
    </row>
    <row r="887" spans="1:6" x14ac:dyDescent="0.25">
      <c r="A887" t="s">
        <v>4200</v>
      </c>
      <c r="B887" t="s">
        <v>1264</v>
      </c>
      <c r="C887" t="s">
        <v>891</v>
      </c>
      <c r="D887" t="str">
        <f>HYPERLINK("http://service.sap.com/sap/support/notes/1734841","1734841")</f>
        <v>1734841</v>
      </c>
      <c r="E887">
        <v>1</v>
      </c>
      <c r="F887" t="s">
        <v>1268</v>
      </c>
    </row>
    <row r="888" spans="1:6" x14ac:dyDescent="0.25">
      <c r="A888" t="s">
        <v>4200</v>
      </c>
      <c r="B888" t="s">
        <v>1269</v>
      </c>
      <c r="C888" t="s">
        <v>902</v>
      </c>
      <c r="D888" t="str">
        <f>HYPERLINK("http://service.sap.com/sap/support/notes/1667525","1667525")</f>
        <v>1667525</v>
      </c>
      <c r="E888">
        <v>6</v>
      </c>
      <c r="F888" t="s">
        <v>1270</v>
      </c>
    </row>
    <row r="889" spans="1:6" x14ac:dyDescent="0.25">
      <c r="A889" t="s">
        <v>4200</v>
      </c>
      <c r="B889" t="s">
        <v>1269</v>
      </c>
      <c r="C889" t="s">
        <v>902</v>
      </c>
      <c r="D889" t="str">
        <f>HYPERLINK("http://service.sap.com/sap/support/notes/1744174","1744174")</f>
        <v>1744174</v>
      </c>
      <c r="E889">
        <v>1</v>
      </c>
      <c r="F889" t="s">
        <v>1271</v>
      </c>
    </row>
    <row r="890" spans="1:6" x14ac:dyDescent="0.25">
      <c r="A890" t="s">
        <v>4200</v>
      </c>
      <c r="B890" t="s">
        <v>1272</v>
      </c>
      <c r="C890" t="s">
        <v>29</v>
      </c>
      <c r="D890" t="str">
        <f>HYPERLINK("http://service.sap.com/sap/support/notes/1695680","1695680")</f>
        <v>1695680</v>
      </c>
      <c r="E890">
        <v>2</v>
      </c>
      <c r="F890" t="s">
        <v>1273</v>
      </c>
    </row>
    <row r="891" spans="1:6" x14ac:dyDescent="0.25">
      <c r="A891" t="s">
        <v>4200</v>
      </c>
      <c r="B891" t="s">
        <v>1272</v>
      </c>
      <c r="C891" t="s">
        <v>29</v>
      </c>
      <c r="D891" t="str">
        <f>HYPERLINK("http://service.sap.com/sap/support/notes/1736785","1736785")</f>
        <v>1736785</v>
      </c>
      <c r="E891">
        <v>1</v>
      </c>
      <c r="F891" t="s">
        <v>1274</v>
      </c>
    </row>
    <row r="892" spans="1:6" x14ac:dyDescent="0.25">
      <c r="A892" t="s">
        <v>4200</v>
      </c>
      <c r="B892" t="s">
        <v>1272</v>
      </c>
      <c r="C892" t="s">
        <v>29</v>
      </c>
      <c r="D892" t="str">
        <f>HYPERLINK("http://service.sap.com/sap/support/notes/1749946","1749946")</f>
        <v>1749946</v>
      </c>
      <c r="E892">
        <v>4</v>
      </c>
      <c r="F892" t="s">
        <v>1275</v>
      </c>
    </row>
    <row r="893" spans="1:6" x14ac:dyDescent="0.25">
      <c r="A893" t="s">
        <v>4200</v>
      </c>
      <c r="B893" t="s">
        <v>1272</v>
      </c>
      <c r="C893" t="s">
        <v>29</v>
      </c>
      <c r="D893" t="str">
        <f>HYPERLINK("http://service.sap.com/sap/support/notes/1766373","1766373")</f>
        <v>1766373</v>
      </c>
      <c r="E893">
        <v>3</v>
      </c>
      <c r="F893" t="s">
        <v>1276</v>
      </c>
    </row>
    <row r="894" spans="1:6" x14ac:dyDescent="0.25">
      <c r="A894" t="s">
        <v>4200</v>
      </c>
      <c r="B894" t="s">
        <v>1277</v>
      </c>
      <c r="C894" t="s">
        <v>937</v>
      </c>
      <c r="D894" t="str">
        <f>HYPERLINK("http://service.sap.com/sap/support/notes/1724915","1724915")</f>
        <v>1724915</v>
      </c>
      <c r="E894">
        <v>1</v>
      </c>
      <c r="F894" t="s">
        <v>1278</v>
      </c>
    </row>
    <row r="895" spans="1:6" x14ac:dyDescent="0.25">
      <c r="A895" t="s">
        <v>4200</v>
      </c>
      <c r="B895" t="s">
        <v>1277</v>
      </c>
      <c r="C895" t="s">
        <v>937</v>
      </c>
      <c r="D895" t="str">
        <f>HYPERLINK("http://service.sap.com/sap/support/notes/1729667","1729667")</f>
        <v>1729667</v>
      </c>
      <c r="E895">
        <v>1</v>
      </c>
      <c r="F895" t="s">
        <v>1279</v>
      </c>
    </row>
    <row r="896" spans="1:6" x14ac:dyDescent="0.25">
      <c r="A896" t="s">
        <v>4200</v>
      </c>
      <c r="B896" t="s">
        <v>1277</v>
      </c>
      <c r="C896" t="s">
        <v>937</v>
      </c>
      <c r="D896" t="str">
        <f>HYPERLINK("http://service.sap.com/sap/support/notes/1746542","1746542")</f>
        <v>1746542</v>
      </c>
      <c r="E896">
        <v>1</v>
      </c>
      <c r="F896" t="s">
        <v>1280</v>
      </c>
    </row>
    <row r="897" spans="1:6" x14ac:dyDescent="0.25">
      <c r="A897" t="s">
        <v>4200</v>
      </c>
      <c r="B897" t="s">
        <v>1277</v>
      </c>
      <c r="C897" t="s">
        <v>937</v>
      </c>
      <c r="D897" t="str">
        <f>HYPERLINK("http://service.sap.com/sap/support/notes/1747268","1747268")</f>
        <v>1747268</v>
      </c>
      <c r="E897">
        <v>2</v>
      </c>
      <c r="F897" t="s">
        <v>1281</v>
      </c>
    </row>
    <row r="898" spans="1:6" x14ac:dyDescent="0.25">
      <c r="A898" t="s">
        <v>4200</v>
      </c>
      <c r="B898" t="s">
        <v>1282</v>
      </c>
      <c r="C898" t="s">
        <v>1283</v>
      </c>
      <c r="D898" t="str">
        <f>HYPERLINK("http://service.sap.com/sap/support/notes/1743462","1743462")</f>
        <v>1743462</v>
      </c>
      <c r="E898">
        <v>1</v>
      </c>
      <c r="F898" t="s">
        <v>1284</v>
      </c>
    </row>
    <row r="899" spans="1:6" x14ac:dyDescent="0.25">
      <c r="A899" t="s">
        <v>4200</v>
      </c>
      <c r="B899" t="s">
        <v>1282</v>
      </c>
      <c r="C899" t="s">
        <v>1283</v>
      </c>
      <c r="D899" t="str">
        <f>HYPERLINK("http://service.sap.com/sap/support/notes/1754246","1754246")</f>
        <v>1754246</v>
      </c>
      <c r="E899">
        <v>2</v>
      </c>
      <c r="F899" t="s">
        <v>1285</v>
      </c>
    </row>
    <row r="900" spans="1:6" x14ac:dyDescent="0.25">
      <c r="A900" t="s">
        <v>4200</v>
      </c>
      <c r="B900" t="s">
        <v>1282</v>
      </c>
      <c r="C900" t="s">
        <v>1283</v>
      </c>
      <c r="D900" t="str">
        <f>HYPERLINK("http://service.sap.com/sap/support/notes/1764392","1764392")</f>
        <v>1764392</v>
      </c>
      <c r="E900">
        <v>1</v>
      </c>
      <c r="F900" t="s">
        <v>1286</v>
      </c>
    </row>
    <row r="901" spans="1:6" x14ac:dyDescent="0.25">
      <c r="A901" t="s">
        <v>4200</v>
      </c>
      <c r="B901" t="s">
        <v>1287</v>
      </c>
      <c r="C901" t="s">
        <v>824</v>
      </c>
      <c r="D901" t="str">
        <f>HYPERLINK("http://service.sap.com/sap/support/notes/1630595","1630595")</f>
        <v>1630595</v>
      </c>
      <c r="E901">
        <v>19</v>
      </c>
      <c r="F901" t="s">
        <v>1288</v>
      </c>
    </row>
    <row r="902" spans="1:6" x14ac:dyDescent="0.25">
      <c r="A902" t="s">
        <v>4200</v>
      </c>
      <c r="B902" t="s">
        <v>1287</v>
      </c>
      <c r="C902" t="s">
        <v>824</v>
      </c>
      <c r="D902" t="str">
        <f>HYPERLINK("http://service.sap.com/sap/support/notes/1631370","1631370")</f>
        <v>1631370</v>
      </c>
      <c r="E902">
        <v>3</v>
      </c>
      <c r="F902" t="s">
        <v>1289</v>
      </c>
    </row>
    <row r="903" spans="1:6" x14ac:dyDescent="0.25">
      <c r="A903" t="s">
        <v>4200</v>
      </c>
      <c r="B903" t="s">
        <v>1287</v>
      </c>
      <c r="C903" t="s">
        <v>824</v>
      </c>
      <c r="D903" t="str">
        <f>HYPERLINK("http://service.sap.com/sap/support/notes/1718094","1718094")</f>
        <v>1718094</v>
      </c>
      <c r="E903">
        <v>3</v>
      </c>
      <c r="F903" t="s">
        <v>1290</v>
      </c>
    </row>
    <row r="904" spans="1:6" x14ac:dyDescent="0.25">
      <c r="A904" t="s">
        <v>4200</v>
      </c>
      <c r="B904" t="s">
        <v>1287</v>
      </c>
      <c r="C904" t="s">
        <v>824</v>
      </c>
      <c r="D904" t="str">
        <f>HYPERLINK("http://service.sap.com/sap/support/notes/1727623","1727623")</f>
        <v>1727623</v>
      </c>
      <c r="E904">
        <v>2</v>
      </c>
      <c r="F904" t="s">
        <v>1291</v>
      </c>
    </row>
    <row r="905" spans="1:6" x14ac:dyDescent="0.25">
      <c r="A905" t="s">
        <v>4200</v>
      </c>
      <c r="B905" t="s">
        <v>1287</v>
      </c>
      <c r="C905" t="s">
        <v>824</v>
      </c>
      <c r="D905" t="str">
        <f>HYPERLINK("http://service.sap.com/sap/support/notes/1729124","1729124")</f>
        <v>1729124</v>
      </c>
      <c r="E905">
        <v>4</v>
      </c>
      <c r="F905" t="s">
        <v>1292</v>
      </c>
    </row>
    <row r="906" spans="1:6" x14ac:dyDescent="0.25">
      <c r="A906" t="s">
        <v>4200</v>
      </c>
      <c r="B906" t="s">
        <v>1287</v>
      </c>
      <c r="C906" t="s">
        <v>824</v>
      </c>
      <c r="D906" t="str">
        <f>HYPERLINK("http://service.sap.com/sap/support/notes/1729891","1729891")</f>
        <v>1729891</v>
      </c>
      <c r="E906">
        <v>3</v>
      </c>
      <c r="F906" t="s">
        <v>1293</v>
      </c>
    </row>
    <row r="907" spans="1:6" x14ac:dyDescent="0.25">
      <c r="A907" t="s">
        <v>4200</v>
      </c>
      <c r="B907" t="s">
        <v>1287</v>
      </c>
      <c r="C907" t="s">
        <v>824</v>
      </c>
      <c r="D907" t="str">
        <f>HYPERLINK("http://service.sap.com/sap/support/notes/1731513","1731513")</f>
        <v>1731513</v>
      </c>
      <c r="E907">
        <v>2</v>
      </c>
      <c r="F907" t="s">
        <v>1294</v>
      </c>
    </row>
    <row r="908" spans="1:6" x14ac:dyDescent="0.25">
      <c r="A908" t="s">
        <v>4200</v>
      </c>
      <c r="B908" t="s">
        <v>1287</v>
      </c>
      <c r="C908" t="s">
        <v>824</v>
      </c>
      <c r="D908" t="str">
        <f>HYPERLINK("http://service.sap.com/sap/support/notes/1732201","1732201")</f>
        <v>1732201</v>
      </c>
      <c r="E908">
        <v>12</v>
      </c>
      <c r="F908" t="s">
        <v>1295</v>
      </c>
    </row>
    <row r="909" spans="1:6" x14ac:dyDescent="0.25">
      <c r="A909" t="s">
        <v>4200</v>
      </c>
      <c r="B909" t="s">
        <v>1287</v>
      </c>
      <c r="C909" t="s">
        <v>824</v>
      </c>
      <c r="D909" t="str">
        <f>HYPERLINK("http://service.sap.com/sap/support/notes/1733814","1733814")</f>
        <v>1733814</v>
      </c>
      <c r="E909">
        <v>2</v>
      </c>
      <c r="F909" t="s">
        <v>1296</v>
      </c>
    </row>
    <row r="910" spans="1:6" x14ac:dyDescent="0.25">
      <c r="A910" t="s">
        <v>4200</v>
      </c>
      <c r="B910" t="s">
        <v>1287</v>
      </c>
      <c r="C910" t="s">
        <v>824</v>
      </c>
      <c r="D910" t="str">
        <f>HYPERLINK("http://service.sap.com/sap/support/notes/1734868","1734868")</f>
        <v>1734868</v>
      </c>
      <c r="E910">
        <v>1</v>
      </c>
      <c r="F910" t="s">
        <v>1297</v>
      </c>
    </row>
    <row r="911" spans="1:6" x14ac:dyDescent="0.25">
      <c r="A911" t="s">
        <v>4200</v>
      </c>
      <c r="B911" t="s">
        <v>1287</v>
      </c>
      <c r="C911" t="s">
        <v>824</v>
      </c>
      <c r="D911" t="str">
        <f>HYPERLINK("http://service.sap.com/sap/support/notes/1737025","1737025")</f>
        <v>1737025</v>
      </c>
      <c r="E911">
        <v>1</v>
      </c>
      <c r="F911" t="s">
        <v>1298</v>
      </c>
    </row>
    <row r="912" spans="1:6" x14ac:dyDescent="0.25">
      <c r="A912" t="s">
        <v>4200</v>
      </c>
      <c r="B912" t="s">
        <v>1287</v>
      </c>
      <c r="C912" t="s">
        <v>824</v>
      </c>
      <c r="D912" t="str">
        <f>HYPERLINK("http://service.sap.com/sap/support/notes/1737929","1737929")</f>
        <v>1737929</v>
      </c>
      <c r="E912">
        <v>3</v>
      </c>
      <c r="F912" t="s">
        <v>1299</v>
      </c>
    </row>
    <row r="913" spans="1:6" x14ac:dyDescent="0.25">
      <c r="A913" t="s">
        <v>4200</v>
      </c>
      <c r="B913" t="s">
        <v>1287</v>
      </c>
      <c r="C913" t="s">
        <v>824</v>
      </c>
      <c r="D913" t="str">
        <f>HYPERLINK("http://service.sap.com/sap/support/notes/1737966","1737966")</f>
        <v>1737966</v>
      </c>
      <c r="E913">
        <v>1</v>
      </c>
      <c r="F913" t="s">
        <v>1300</v>
      </c>
    </row>
    <row r="914" spans="1:6" x14ac:dyDescent="0.25">
      <c r="A914" t="s">
        <v>4200</v>
      </c>
      <c r="B914" t="s">
        <v>1287</v>
      </c>
      <c r="C914" t="s">
        <v>824</v>
      </c>
      <c r="D914" t="str">
        <f>HYPERLINK("http://service.sap.com/sap/support/notes/1738437","1738437")</f>
        <v>1738437</v>
      </c>
      <c r="E914">
        <v>4</v>
      </c>
      <c r="F914" t="s">
        <v>1301</v>
      </c>
    </row>
    <row r="915" spans="1:6" x14ac:dyDescent="0.25">
      <c r="A915" t="s">
        <v>4200</v>
      </c>
      <c r="B915" t="s">
        <v>1287</v>
      </c>
      <c r="C915" t="s">
        <v>824</v>
      </c>
      <c r="D915" t="str">
        <f>HYPERLINK("http://service.sap.com/sap/support/notes/1738688","1738688")</f>
        <v>1738688</v>
      </c>
      <c r="E915">
        <v>2</v>
      </c>
      <c r="F915" t="s">
        <v>1302</v>
      </c>
    </row>
    <row r="916" spans="1:6" x14ac:dyDescent="0.25">
      <c r="A916" t="s">
        <v>4200</v>
      </c>
      <c r="B916" t="s">
        <v>1287</v>
      </c>
      <c r="C916" t="s">
        <v>824</v>
      </c>
      <c r="D916" t="str">
        <f>HYPERLINK("http://service.sap.com/sap/support/notes/1739019","1739019")</f>
        <v>1739019</v>
      </c>
      <c r="E916">
        <v>3</v>
      </c>
      <c r="F916" t="s">
        <v>1303</v>
      </c>
    </row>
    <row r="917" spans="1:6" x14ac:dyDescent="0.25">
      <c r="A917" t="s">
        <v>4200</v>
      </c>
      <c r="B917" t="s">
        <v>1287</v>
      </c>
      <c r="C917" t="s">
        <v>824</v>
      </c>
      <c r="D917" t="str">
        <f>HYPERLINK("http://service.sap.com/sap/support/notes/1739562","1739562")</f>
        <v>1739562</v>
      </c>
      <c r="E917">
        <v>4</v>
      </c>
      <c r="F917" t="s">
        <v>1304</v>
      </c>
    </row>
    <row r="918" spans="1:6" x14ac:dyDescent="0.25">
      <c r="A918" t="s">
        <v>4200</v>
      </c>
      <c r="B918" t="s">
        <v>1287</v>
      </c>
      <c r="C918" t="s">
        <v>824</v>
      </c>
      <c r="D918" t="str">
        <f>HYPERLINK("http://service.sap.com/sap/support/notes/1740109","1740109")</f>
        <v>1740109</v>
      </c>
      <c r="E918">
        <v>3</v>
      </c>
      <c r="F918" t="s">
        <v>1305</v>
      </c>
    </row>
    <row r="919" spans="1:6" x14ac:dyDescent="0.25">
      <c r="A919" t="s">
        <v>4200</v>
      </c>
      <c r="B919" t="s">
        <v>1287</v>
      </c>
      <c r="C919" t="s">
        <v>824</v>
      </c>
      <c r="D919" t="str">
        <f>HYPERLINK("http://service.sap.com/sap/support/notes/1740981","1740981")</f>
        <v>1740981</v>
      </c>
      <c r="E919">
        <v>2</v>
      </c>
      <c r="F919" t="s">
        <v>1306</v>
      </c>
    </row>
    <row r="920" spans="1:6" x14ac:dyDescent="0.25">
      <c r="A920" t="s">
        <v>4200</v>
      </c>
      <c r="B920" t="s">
        <v>1287</v>
      </c>
      <c r="C920" t="s">
        <v>824</v>
      </c>
      <c r="D920" t="str">
        <f>HYPERLINK("http://service.sap.com/sap/support/notes/1748152","1748152")</f>
        <v>1748152</v>
      </c>
      <c r="E920">
        <v>2</v>
      </c>
      <c r="F920" t="s">
        <v>1307</v>
      </c>
    </row>
    <row r="921" spans="1:6" x14ac:dyDescent="0.25">
      <c r="A921" t="s">
        <v>4200</v>
      </c>
      <c r="B921" t="s">
        <v>1287</v>
      </c>
      <c r="C921" t="s">
        <v>824</v>
      </c>
      <c r="D921" t="str">
        <f>HYPERLINK("http://service.sap.com/sap/support/notes/1750347","1750347")</f>
        <v>1750347</v>
      </c>
      <c r="E921">
        <v>1</v>
      </c>
      <c r="F921" t="s">
        <v>1308</v>
      </c>
    </row>
    <row r="922" spans="1:6" x14ac:dyDescent="0.25">
      <c r="A922" t="s">
        <v>4200</v>
      </c>
      <c r="B922" t="s">
        <v>1287</v>
      </c>
      <c r="C922" t="s">
        <v>824</v>
      </c>
      <c r="D922" t="str">
        <f>HYPERLINK("http://service.sap.com/sap/support/notes/1750605","1750605")</f>
        <v>1750605</v>
      </c>
      <c r="E922">
        <v>1</v>
      </c>
      <c r="F922" t="s">
        <v>1309</v>
      </c>
    </row>
    <row r="923" spans="1:6" x14ac:dyDescent="0.25">
      <c r="A923" t="s">
        <v>4200</v>
      </c>
      <c r="B923" t="s">
        <v>1287</v>
      </c>
      <c r="C923" t="s">
        <v>824</v>
      </c>
      <c r="D923" t="str">
        <f>HYPERLINK("http://service.sap.com/sap/support/notes/1750822","1750822")</f>
        <v>1750822</v>
      </c>
      <c r="E923">
        <v>2</v>
      </c>
      <c r="F923" t="s">
        <v>1310</v>
      </c>
    </row>
    <row r="924" spans="1:6" x14ac:dyDescent="0.25">
      <c r="A924" t="s">
        <v>4200</v>
      </c>
      <c r="B924" t="s">
        <v>1287</v>
      </c>
      <c r="C924" t="s">
        <v>824</v>
      </c>
      <c r="D924" t="str">
        <f>HYPERLINK("http://service.sap.com/sap/support/notes/1751216","1751216")</f>
        <v>1751216</v>
      </c>
      <c r="E924">
        <v>1</v>
      </c>
      <c r="F924" t="s">
        <v>1311</v>
      </c>
    </row>
    <row r="925" spans="1:6" x14ac:dyDescent="0.25">
      <c r="A925" t="s">
        <v>4200</v>
      </c>
      <c r="B925" t="s">
        <v>1287</v>
      </c>
      <c r="C925" t="s">
        <v>824</v>
      </c>
      <c r="D925" t="str">
        <f>HYPERLINK("http://service.sap.com/sap/support/notes/1753398","1753398")</f>
        <v>1753398</v>
      </c>
      <c r="E925">
        <v>2</v>
      </c>
      <c r="F925" t="s">
        <v>1312</v>
      </c>
    </row>
    <row r="926" spans="1:6" x14ac:dyDescent="0.25">
      <c r="A926" t="s">
        <v>4200</v>
      </c>
      <c r="B926" t="s">
        <v>1313</v>
      </c>
      <c r="C926" t="s">
        <v>1314</v>
      </c>
    </row>
    <row r="927" spans="1:6" x14ac:dyDescent="0.25">
      <c r="A927" t="s">
        <v>4200</v>
      </c>
      <c r="B927" t="s">
        <v>1315</v>
      </c>
      <c r="C927" t="s">
        <v>1316</v>
      </c>
      <c r="D927" t="str">
        <f>HYPERLINK("http://service.sap.com/sap/support/notes/1686904","1686904")</f>
        <v>1686904</v>
      </c>
      <c r="E927">
        <v>5</v>
      </c>
      <c r="F927" t="s">
        <v>1317</v>
      </c>
    </row>
    <row r="928" spans="1:6" x14ac:dyDescent="0.25">
      <c r="A928" t="s">
        <v>4200</v>
      </c>
      <c r="B928" t="s">
        <v>1315</v>
      </c>
      <c r="C928" t="s">
        <v>1316</v>
      </c>
      <c r="D928" t="str">
        <f>HYPERLINK("http://service.sap.com/sap/support/notes/1701619","1701619")</f>
        <v>1701619</v>
      </c>
      <c r="E928">
        <v>3</v>
      </c>
      <c r="F928" t="s">
        <v>1318</v>
      </c>
    </row>
    <row r="929" spans="1:6" x14ac:dyDescent="0.25">
      <c r="A929" t="s">
        <v>4200</v>
      </c>
      <c r="B929" t="s">
        <v>1315</v>
      </c>
      <c r="C929" t="s">
        <v>1316</v>
      </c>
      <c r="D929" t="str">
        <f>HYPERLINK("http://service.sap.com/sap/support/notes/1717275","1717275")</f>
        <v>1717275</v>
      </c>
      <c r="E929">
        <v>5</v>
      </c>
      <c r="F929" t="s">
        <v>1319</v>
      </c>
    </row>
    <row r="930" spans="1:6" x14ac:dyDescent="0.25">
      <c r="A930" t="s">
        <v>4200</v>
      </c>
      <c r="B930" t="s">
        <v>1315</v>
      </c>
      <c r="C930" t="s">
        <v>1316</v>
      </c>
      <c r="D930" t="str">
        <f>HYPERLINK("http://service.sap.com/sap/support/notes/1735486","1735486")</f>
        <v>1735486</v>
      </c>
      <c r="E930">
        <v>2</v>
      </c>
      <c r="F930" t="s">
        <v>1320</v>
      </c>
    </row>
    <row r="931" spans="1:6" x14ac:dyDescent="0.25">
      <c r="A931" t="s">
        <v>4200</v>
      </c>
      <c r="B931" t="s">
        <v>1315</v>
      </c>
      <c r="C931" t="s">
        <v>1316</v>
      </c>
      <c r="D931" t="str">
        <f>HYPERLINK("http://service.sap.com/sap/support/notes/1745162","1745162")</f>
        <v>1745162</v>
      </c>
      <c r="E931">
        <v>3</v>
      </c>
      <c r="F931" t="s">
        <v>1321</v>
      </c>
    </row>
    <row r="932" spans="1:6" x14ac:dyDescent="0.25">
      <c r="A932" t="s">
        <v>4200</v>
      </c>
      <c r="B932" t="s">
        <v>1315</v>
      </c>
      <c r="C932" t="s">
        <v>1316</v>
      </c>
      <c r="D932" t="str">
        <f>HYPERLINK("http://service.sap.com/sap/support/notes/1750035","1750035")</f>
        <v>1750035</v>
      </c>
      <c r="E932">
        <v>1</v>
      </c>
      <c r="F932" t="s">
        <v>1322</v>
      </c>
    </row>
    <row r="933" spans="1:6" x14ac:dyDescent="0.25">
      <c r="A933" t="s">
        <v>4200</v>
      </c>
      <c r="B933" t="s">
        <v>1315</v>
      </c>
      <c r="C933" t="s">
        <v>1316</v>
      </c>
      <c r="D933" t="str">
        <f>HYPERLINK("http://service.sap.com/sap/support/notes/1751880","1751880")</f>
        <v>1751880</v>
      </c>
      <c r="E933">
        <v>3</v>
      </c>
      <c r="F933" t="s">
        <v>1323</v>
      </c>
    </row>
    <row r="934" spans="1:6" x14ac:dyDescent="0.25">
      <c r="A934" t="s">
        <v>4200</v>
      </c>
      <c r="B934" t="s">
        <v>1315</v>
      </c>
      <c r="C934" t="s">
        <v>1316</v>
      </c>
      <c r="D934" t="str">
        <f>HYPERLINK("http://service.sap.com/sap/support/notes/1761375","1761375")</f>
        <v>1761375</v>
      </c>
      <c r="E934">
        <v>1</v>
      </c>
      <c r="F934" t="s">
        <v>1324</v>
      </c>
    </row>
    <row r="935" spans="1:6" x14ac:dyDescent="0.25">
      <c r="A935" t="s">
        <v>4200</v>
      </c>
      <c r="B935" t="s">
        <v>1315</v>
      </c>
      <c r="C935" t="s">
        <v>1316</v>
      </c>
      <c r="D935" t="str">
        <f>HYPERLINK("http://service.sap.com/sap/support/notes/1762058","1762058")</f>
        <v>1762058</v>
      </c>
      <c r="E935">
        <v>1</v>
      </c>
      <c r="F935" t="s">
        <v>1325</v>
      </c>
    </row>
    <row r="936" spans="1:6" x14ac:dyDescent="0.25">
      <c r="A936" t="s">
        <v>4200</v>
      </c>
      <c r="B936" t="s">
        <v>1326</v>
      </c>
      <c r="C936" t="s">
        <v>1327</v>
      </c>
      <c r="D936" t="str">
        <f>HYPERLINK("http://service.sap.com/sap/support/notes/1731673","1731673")</f>
        <v>1731673</v>
      </c>
      <c r="E936">
        <v>3</v>
      </c>
      <c r="F936" t="s">
        <v>1328</v>
      </c>
    </row>
    <row r="937" spans="1:6" x14ac:dyDescent="0.25">
      <c r="A937" t="s">
        <v>4200</v>
      </c>
      <c r="B937" t="s">
        <v>1326</v>
      </c>
      <c r="C937" t="s">
        <v>1327</v>
      </c>
      <c r="D937" t="str">
        <f>HYPERLINK("http://service.sap.com/sap/support/notes/1738491","1738491")</f>
        <v>1738491</v>
      </c>
      <c r="E937">
        <v>2</v>
      </c>
      <c r="F937" t="s">
        <v>1329</v>
      </c>
    </row>
    <row r="938" spans="1:6" x14ac:dyDescent="0.25">
      <c r="A938" t="s">
        <v>4200</v>
      </c>
      <c r="B938" t="s">
        <v>1326</v>
      </c>
      <c r="C938" t="s">
        <v>1327</v>
      </c>
      <c r="D938" t="str">
        <f>HYPERLINK("http://service.sap.com/sap/support/notes/1759668","1759668")</f>
        <v>1759668</v>
      </c>
      <c r="E938">
        <v>1</v>
      </c>
      <c r="F938" t="s">
        <v>1330</v>
      </c>
    </row>
    <row r="939" spans="1:6" x14ac:dyDescent="0.25">
      <c r="A939" t="s">
        <v>4200</v>
      </c>
      <c r="B939" t="s">
        <v>1326</v>
      </c>
      <c r="C939" t="s">
        <v>1327</v>
      </c>
      <c r="D939" t="str">
        <f>HYPERLINK("http://service.sap.com/sap/support/notes/1761156","1761156")</f>
        <v>1761156</v>
      </c>
      <c r="E939">
        <v>1</v>
      </c>
      <c r="F939" t="s">
        <v>1331</v>
      </c>
    </row>
    <row r="940" spans="1:6" x14ac:dyDescent="0.25">
      <c r="A940" t="s">
        <v>4200</v>
      </c>
      <c r="B940" t="s">
        <v>1326</v>
      </c>
      <c r="C940" t="s">
        <v>1327</v>
      </c>
      <c r="D940" t="str">
        <f>HYPERLINK("http://service.sap.com/sap/support/notes/1762390","1762390")</f>
        <v>1762390</v>
      </c>
      <c r="E940">
        <v>1</v>
      </c>
      <c r="F940" t="s">
        <v>1332</v>
      </c>
    </row>
    <row r="941" spans="1:6" x14ac:dyDescent="0.25">
      <c r="A941" t="s">
        <v>4200</v>
      </c>
      <c r="B941" t="s">
        <v>1333</v>
      </c>
      <c r="C941" t="s">
        <v>1334</v>
      </c>
      <c r="D941" t="str">
        <f>HYPERLINK("http://service.sap.com/sap/support/notes/1702346","1702346")</f>
        <v>1702346</v>
      </c>
      <c r="E941">
        <v>1</v>
      </c>
      <c r="F941" t="s">
        <v>1335</v>
      </c>
    </row>
    <row r="942" spans="1:6" x14ac:dyDescent="0.25">
      <c r="A942" t="s">
        <v>4200</v>
      </c>
      <c r="B942" t="s">
        <v>1336</v>
      </c>
      <c r="C942" t="s">
        <v>1327</v>
      </c>
      <c r="D942" t="str">
        <f>HYPERLINK("http://service.sap.com/sap/support/notes/1718567","1718567")</f>
        <v>1718567</v>
      </c>
      <c r="E942">
        <v>2</v>
      </c>
      <c r="F942" t="s">
        <v>1337</v>
      </c>
    </row>
    <row r="943" spans="1:6" x14ac:dyDescent="0.25">
      <c r="A943" t="s">
        <v>4200</v>
      </c>
      <c r="B943" t="s">
        <v>1336</v>
      </c>
      <c r="C943" t="s">
        <v>1327</v>
      </c>
      <c r="D943" t="str">
        <f>HYPERLINK("http://service.sap.com/sap/support/notes/1731429","1731429")</f>
        <v>1731429</v>
      </c>
      <c r="E943">
        <v>2</v>
      </c>
      <c r="F943" t="s">
        <v>1338</v>
      </c>
    </row>
    <row r="944" spans="1:6" x14ac:dyDescent="0.25">
      <c r="A944" t="s">
        <v>4200</v>
      </c>
      <c r="B944" t="s">
        <v>1336</v>
      </c>
      <c r="C944" t="s">
        <v>1327</v>
      </c>
      <c r="D944" t="str">
        <f>HYPERLINK("http://service.sap.com/sap/support/notes/1733158","1733158")</f>
        <v>1733158</v>
      </c>
      <c r="E944">
        <v>1</v>
      </c>
      <c r="F944" t="s">
        <v>1339</v>
      </c>
    </row>
    <row r="945" spans="1:6" x14ac:dyDescent="0.25">
      <c r="A945" t="s">
        <v>4200</v>
      </c>
      <c r="B945" t="s">
        <v>1336</v>
      </c>
      <c r="C945" t="s">
        <v>1327</v>
      </c>
      <c r="D945" t="str">
        <f>HYPERLINK("http://service.sap.com/sap/support/notes/1737132","1737132")</f>
        <v>1737132</v>
      </c>
      <c r="E945">
        <v>1</v>
      </c>
      <c r="F945" t="s">
        <v>1340</v>
      </c>
    </row>
    <row r="946" spans="1:6" x14ac:dyDescent="0.25">
      <c r="A946" t="s">
        <v>4200</v>
      </c>
      <c r="B946" t="s">
        <v>1336</v>
      </c>
      <c r="C946" t="s">
        <v>1327</v>
      </c>
      <c r="D946" t="str">
        <f>HYPERLINK("http://service.sap.com/sap/support/notes/1746777","1746777")</f>
        <v>1746777</v>
      </c>
      <c r="E946">
        <v>1</v>
      </c>
      <c r="F946" t="s">
        <v>1341</v>
      </c>
    </row>
    <row r="947" spans="1:6" x14ac:dyDescent="0.25">
      <c r="A947" t="s">
        <v>4200</v>
      </c>
      <c r="B947" t="s">
        <v>1336</v>
      </c>
      <c r="C947" t="s">
        <v>1327</v>
      </c>
      <c r="D947" t="str">
        <f>HYPERLINK("http://service.sap.com/sap/support/notes/1752608","1752608")</f>
        <v>1752608</v>
      </c>
      <c r="E947">
        <v>1</v>
      </c>
      <c r="F947" t="s">
        <v>1342</v>
      </c>
    </row>
    <row r="948" spans="1:6" x14ac:dyDescent="0.25">
      <c r="A948" t="s">
        <v>4200</v>
      </c>
      <c r="B948" t="s">
        <v>1336</v>
      </c>
      <c r="C948" t="s">
        <v>1327</v>
      </c>
      <c r="D948" t="str">
        <f>HYPERLINK("http://service.sap.com/sap/support/notes/1757942","1757942")</f>
        <v>1757942</v>
      </c>
      <c r="E948">
        <v>1</v>
      </c>
      <c r="F948" t="s">
        <v>1343</v>
      </c>
    </row>
    <row r="949" spans="1:6" x14ac:dyDescent="0.25">
      <c r="A949" t="s">
        <v>4200</v>
      </c>
      <c r="B949" t="s">
        <v>1336</v>
      </c>
      <c r="C949" t="s">
        <v>1327</v>
      </c>
      <c r="D949" t="str">
        <f>HYPERLINK("http://service.sap.com/sap/support/notes/1759519","1759519")</f>
        <v>1759519</v>
      </c>
      <c r="E949">
        <v>1</v>
      </c>
      <c r="F949" t="s">
        <v>1344</v>
      </c>
    </row>
    <row r="950" spans="1:6" x14ac:dyDescent="0.25">
      <c r="A950" t="s">
        <v>4200</v>
      </c>
      <c r="B950" t="s">
        <v>1336</v>
      </c>
      <c r="C950" t="s">
        <v>1327</v>
      </c>
      <c r="D950" t="str">
        <f>HYPERLINK("http://service.sap.com/sap/support/notes/1760882","1760882")</f>
        <v>1760882</v>
      </c>
      <c r="E950">
        <v>1</v>
      </c>
      <c r="F950" t="s">
        <v>1345</v>
      </c>
    </row>
    <row r="951" spans="1:6" x14ac:dyDescent="0.25">
      <c r="A951" t="s">
        <v>4200</v>
      </c>
      <c r="B951" t="s">
        <v>1336</v>
      </c>
      <c r="C951" t="s">
        <v>1327</v>
      </c>
      <c r="D951" t="str">
        <f>HYPERLINK("http://service.sap.com/sap/support/notes/1763488","1763488")</f>
        <v>1763488</v>
      </c>
      <c r="E951">
        <v>1</v>
      </c>
      <c r="F951" t="s">
        <v>1346</v>
      </c>
    </row>
    <row r="952" spans="1:6" x14ac:dyDescent="0.25">
      <c r="A952" t="s">
        <v>4200</v>
      </c>
      <c r="B952" t="s">
        <v>1347</v>
      </c>
      <c r="C952" t="s">
        <v>1327</v>
      </c>
      <c r="D952" t="str">
        <f>HYPERLINK("http://service.sap.com/sap/support/notes/1737204","1737204")</f>
        <v>1737204</v>
      </c>
      <c r="E952">
        <v>1</v>
      </c>
      <c r="F952" t="s">
        <v>1348</v>
      </c>
    </row>
    <row r="953" spans="1:6" x14ac:dyDescent="0.25">
      <c r="A953" t="s">
        <v>4200</v>
      </c>
      <c r="B953" t="s">
        <v>1347</v>
      </c>
      <c r="C953" t="s">
        <v>1327</v>
      </c>
      <c r="D953" t="str">
        <f>HYPERLINK("http://service.sap.com/sap/support/notes/1742251","1742251")</f>
        <v>1742251</v>
      </c>
      <c r="E953">
        <v>1</v>
      </c>
      <c r="F953" t="s">
        <v>1349</v>
      </c>
    </row>
    <row r="954" spans="1:6" x14ac:dyDescent="0.25">
      <c r="A954" t="s">
        <v>4200</v>
      </c>
      <c r="B954" t="s">
        <v>1347</v>
      </c>
      <c r="C954" t="s">
        <v>1327</v>
      </c>
      <c r="D954" t="str">
        <f>HYPERLINK("http://service.sap.com/sap/support/notes/1762222","1762222")</f>
        <v>1762222</v>
      </c>
      <c r="E954">
        <v>1</v>
      </c>
      <c r="F954" t="s">
        <v>1350</v>
      </c>
    </row>
    <row r="955" spans="1:6" x14ac:dyDescent="0.25">
      <c r="A955" t="s">
        <v>4200</v>
      </c>
      <c r="B955" t="s">
        <v>1351</v>
      </c>
      <c r="C955" t="s">
        <v>1327</v>
      </c>
      <c r="D955" t="str">
        <f>HYPERLINK("http://service.sap.com/sap/support/notes/1733459","1733459")</f>
        <v>1733459</v>
      </c>
      <c r="E955">
        <v>2</v>
      </c>
      <c r="F955" t="s">
        <v>1352</v>
      </c>
    </row>
    <row r="956" spans="1:6" x14ac:dyDescent="0.25">
      <c r="A956" t="s">
        <v>4200</v>
      </c>
      <c r="B956" t="s">
        <v>1351</v>
      </c>
      <c r="C956" t="s">
        <v>1327</v>
      </c>
      <c r="D956" t="str">
        <f>HYPERLINK("http://service.sap.com/sap/support/notes/1734472","1734472")</f>
        <v>1734472</v>
      </c>
      <c r="E956">
        <v>1</v>
      </c>
      <c r="F956" t="s">
        <v>1353</v>
      </c>
    </row>
    <row r="957" spans="1:6" x14ac:dyDescent="0.25">
      <c r="A957" t="s">
        <v>4200</v>
      </c>
      <c r="B957" t="s">
        <v>1351</v>
      </c>
      <c r="C957" t="s">
        <v>1327</v>
      </c>
      <c r="D957" t="str">
        <f>HYPERLINK("http://service.sap.com/sap/support/notes/1739651","1739651")</f>
        <v>1739651</v>
      </c>
      <c r="E957">
        <v>2</v>
      </c>
      <c r="F957" t="s">
        <v>1354</v>
      </c>
    </row>
    <row r="958" spans="1:6" x14ac:dyDescent="0.25">
      <c r="A958" t="s">
        <v>4200</v>
      </c>
      <c r="B958" t="s">
        <v>1351</v>
      </c>
      <c r="C958" t="s">
        <v>1327</v>
      </c>
      <c r="D958" t="str">
        <f>HYPERLINK("http://service.sap.com/sap/support/notes/1745283","1745283")</f>
        <v>1745283</v>
      </c>
      <c r="E958">
        <v>2</v>
      </c>
      <c r="F958" t="s">
        <v>1355</v>
      </c>
    </row>
    <row r="959" spans="1:6" x14ac:dyDescent="0.25">
      <c r="A959" t="s">
        <v>4200</v>
      </c>
      <c r="B959" t="s">
        <v>1351</v>
      </c>
      <c r="C959" t="s">
        <v>1327</v>
      </c>
      <c r="D959" t="str">
        <f>HYPERLINK("http://service.sap.com/sap/support/notes/1747717","1747717")</f>
        <v>1747717</v>
      </c>
      <c r="E959">
        <v>2</v>
      </c>
      <c r="F959" t="s">
        <v>1356</v>
      </c>
    </row>
    <row r="960" spans="1:6" x14ac:dyDescent="0.25">
      <c r="A960" t="s">
        <v>4200</v>
      </c>
      <c r="B960" t="s">
        <v>1351</v>
      </c>
      <c r="C960" t="s">
        <v>1327</v>
      </c>
      <c r="D960" t="str">
        <f>HYPERLINK("http://service.sap.com/sap/support/notes/1748695","1748695")</f>
        <v>1748695</v>
      </c>
      <c r="E960">
        <v>1</v>
      </c>
      <c r="F960" t="s">
        <v>1357</v>
      </c>
    </row>
    <row r="961" spans="1:6" x14ac:dyDescent="0.25">
      <c r="A961" t="s">
        <v>4200</v>
      </c>
      <c r="B961" t="s">
        <v>1351</v>
      </c>
      <c r="C961" t="s">
        <v>1327</v>
      </c>
      <c r="D961" t="str">
        <f>HYPERLINK("http://service.sap.com/sap/support/notes/1750217","1750217")</f>
        <v>1750217</v>
      </c>
      <c r="E961">
        <v>1</v>
      </c>
      <c r="F961" t="s">
        <v>1358</v>
      </c>
    </row>
    <row r="962" spans="1:6" x14ac:dyDescent="0.25">
      <c r="A962" t="s">
        <v>4200</v>
      </c>
      <c r="B962" t="s">
        <v>1351</v>
      </c>
      <c r="C962" t="s">
        <v>1327</v>
      </c>
      <c r="D962" t="str">
        <f>HYPERLINK("http://service.sap.com/sap/support/notes/1751367","1751367")</f>
        <v>1751367</v>
      </c>
      <c r="E962">
        <v>1</v>
      </c>
      <c r="F962" t="s">
        <v>1359</v>
      </c>
    </row>
    <row r="963" spans="1:6" x14ac:dyDescent="0.25">
      <c r="A963" t="s">
        <v>4200</v>
      </c>
      <c r="B963" t="s">
        <v>1351</v>
      </c>
      <c r="C963" t="s">
        <v>1327</v>
      </c>
      <c r="D963" t="str">
        <f>HYPERLINK("http://service.sap.com/sap/support/notes/1756691","1756691")</f>
        <v>1756691</v>
      </c>
      <c r="E963">
        <v>1</v>
      </c>
      <c r="F963" t="s">
        <v>1360</v>
      </c>
    </row>
    <row r="964" spans="1:6" x14ac:dyDescent="0.25">
      <c r="A964" t="s">
        <v>4200</v>
      </c>
      <c r="B964" t="s">
        <v>1351</v>
      </c>
      <c r="C964" t="s">
        <v>1327</v>
      </c>
      <c r="D964" t="str">
        <f>HYPERLINK("http://service.sap.com/sap/support/notes/1756916","1756916")</f>
        <v>1756916</v>
      </c>
      <c r="E964">
        <v>1</v>
      </c>
      <c r="F964" t="s">
        <v>1361</v>
      </c>
    </row>
    <row r="965" spans="1:6" x14ac:dyDescent="0.25">
      <c r="A965" t="s">
        <v>4200</v>
      </c>
      <c r="B965" t="s">
        <v>1362</v>
      </c>
      <c r="C965" t="s">
        <v>1327</v>
      </c>
      <c r="D965" t="str">
        <f>HYPERLINK("http://service.sap.com/sap/support/notes/1709894","1709894")</f>
        <v>1709894</v>
      </c>
      <c r="E965">
        <v>1</v>
      </c>
      <c r="F965" t="s">
        <v>1363</v>
      </c>
    </row>
    <row r="966" spans="1:6" x14ac:dyDescent="0.25">
      <c r="A966" t="s">
        <v>4200</v>
      </c>
      <c r="B966" t="s">
        <v>1362</v>
      </c>
      <c r="C966" t="s">
        <v>1327</v>
      </c>
      <c r="D966" t="str">
        <f>HYPERLINK("http://service.sap.com/sap/support/notes/1730611","1730611")</f>
        <v>1730611</v>
      </c>
      <c r="E966">
        <v>1</v>
      </c>
      <c r="F966" t="s">
        <v>1364</v>
      </c>
    </row>
    <row r="967" spans="1:6" x14ac:dyDescent="0.25">
      <c r="A967" t="s">
        <v>4200</v>
      </c>
      <c r="B967" t="s">
        <v>1362</v>
      </c>
      <c r="C967" t="s">
        <v>1327</v>
      </c>
      <c r="D967" t="str">
        <f>HYPERLINK("http://service.sap.com/sap/support/notes/1731380","1731380")</f>
        <v>1731380</v>
      </c>
      <c r="E967">
        <v>1</v>
      </c>
      <c r="F967" t="s">
        <v>1365</v>
      </c>
    </row>
    <row r="968" spans="1:6" x14ac:dyDescent="0.25">
      <c r="A968" t="s">
        <v>4200</v>
      </c>
      <c r="B968" t="s">
        <v>1362</v>
      </c>
      <c r="C968" t="s">
        <v>1327</v>
      </c>
      <c r="D968" t="str">
        <f>HYPERLINK("http://service.sap.com/sap/support/notes/1736015","1736015")</f>
        <v>1736015</v>
      </c>
      <c r="E968">
        <v>1</v>
      </c>
      <c r="F968" t="s">
        <v>1366</v>
      </c>
    </row>
    <row r="969" spans="1:6" x14ac:dyDescent="0.25">
      <c r="A969" t="s">
        <v>4200</v>
      </c>
      <c r="B969" t="s">
        <v>1362</v>
      </c>
      <c r="C969" t="s">
        <v>1327</v>
      </c>
      <c r="D969" t="str">
        <f>HYPERLINK("http://service.sap.com/sap/support/notes/1738789","1738789")</f>
        <v>1738789</v>
      </c>
      <c r="E969">
        <v>1</v>
      </c>
      <c r="F969" t="s">
        <v>1367</v>
      </c>
    </row>
    <row r="970" spans="1:6" x14ac:dyDescent="0.25">
      <c r="A970" t="s">
        <v>4200</v>
      </c>
      <c r="B970" t="s">
        <v>1362</v>
      </c>
      <c r="C970" t="s">
        <v>1327</v>
      </c>
      <c r="D970" t="str">
        <f>HYPERLINK("http://service.sap.com/sap/support/notes/1745135","1745135")</f>
        <v>1745135</v>
      </c>
      <c r="E970">
        <v>1</v>
      </c>
      <c r="F970" t="s">
        <v>1368</v>
      </c>
    </row>
    <row r="971" spans="1:6" x14ac:dyDescent="0.25">
      <c r="A971" t="s">
        <v>4200</v>
      </c>
      <c r="B971" t="s">
        <v>1362</v>
      </c>
      <c r="C971" t="s">
        <v>1327</v>
      </c>
      <c r="D971" t="str">
        <f>HYPERLINK("http://service.sap.com/sap/support/notes/1747900","1747900")</f>
        <v>1747900</v>
      </c>
      <c r="E971">
        <v>1</v>
      </c>
      <c r="F971" t="s">
        <v>1369</v>
      </c>
    </row>
    <row r="972" spans="1:6" x14ac:dyDescent="0.25">
      <c r="A972" t="s">
        <v>4200</v>
      </c>
      <c r="B972" t="s">
        <v>1362</v>
      </c>
      <c r="C972" t="s">
        <v>1327</v>
      </c>
      <c r="D972" t="str">
        <f>HYPERLINK("http://service.sap.com/sap/support/notes/1760025","1760025")</f>
        <v>1760025</v>
      </c>
      <c r="E972">
        <v>1</v>
      </c>
      <c r="F972" t="s">
        <v>1370</v>
      </c>
    </row>
    <row r="973" spans="1:6" x14ac:dyDescent="0.25">
      <c r="A973" t="s">
        <v>4200</v>
      </c>
      <c r="B973" t="s">
        <v>1362</v>
      </c>
      <c r="C973" t="s">
        <v>1327</v>
      </c>
      <c r="D973" t="str">
        <f>HYPERLINK("http://service.sap.com/sap/support/notes/1761757","1761757")</f>
        <v>1761757</v>
      </c>
      <c r="E973">
        <v>1</v>
      </c>
      <c r="F973" t="s">
        <v>1371</v>
      </c>
    </row>
    <row r="974" spans="1:6" x14ac:dyDescent="0.25">
      <c r="A974" t="s">
        <v>4200</v>
      </c>
      <c r="B974" t="s">
        <v>1372</v>
      </c>
      <c r="C974" t="s">
        <v>1373</v>
      </c>
    </row>
    <row r="975" spans="1:6" x14ac:dyDescent="0.25">
      <c r="A975" t="s">
        <v>4200</v>
      </c>
      <c r="B975" t="s">
        <v>1374</v>
      </c>
      <c r="C975" t="s">
        <v>824</v>
      </c>
    </row>
    <row r="976" spans="1:6" x14ac:dyDescent="0.25">
      <c r="A976" t="s">
        <v>4200</v>
      </c>
      <c r="B976" t="s">
        <v>1375</v>
      </c>
      <c r="C976" t="s">
        <v>1376</v>
      </c>
      <c r="D976" t="str">
        <f>HYPERLINK("http://service.sap.com/sap/support/notes/703907","703907")</f>
        <v>703907</v>
      </c>
      <c r="E976">
        <v>2</v>
      </c>
      <c r="F976" t="s">
        <v>1377</v>
      </c>
    </row>
    <row r="977" spans="1:6" x14ac:dyDescent="0.25">
      <c r="A977" t="s">
        <v>4200</v>
      </c>
      <c r="B977" t="s">
        <v>1375</v>
      </c>
      <c r="C977" t="s">
        <v>1376</v>
      </c>
      <c r="D977" t="str">
        <f>HYPERLINK("http://service.sap.com/sap/support/notes/812124","812124")</f>
        <v>812124</v>
      </c>
      <c r="E977">
        <v>5</v>
      </c>
      <c r="F977" t="s">
        <v>1378</v>
      </c>
    </row>
    <row r="978" spans="1:6" x14ac:dyDescent="0.25">
      <c r="A978" t="s">
        <v>4200</v>
      </c>
      <c r="B978" t="s">
        <v>1375</v>
      </c>
      <c r="C978" t="s">
        <v>1376</v>
      </c>
      <c r="D978" t="str">
        <f>HYPERLINK("http://service.sap.com/sap/support/notes/828473","828473")</f>
        <v>828473</v>
      </c>
      <c r="E978">
        <v>4</v>
      </c>
      <c r="F978" t="s">
        <v>1379</v>
      </c>
    </row>
    <row r="979" spans="1:6" x14ac:dyDescent="0.25">
      <c r="A979" t="s">
        <v>4200</v>
      </c>
      <c r="B979" t="s">
        <v>1375</v>
      </c>
      <c r="C979" t="s">
        <v>1376</v>
      </c>
      <c r="D979" t="str">
        <f>HYPERLINK("http://service.sap.com/sap/support/notes/873093","873093")</f>
        <v>873093</v>
      </c>
      <c r="E979">
        <v>7</v>
      </c>
      <c r="F979" t="s">
        <v>1380</v>
      </c>
    </row>
    <row r="980" spans="1:6" x14ac:dyDescent="0.25">
      <c r="A980" t="s">
        <v>4200</v>
      </c>
      <c r="B980" t="s">
        <v>1375</v>
      </c>
      <c r="C980" t="s">
        <v>1376</v>
      </c>
      <c r="D980" t="str">
        <f>HYPERLINK("http://service.sap.com/sap/support/notes/892860","892860")</f>
        <v>892860</v>
      </c>
      <c r="E980">
        <v>3</v>
      </c>
      <c r="F980" t="s">
        <v>1381</v>
      </c>
    </row>
    <row r="981" spans="1:6" x14ac:dyDescent="0.25">
      <c r="A981" t="s">
        <v>4200</v>
      </c>
      <c r="B981" t="s">
        <v>1375</v>
      </c>
      <c r="C981" t="s">
        <v>1376</v>
      </c>
      <c r="D981" t="str">
        <f>HYPERLINK("http://service.sap.com/sap/support/notes/962867","962867")</f>
        <v>962867</v>
      </c>
      <c r="E981">
        <v>2</v>
      </c>
      <c r="F981" t="s">
        <v>1382</v>
      </c>
    </row>
    <row r="982" spans="1:6" x14ac:dyDescent="0.25">
      <c r="A982" t="s">
        <v>4200</v>
      </c>
      <c r="B982" t="s">
        <v>1375</v>
      </c>
      <c r="C982" t="s">
        <v>1376</v>
      </c>
      <c r="D982" t="str">
        <f>HYPERLINK("http://service.sap.com/sap/support/notes/965575","965575")</f>
        <v>965575</v>
      </c>
      <c r="E982">
        <v>18</v>
      </c>
      <c r="F982" t="s">
        <v>1383</v>
      </c>
    </row>
    <row r="983" spans="1:6" x14ac:dyDescent="0.25">
      <c r="A983" t="s">
        <v>4200</v>
      </c>
      <c r="B983" t="s">
        <v>1375</v>
      </c>
      <c r="C983" t="s">
        <v>1376</v>
      </c>
      <c r="D983" t="str">
        <f>HYPERLINK("http://service.sap.com/sap/support/notes/1047877","1047877")</f>
        <v>1047877</v>
      </c>
      <c r="E983">
        <v>3</v>
      </c>
      <c r="F983" t="s">
        <v>1384</v>
      </c>
    </row>
    <row r="984" spans="1:6" x14ac:dyDescent="0.25">
      <c r="A984" t="s">
        <v>4200</v>
      </c>
      <c r="B984" t="s">
        <v>1375</v>
      </c>
      <c r="C984" t="s">
        <v>1376</v>
      </c>
      <c r="D984" t="str">
        <f>HYPERLINK("http://service.sap.com/sap/support/notes/1052776","1052776")</f>
        <v>1052776</v>
      </c>
      <c r="E984">
        <v>7</v>
      </c>
      <c r="F984" t="s">
        <v>1385</v>
      </c>
    </row>
    <row r="985" spans="1:6" x14ac:dyDescent="0.25">
      <c r="A985" t="s">
        <v>4200</v>
      </c>
      <c r="B985" t="s">
        <v>1375</v>
      </c>
      <c r="C985" t="s">
        <v>1376</v>
      </c>
      <c r="D985" t="str">
        <f>HYPERLINK("http://service.sap.com/sap/support/notes/1144572","1144572")</f>
        <v>1144572</v>
      </c>
      <c r="E985">
        <v>7</v>
      </c>
      <c r="F985" t="s">
        <v>1386</v>
      </c>
    </row>
    <row r="986" spans="1:6" x14ac:dyDescent="0.25">
      <c r="A986" t="s">
        <v>4200</v>
      </c>
      <c r="B986" t="s">
        <v>1375</v>
      </c>
      <c r="C986" t="s">
        <v>1376</v>
      </c>
      <c r="D986" t="str">
        <f>HYPERLINK("http://service.sap.com/sap/support/notes/1743698","1743698")</f>
        <v>1743698</v>
      </c>
      <c r="E986">
        <v>1</v>
      </c>
      <c r="F986" t="s">
        <v>1387</v>
      </c>
    </row>
    <row r="987" spans="1:6" x14ac:dyDescent="0.25">
      <c r="A987" t="s">
        <v>4200</v>
      </c>
      <c r="B987" t="s">
        <v>1375</v>
      </c>
      <c r="C987" t="s">
        <v>1376</v>
      </c>
      <c r="D987" t="str">
        <f>HYPERLINK("http://service.sap.com/sap/support/notes/1753981","1753981")</f>
        <v>1753981</v>
      </c>
      <c r="E987">
        <v>3</v>
      </c>
      <c r="F987" t="s">
        <v>1388</v>
      </c>
    </row>
    <row r="988" spans="1:6" x14ac:dyDescent="0.25">
      <c r="A988" t="s">
        <v>4200</v>
      </c>
      <c r="B988" t="s">
        <v>1389</v>
      </c>
      <c r="C988" t="s">
        <v>151</v>
      </c>
    </row>
    <row r="989" spans="1:6" x14ac:dyDescent="0.25">
      <c r="A989" t="s">
        <v>4200</v>
      </c>
      <c r="B989" t="s">
        <v>1390</v>
      </c>
      <c r="C989" t="s">
        <v>1111</v>
      </c>
      <c r="D989" t="str">
        <f>HYPERLINK("http://service.sap.com/sap/support/notes/1758712","1758712")</f>
        <v>1758712</v>
      </c>
      <c r="E989">
        <v>2</v>
      </c>
      <c r="F989" t="s">
        <v>1391</v>
      </c>
    </row>
    <row r="990" spans="1:6" x14ac:dyDescent="0.25">
      <c r="A990" t="s">
        <v>4200</v>
      </c>
      <c r="B990" t="s">
        <v>1392</v>
      </c>
      <c r="C990" t="s">
        <v>1393</v>
      </c>
      <c r="D990" t="str">
        <f>HYPERLINK("http://service.sap.com/sap/support/notes/1752846","1752846")</f>
        <v>1752846</v>
      </c>
      <c r="E990">
        <v>1</v>
      </c>
      <c r="F990" t="s">
        <v>1394</v>
      </c>
    </row>
    <row r="991" spans="1:6" x14ac:dyDescent="0.25">
      <c r="A991" t="s">
        <v>4200</v>
      </c>
      <c r="B991" t="s">
        <v>1395</v>
      </c>
      <c r="C991" t="s">
        <v>445</v>
      </c>
      <c r="D991" t="str">
        <f>HYPERLINK("http://service.sap.com/sap/support/notes/1665448","1665448")</f>
        <v>1665448</v>
      </c>
      <c r="E991">
        <v>1</v>
      </c>
      <c r="F991" t="s">
        <v>1396</v>
      </c>
    </row>
    <row r="992" spans="1:6" x14ac:dyDescent="0.25">
      <c r="A992" t="s">
        <v>4200</v>
      </c>
      <c r="B992" t="s">
        <v>1395</v>
      </c>
      <c r="C992" t="s">
        <v>445</v>
      </c>
      <c r="D992" t="str">
        <f>HYPERLINK("http://service.sap.com/sap/support/notes/1723725","1723725")</f>
        <v>1723725</v>
      </c>
      <c r="E992">
        <v>1</v>
      </c>
      <c r="F992" t="s">
        <v>1397</v>
      </c>
    </row>
    <row r="993" spans="1:6" x14ac:dyDescent="0.25">
      <c r="A993" t="s">
        <v>4200</v>
      </c>
      <c r="B993" t="s">
        <v>1398</v>
      </c>
      <c r="C993" t="s">
        <v>1399</v>
      </c>
      <c r="D993" t="str">
        <f>HYPERLINK("http://service.sap.com/sap/support/notes/1247508","1247508")</f>
        <v>1247508</v>
      </c>
      <c r="E993">
        <v>9</v>
      </c>
      <c r="F993" t="s">
        <v>1400</v>
      </c>
    </row>
    <row r="994" spans="1:6" x14ac:dyDescent="0.25">
      <c r="A994" t="s">
        <v>4200</v>
      </c>
      <c r="B994" t="s">
        <v>1398</v>
      </c>
      <c r="C994" t="s">
        <v>1399</v>
      </c>
      <c r="D994" t="str">
        <f>HYPERLINK("http://service.sap.com/sap/support/notes/1736128","1736128")</f>
        <v>1736128</v>
      </c>
      <c r="E994">
        <v>1</v>
      </c>
      <c r="F994" t="s">
        <v>1401</v>
      </c>
    </row>
    <row r="995" spans="1:6" x14ac:dyDescent="0.25">
      <c r="A995" t="s">
        <v>4200</v>
      </c>
      <c r="B995" t="s">
        <v>1398</v>
      </c>
      <c r="C995" t="s">
        <v>1399</v>
      </c>
      <c r="D995" t="str">
        <f>HYPERLINK("http://service.sap.com/sap/support/notes/1745687","1745687")</f>
        <v>1745687</v>
      </c>
      <c r="E995">
        <v>2</v>
      </c>
      <c r="F995" t="s">
        <v>1402</v>
      </c>
    </row>
    <row r="996" spans="1:6" x14ac:dyDescent="0.25">
      <c r="A996" t="s">
        <v>4200</v>
      </c>
      <c r="B996" t="s">
        <v>1398</v>
      </c>
      <c r="C996" t="s">
        <v>1399</v>
      </c>
      <c r="D996" t="str">
        <f>HYPERLINK("http://service.sap.com/sap/support/notes/1759490","1759490")</f>
        <v>1759490</v>
      </c>
      <c r="E996">
        <v>1</v>
      </c>
      <c r="F996" t="s">
        <v>1403</v>
      </c>
    </row>
    <row r="997" spans="1:6" x14ac:dyDescent="0.25">
      <c r="A997" t="s">
        <v>4200</v>
      </c>
      <c r="B997" t="s">
        <v>1404</v>
      </c>
      <c r="C997" t="s">
        <v>1405</v>
      </c>
    </row>
    <row r="998" spans="1:6" x14ac:dyDescent="0.25">
      <c r="A998" t="s">
        <v>4200</v>
      </c>
      <c r="B998" t="s">
        <v>1406</v>
      </c>
      <c r="C998" t="s">
        <v>1407</v>
      </c>
      <c r="D998" t="str">
        <f>HYPERLINK("http://service.sap.com/sap/support/notes/1721417","1721417")</f>
        <v>1721417</v>
      </c>
      <c r="E998">
        <v>4</v>
      </c>
      <c r="F998" t="s">
        <v>1408</v>
      </c>
    </row>
    <row r="999" spans="1:6" x14ac:dyDescent="0.25">
      <c r="A999" t="s">
        <v>4200</v>
      </c>
      <c r="B999" t="s">
        <v>1406</v>
      </c>
      <c r="C999" t="s">
        <v>1407</v>
      </c>
      <c r="D999" t="str">
        <f>HYPERLINK("http://service.sap.com/sap/support/notes/1735427","1735427")</f>
        <v>1735427</v>
      </c>
      <c r="E999">
        <v>1</v>
      </c>
      <c r="F999" t="s">
        <v>1409</v>
      </c>
    </row>
    <row r="1000" spans="1:6" x14ac:dyDescent="0.25">
      <c r="A1000" t="s">
        <v>4200</v>
      </c>
      <c r="B1000" t="s">
        <v>1406</v>
      </c>
      <c r="C1000" t="s">
        <v>1407</v>
      </c>
      <c r="D1000" t="str">
        <f>HYPERLINK("http://service.sap.com/sap/support/notes/1742233","1742233")</f>
        <v>1742233</v>
      </c>
      <c r="E1000">
        <v>1</v>
      </c>
      <c r="F1000" t="s">
        <v>1410</v>
      </c>
    </row>
    <row r="1001" spans="1:6" x14ac:dyDescent="0.25">
      <c r="A1001" t="s">
        <v>4200</v>
      </c>
      <c r="B1001" t="s">
        <v>1411</v>
      </c>
      <c r="C1001" t="s">
        <v>1412</v>
      </c>
    </row>
    <row r="1002" spans="1:6" x14ac:dyDescent="0.25">
      <c r="A1002" t="s">
        <v>4200</v>
      </c>
      <c r="B1002" t="s">
        <v>1413</v>
      </c>
      <c r="C1002" t="s">
        <v>1414</v>
      </c>
      <c r="D1002" t="str">
        <f>HYPERLINK("http://service.sap.com/sap/support/notes/1610148","1610148")</f>
        <v>1610148</v>
      </c>
      <c r="E1002">
        <v>1</v>
      </c>
      <c r="F1002" t="s">
        <v>1415</v>
      </c>
    </row>
    <row r="1003" spans="1:6" x14ac:dyDescent="0.25">
      <c r="A1003" t="s">
        <v>4200</v>
      </c>
      <c r="B1003" t="s">
        <v>1416</v>
      </c>
      <c r="C1003" t="s">
        <v>1417</v>
      </c>
    </row>
    <row r="1004" spans="1:6" x14ac:dyDescent="0.25">
      <c r="A1004" t="s">
        <v>4200</v>
      </c>
      <c r="B1004" t="s">
        <v>1418</v>
      </c>
      <c r="C1004" t="s">
        <v>1419</v>
      </c>
    </row>
    <row r="1005" spans="1:6" x14ac:dyDescent="0.25">
      <c r="A1005" t="s">
        <v>4200</v>
      </c>
      <c r="B1005" t="s">
        <v>1420</v>
      </c>
      <c r="C1005" t="s">
        <v>1421</v>
      </c>
      <c r="D1005" t="str">
        <f>HYPERLINK("http://service.sap.com/sap/support/notes/1743642","1743642")</f>
        <v>1743642</v>
      </c>
      <c r="E1005">
        <v>1</v>
      </c>
      <c r="F1005" t="s">
        <v>1422</v>
      </c>
    </row>
    <row r="1006" spans="1:6" x14ac:dyDescent="0.25">
      <c r="A1006" t="s">
        <v>4200</v>
      </c>
      <c r="B1006" t="s">
        <v>1420</v>
      </c>
      <c r="C1006" t="s">
        <v>1421</v>
      </c>
      <c r="D1006" t="str">
        <f>HYPERLINK("http://service.sap.com/sap/support/notes/1745096","1745096")</f>
        <v>1745096</v>
      </c>
      <c r="E1006">
        <v>1</v>
      </c>
      <c r="F1006" t="s">
        <v>1423</v>
      </c>
    </row>
    <row r="1007" spans="1:6" x14ac:dyDescent="0.25">
      <c r="A1007" t="s">
        <v>4200</v>
      </c>
      <c r="B1007" t="s">
        <v>1420</v>
      </c>
      <c r="C1007" t="s">
        <v>1421</v>
      </c>
      <c r="D1007" t="str">
        <f>HYPERLINK("http://service.sap.com/sap/support/notes/1747798","1747798")</f>
        <v>1747798</v>
      </c>
      <c r="E1007">
        <v>3</v>
      </c>
      <c r="F1007" t="s">
        <v>1424</v>
      </c>
    </row>
    <row r="1008" spans="1:6" x14ac:dyDescent="0.25">
      <c r="A1008" t="s">
        <v>4200</v>
      </c>
      <c r="B1008" t="s">
        <v>1425</v>
      </c>
      <c r="C1008" t="s">
        <v>1426</v>
      </c>
      <c r="D1008" t="str">
        <f>HYPERLINK("http://service.sap.com/sap/support/notes/1676403","1676403")</f>
        <v>1676403</v>
      </c>
      <c r="E1008">
        <v>5</v>
      </c>
      <c r="F1008" t="s">
        <v>1427</v>
      </c>
    </row>
    <row r="1009" spans="1:6" x14ac:dyDescent="0.25">
      <c r="A1009" t="s">
        <v>4200</v>
      </c>
      <c r="B1009" t="s">
        <v>1425</v>
      </c>
      <c r="C1009" t="s">
        <v>1426</v>
      </c>
      <c r="D1009" t="str">
        <f>HYPERLINK("http://service.sap.com/sap/support/notes/1681517","1681517")</f>
        <v>1681517</v>
      </c>
      <c r="E1009">
        <v>5</v>
      </c>
      <c r="F1009" t="s">
        <v>1428</v>
      </c>
    </row>
    <row r="1010" spans="1:6" x14ac:dyDescent="0.25">
      <c r="A1010" t="s">
        <v>4200</v>
      </c>
      <c r="B1010" t="s">
        <v>1425</v>
      </c>
      <c r="C1010" t="s">
        <v>1426</v>
      </c>
      <c r="D1010" t="str">
        <f>HYPERLINK("http://service.sap.com/sap/support/notes/1695157","1695157")</f>
        <v>1695157</v>
      </c>
      <c r="E1010">
        <v>1</v>
      </c>
      <c r="F1010" t="s">
        <v>1429</v>
      </c>
    </row>
    <row r="1011" spans="1:6" x14ac:dyDescent="0.25">
      <c r="A1011" t="s">
        <v>4200</v>
      </c>
      <c r="B1011" t="s">
        <v>1425</v>
      </c>
      <c r="C1011" t="s">
        <v>1426</v>
      </c>
      <c r="D1011" t="str">
        <f>HYPERLINK("http://service.sap.com/sap/support/notes/1698455","1698455")</f>
        <v>1698455</v>
      </c>
      <c r="E1011">
        <v>1</v>
      </c>
      <c r="F1011" t="s">
        <v>1430</v>
      </c>
    </row>
    <row r="1012" spans="1:6" x14ac:dyDescent="0.25">
      <c r="A1012" t="s">
        <v>4200</v>
      </c>
      <c r="B1012" t="s">
        <v>1425</v>
      </c>
      <c r="C1012" t="s">
        <v>1426</v>
      </c>
      <c r="D1012" t="str">
        <f>HYPERLINK("http://service.sap.com/sap/support/notes/1704078","1704078")</f>
        <v>1704078</v>
      </c>
      <c r="E1012">
        <v>1</v>
      </c>
      <c r="F1012" t="s">
        <v>1431</v>
      </c>
    </row>
    <row r="1013" spans="1:6" x14ac:dyDescent="0.25">
      <c r="A1013" t="s">
        <v>4200</v>
      </c>
      <c r="B1013" t="s">
        <v>1425</v>
      </c>
      <c r="C1013" t="s">
        <v>1426</v>
      </c>
      <c r="D1013" t="str">
        <f>HYPERLINK("http://service.sap.com/sap/support/notes/1706430","1706430")</f>
        <v>1706430</v>
      </c>
      <c r="E1013">
        <v>2</v>
      </c>
      <c r="F1013" t="s">
        <v>1432</v>
      </c>
    </row>
    <row r="1014" spans="1:6" x14ac:dyDescent="0.25">
      <c r="A1014" t="s">
        <v>4200</v>
      </c>
      <c r="B1014" t="s">
        <v>1425</v>
      </c>
      <c r="C1014" t="s">
        <v>1426</v>
      </c>
      <c r="D1014" t="str">
        <f>HYPERLINK("http://service.sap.com/sap/support/notes/1708417","1708417")</f>
        <v>1708417</v>
      </c>
      <c r="E1014">
        <v>1</v>
      </c>
      <c r="F1014" t="s">
        <v>1433</v>
      </c>
    </row>
    <row r="1015" spans="1:6" x14ac:dyDescent="0.25">
      <c r="A1015" t="s">
        <v>4200</v>
      </c>
      <c r="B1015" t="s">
        <v>1425</v>
      </c>
      <c r="C1015" t="s">
        <v>1426</v>
      </c>
      <c r="D1015" t="str">
        <f>HYPERLINK("http://service.sap.com/sap/support/notes/1718468","1718468")</f>
        <v>1718468</v>
      </c>
      <c r="E1015">
        <v>1</v>
      </c>
      <c r="F1015" t="s">
        <v>1434</v>
      </c>
    </row>
    <row r="1016" spans="1:6" x14ac:dyDescent="0.25">
      <c r="A1016" t="s">
        <v>4200</v>
      </c>
      <c r="B1016" t="s">
        <v>1425</v>
      </c>
      <c r="C1016" t="s">
        <v>1426</v>
      </c>
      <c r="D1016" t="str">
        <f>HYPERLINK("http://service.sap.com/sap/support/notes/1725020","1725020")</f>
        <v>1725020</v>
      </c>
      <c r="E1016">
        <v>2</v>
      </c>
      <c r="F1016" t="s">
        <v>1435</v>
      </c>
    </row>
    <row r="1017" spans="1:6" x14ac:dyDescent="0.25">
      <c r="A1017" t="s">
        <v>4200</v>
      </c>
      <c r="B1017" t="s">
        <v>1425</v>
      </c>
      <c r="C1017" t="s">
        <v>1426</v>
      </c>
      <c r="D1017" t="str">
        <f>HYPERLINK("http://service.sap.com/sap/support/notes/1732653","1732653")</f>
        <v>1732653</v>
      </c>
      <c r="E1017">
        <v>2</v>
      </c>
      <c r="F1017" t="s">
        <v>1436</v>
      </c>
    </row>
    <row r="1018" spans="1:6" x14ac:dyDescent="0.25">
      <c r="A1018" t="s">
        <v>4200</v>
      </c>
      <c r="B1018" t="s">
        <v>1425</v>
      </c>
      <c r="C1018" t="s">
        <v>1426</v>
      </c>
      <c r="D1018" t="str">
        <f>HYPERLINK("http://service.sap.com/sap/support/notes/1733090","1733090")</f>
        <v>1733090</v>
      </c>
      <c r="E1018">
        <v>1</v>
      </c>
      <c r="F1018" t="s">
        <v>1437</v>
      </c>
    </row>
    <row r="1019" spans="1:6" x14ac:dyDescent="0.25">
      <c r="A1019" t="s">
        <v>4200</v>
      </c>
      <c r="B1019" t="s">
        <v>1425</v>
      </c>
      <c r="C1019" t="s">
        <v>1426</v>
      </c>
      <c r="D1019" t="str">
        <f>HYPERLINK("http://service.sap.com/sap/support/notes/1733503","1733503")</f>
        <v>1733503</v>
      </c>
      <c r="E1019">
        <v>3</v>
      </c>
      <c r="F1019" t="s">
        <v>1438</v>
      </c>
    </row>
    <row r="1020" spans="1:6" x14ac:dyDescent="0.25">
      <c r="A1020" t="s">
        <v>4200</v>
      </c>
      <c r="B1020" t="s">
        <v>1425</v>
      </c>
      <c r="C1020" t="s">
        <v>1426</v>
      </c>
      <c r="D1020" t="str">
        <f>HYPERLINK("http://service.sap.com/sap/support/notes/1734578","1734578")</f>
        <v>1734578</v>
      </c>
      <c r="E1020">
        <v>2</v>
      </c>
      <c r="F1020" t="s">
        <v>1439</v>
      </c>
    </row>
    <row r="1021" spans="1:6" x14ac:dyDescent="0.25">
      <c r="A1021" t="s">
        <v>4200</v>
      </c>
      <c r="B1021" t="s">
        <v>1425</v>
      </c>
      <c r="C1021" t="s">
        <v>1426</v>
      </c>
      <c r="D1021" t="str">
        <f>HYPERLINK("http://service.sap.com/sap/support/notes/1745900","1745900")</f>
        <v>1745900</v>
      </c>
      <c r="E1021">
        <v>1</v>
      </c>
      <c r="F1021" t="s">
        <v>1440</v>
      </c>
    </row>
    <row r="1022" spans="1:6" x14ac:dyDescent="0.25">
      <c r="A1022" t="s">
        <v>4200</v>
      </c>
      <c r="B1022" t="s">
        <v>1425</v>
      </c>
      <c r="C1022" t="s">
        <v>1426</v>
      </c>
      <c r="D1022" t="str">
        <f>HYPERLINK("http://service.sap.com/sap/support/notes/1751108","1751108")</f>
        <v>1751108</v>
      </c>
      <c r="E1022">
        <v>1</v>
      </c>
      <c r="F1022" t="s">
        <v>1441</v>
      </c>
    </row>
    <row r="1023" spans="1:6" x14ac:dyDescent="0.25">
      <c r="A1023" t="s">
        <v>4200</v>
      </c>
      <c r="B1023" t="s">
        <v>1425</v>
      </c>
      <c r="C1023" t="s">
        <v>1426</v>
      </c>
      <c r="D1023" t="str">
        <f>HYPERLINK("http://service.sap.com/sap/support/notes/1761254","1761254")</f>
        <v>1761254</v>
      </c>
      <c r="E1023">
        <v>1</v>
      </c>
      <c r="F1023" t="s">
        <v>1442</v>
      </c>
    </row>
    <row r="1024" spans="1:6" x14ac:dyDescent="0.25">
      <c r="A1024" t="s">
        <v>4200</v>
      </c>
      <c r="B1024" t="s">
        <v>1425</v>
      </c>
      <c r="C1024" t="s">
        <v>1426</v>
      </c>
      <c r="D1024" t="str">
        <f>HYPERLINK("http://service.sap.com/sap/support/notes/1762139","1762139")</f>
        <v>1762139</v>
      </c>
      <c r="E1024">
        <v>1</v>
      </c>
      <c r="F1024" t="s">
        <v>1443</v>
      </c>
    </row>
    <row r="1025" spans="1:6" x14ac:dyDescent="0.25">
      <c r="A1025" t="s">
        <v>4200</v>
      </c>
      <c r="B1025" t="s">
        <v>1444</v>
      </c>
      <c r="C1025" t="s">
        <v>1445</v>
      </c>
      <c r="D1025" t="str">
        <f>HYPERLINK("http://service.sap.com/sap/support/notes/1150930","1150930")</f>
        <v>1150930</v>
      </c>
      <c r="E1025">
        <v>8</v>
      </c>
      <c r="F1025" t="s">
        <v>1446</v>
      </c>
    </row>
    <row r="1026" spans="1:6" x14ac:dyDescent="0.25">
      <c r="A1026" t="s">
        <v>4200</v>
      </c>
      <c r="B1026" t="s">
        <v>1447</v>
      </c>
      <c r="C1026" t="s">
        <v>151</v>
      </c>
      <c r="D1026" t="str">
        <f>HYPERLINK("http://service.sap.com/sap/support/notes/1651178","1651178")</f>
        <v>1651178</v>
      </c>
      <c r="E1026">
        <v>4</v>
      </c>
      <c r="F1026" t="s">
        <v>1448</v>
      </c>
    </row>
    <row r="1027" spans="1:6" x14ac:dyDescent="0.25">
      <c r="A1027" t="s">
        <v>4200</v>
      </c>
      <c r="B1027" t="s">
        <v>1447</v>
      </c>
      <c r="C1027" t="s">
        <v>151</v>
      </c>
      <c r="D1027" t="str">
        <f>HYPERLINK("http://service.sap.com/sap/support/notes/1678260","1678260")</f>
        <v>1678260</v>
      </c>
      <c r="E1027">
        <v>6</v>
      </c>
      <c r="F1027" t="s">
        <v>1449</v>
      </c>
    </row>
    <row r="1028" spans="1:6" x14ac:dyDescent="0.25">
      <c r="A1028" t="s">
        <v>4200</v>
      </c>
      <c r="B1028" t="s">
        <v>1447</v>
      </c>
      <c r="C1028" t="s">
        <v>151</v>
      </c>
      <c r="D1028" t="str">
        <f>HYPERLINK("http://service.sap.com/sap/support/notes/1711455","1711455")</f>
        <v>1711455</v>
      </c>
      <c r="E1028">
        <v>2</v>
      </c>
      <c r="F1028" t="s">
        <v>1450</v>
      </c>
    </row>
    <row r="1029" spans="1:6" x14ac:dyDescent="0.25">
      <c r="A1029" t="s">
        <v>4200</v>
      </c>
      <c r="B1029" t="s">
        <v>1447</v>
      </c>
      <c r="C1029" t="s">
        <v>151</v>
      </c>
      <c r="D1029" t="str">
        <f>HYPERLINK("http://service.sap.com/sap/support/notes/1738518","1738518")</f>
        <v>1738518</v>
      </c>
      <c r="E1029">
        <v>3</v>
      </c>
      <c r="F1029" t="s">
        <v>1451</v>
      </c>
    </row>
    <row r="1030" spans="1:6" x14ac:dyDescent="0.25">
      <c r="A1030" t="s">
        <v>4200</v>
      </c>
      <c r="B1030" t="s">
        <v>1447</v>
      </c>
      <c r="C1030" t="s">
        <v>151</v>
      </c>
      <c r="D1030" t="str">
        <f>HYPERLINK("http://service.sap.com/sap/support/notes/1740222","1740222")</f>
        <v>1740222</v>
      </c>
      <c r="E1030">
        <v>2</v>
      </c>
      <c r="F1030" t="s">
        <v>1452</v>
      </c>
    </row>
    <row r="1031" spans="1:6" x14ac:dyDescent="0.25">
      <c r="A1031" t="s">
        <v>4200</v>
      </c>
      <c r="B1031" t="s">
        <v>1447</v>
      </c>
      <c r="C1031" t="s">
        <v>151</v>
      </c>
      <c r="D1031" t="str">
        <f>HYPERLINK("http://service.sap.com/sap/support/notes/1753586","1753586")</f>
        <v>1753586</v>
      </c>
      <c r="E1031">
        <v>1</v>
      </c>
      <c r="F1031" t="s">
        <v>1453</v>
      </c>
    </row>
    <row r="1032" spans="1:6" x14ac:dyDescent="0.25">
      <c r="A1032" t="s">
        <v>4200</v>
      </c>
      <c r="B1032" t="s">
        <v>1447</v>
      </c>
      <c r="C1032" t="s">
        <v>151</v>
      </c>
      <c r="D1032" t="str">
        <f>HYPERLINK("http://service.sap.com/sap/support/notes/1755564","1755564")</f>
        <v>1755564</v>
      </c>
      <c r="E1032">
        <v>1</v>
      </c>
      <c r="F1032" t="s">
        <v>1454</v>
      </c>
    </row>
    <row r="1033" spans="1:6" x14ac:dyDescent="0.25">
      <c r="A1033" t="s">
        <v>4200</v>
      </c>
      <c r="B1033" t="s">
        <v>1447</v>
      </c>
      <c r="C1033" t="s">
        <v>151</v>
      </c>
      <c r="D1033" t="str">
        <f>HYPERLINK("http://service.sap.com/sap/support/notes/1764341","1764341")</f>
        <v>1764341</v>
      </c>
      <c r="E1033">
        <v>1</v>
      </c>
      <c r="F1033" t="s">
        <v>1455</v>
      </c>
    </row>
    <row r="1034" spans="1:6" x14ac:dyDescent="0.25">
      <c r="A1034" t="s">
        <v>4200</v>
      </c>
      <c r="B1034" t="s">
        <v>1456</v>
      </c>
      <c r="C1034" t="s">
        <v>1457</v>
      </c>
      <c r="D1034" t="str">
        <f>HYPERLINK("http://service.sap.com/sap/support/notes/1729686","1729686")</f>
        <v>1729686</v>
      </c>
      <c r="E1034">
        <v>1</v>
      </c>
      <c r="F1034" t="s">
        <v>1458</v>
      </c>
    </row>
    <row r="1035" spans="1:6" x14ac:dyDescent="0.25">
      <c r="A1035" t="s">
        <v>4200</v>
      </c>
      <c r="B1035" t="s">
        <v>1459</v>
      </c>
      <c r="C1035" t="s">
        <v>1460</v>
      </c>
      <c r="D1035" t="str">
        <f>HYPERLINK("http://service.sap.com/sap/support/notes/1692657","1692657")</f>
        <v>1692657</v>
      </c>
      <c r="E1035">
        <v>2</v>
      </c>
      <c r="F1035" t="s">
        <v>1461</v>
      </c>
    </row>
    <row r="1036" spans="1:6" x14ac:dyDescent="0.25">
      <c r="A1036" t="s">
        <v>4200</v>
      </c>
      <c r="B1036" t="s">
        <v>1459</v>
      </c>
      <c r="C1036" t="s">
        <v>1460</v>
      </c>
      <c r="D1036" t="str">
        <f>HYPERLINK("http://service.sap.com/sap/support/notes/1723039","1723039")</f>
        <v>1723039</v>
      </c>
      <c r="E1036">
        <v>2</v>
      </c>
      <c r="F1036" t="s">
        <v>1462</v>
      </c>
    </row>
    <row r="1037" spans="1:6" x14ac:dyDescent="0.25">
      <c r="A1037" t="s">
        <v>4200</v>
      </c>
      <c r="B1037" t="s">
        <v>1459</v>
      </c>
      <c r="C1037" t="s">
        <v>1460</v>
      </c>
      <c r="D1037" t="str">
        <f>HYPERLINK("http://service.sap.com/sap/support/notes/1724918","1724918")</f>
        <v>1724918</v>
      </c>
      <c r="E1037">
        <v>1</v>
      </c>
      <c r="F1037" t="s">
        <v>1463</v>
      </c>
    </row>
    <row r="1038" spans="1:6" x14ac:dyDescent="0.25">
      <c r="A1038" t="s">
        <v>4200</v>
      </c>
      <c r="B1038" t="s">
        <v>1459</v>
      </c>
      <c r="C1038" t="s">
        <v>1460</v>
      </c>
      <c r="D1038" t="str">
        <f>HYPERLINK("http://service.sap.com/sap/support/notes/1730800","1730800")</f>
        <v>1730800</v>
      </c>
      <c r="E1038">
        <v>1</v>
      </c>
      <c r="F1038" t="s">
        <v>1464</v>
      </c>
    </row>
    <row r="1039" spans="1:6" x14ac:dyDescent="0.25">
      <c r="A1039" t="s">
        <v>4200</v>
      </c>
      <c r="B1039" t="s">
        <v>1459</v>
      </c>
      <c r="C1039" t="s">
        <v>1460</v>
      </c>
      <c r="D1039" t="str">
        <f>HYPERLINK("http://service.sap.com/sap/support/notes/1731299","1731299")</f>
        <v>1731299</v>
      </c>
      <c r="E1039">
        <v>2</v>
      </c>
      <c r="F1039" t="s">
        <v>1465</v>
      </c>
    </row>
    <row r="1040" spans="1:6" x14ac:dyDescent="0.25">
      <c r="A1040" t="s">
        <v>4200</v>
      </c>
      <c r="B1040" t="s">
        <v>1459</v>
      </c>
      <c r="C1040" t="s">
        <v>1460</v>
      </c>
      <c r="D1040" t="str">
        <f>HYPERLINK("http://service.sap.com/sap/support/notes/1740214","1740214")</f>
        <v>1740214</v>
      </c>
      <c r="E1040">
        <v>2</v>
      </c>
      <c r="F1040" t="s">
        <v>1466</v>
      </c>
    </row>
    <row r="1041" spans="1:6" x14ac:dyDescent="0.25">
      <c r="A1041" t="s">
        <v>4200</v>
      </c>
      <c r="B1041" t="s">
        <v>1459</v>
      </c>
      <c r="C1041" t="s">
        <v>1460</v>
      </c>
      <c r="D1041" t="str">
        <f>HYPERLINK("http://service.sap.com/sap/support/notes/1744704","1744704")</f>
        <v>1744704</v>
      </c>
      <c r="E1041">
        <v>1</v>
      </c>
      <c r="F1041" t="s">
        <v>1467</v>
      </c>
    </row>
    <row r="1042" spans="1:6" x14ac:dyDescent="0.25">
      <c r="A1042" t="s">
        <v>4200</v>
      </c>
      <c r="B1042" t="s">
        <v>1459</v>
      </c>
      <c r="C1042" t="s">
        <v>1460</v>
      </c>
      <c r="D1042" t="str">
        <f>HYPERLINK("http://service.sap.com/sap/support/notes/1746002","1746002")</f>
        <v>1746002</v>
      </c>
      <c r="E1042">
        <v>2</v>
      </c>
      <c r="F1042" t="s">
        <v>1468</v>
      </c>
    </row>
    <row r="1043" spans="1:6" x14ac:dyDescent="0.25">
      <c r="A1043" t="s">
        <v>4200</v>
      </c>
      <c r="B1043" t="s">
        <v>1459</v>
      </c>
      <c r="C1043" t="s">
        <v>1460</v>
      </c>
      <c r="D1043" t="str">
        <f>HYPERLINK("http://service.sap.com/sap/support/notes/1747852","1747852")</f>
        <v>1747852</v>
      </c>
      <c r="E1043">
        <v>2</v>
      </c>
      <c r="F1043" t="s">
        <v>1469</v>
      </c>
    </row>
    <row r="1044" spans="1:6" x14ac:dyDescent="0.25">
      <c r="A1044" t="s">
        <v>4200</v>
      </c>
      <c r="B1044" t="s">
        <v>1470</v>
      </c>
      <c r="C1044" t="s">
        <v>998</v>
      </c>
      <c r="D1044" t="str">
        <f>HYPERLINK("http://service.sap.com/sap/support/notes/1712942","1712942")</f>
        <v>1712942</v>
      </c>
      <c r="E1044">
        <v>2</v>
      </c>
      <c r="F1044" t="s">
        <v>1471</v>
      </c>
    </row>
    <row r="1045" spans="1:6" x14ac:dyDescent="0.25">
      <c r="A1045" t="s">
        <v>4200</v>
      </c>
      <c r="B1045" t="s">
        <v>1470</v>
      </c>
      <c r="C1045" t="s">
        <v>998</v>
      </c>
      <c r="D1045" t="str">
        <f>HYPERLINK("http://service.sap.com/sap/support/notes/1756056","1756056")</f>
        <v>1756056</v>
      </c>
      <c r="E1045">
        <v>1</v>
      </c>
      <c r="F1045" t="s">
        <v>1472</v>
      </c>
    </row>
    <row r="1046" spans="1:6" x14ac:dyDescent="0.25">
      <c r="A1046" t="s">
        <v>4200</v>
      </c>
      <c r="B1046" t="s">
        <v>1473</v>
      </c>
      <c r="C1046" t="s">
        <v>1474</v>
      </c>
      <c r="D1046" t="str">
        <f>HYPERLINK("http://service.sap.com/sap/support/notes/1626481","1626481")</f>
        <v>1626481</v>
      </c>
      <c r="E1046">
        <v>2</v>
      </c>
      <c r="F1046" t="s">
        <v>1475</v>
      </c>
    </row>
    <row r="1047" spans="1:6" x14ac:dyDescent="0.25">
      <c r="A1047" t="s">
        <v>4200</v>
      </c>
      <c r="B1047" t="s">
        <v>1473</v>
      </c>
      <c r="C1047" t="s">
        <v>1474</v>
      </c>
      <c r="D1047" t="str">
        <f>HYPERLINK("http://service.sap.com/sap/support/notes/1631813","1631813")</f>
        <v>1631813</v>
      </c>
      <c r="E1047">
        <v>2</v>
      </c>
      <c r="F1047" t="s">
        <v>1476</v>
      </c>
    </row>
    <row r="1048" spans="1:6" x14ac:dyDescent="0.25">
      <c r="A1048" t="s">
        <v>4200</v>
      </c>
      <c r="B1048" t="s">
        <v>1473</v>
      </c>
      <c r="C1048" t="s">
        <v>1474</v>
      </c>
      <c r="D1048" t="str">
        <f>HYPERLINK("http://service.sap.com/sap/support/notes/1721159","1721159")</f>
        <v>1721159</v>
      </c>
      <c r="E1048">
        <v>1</v>
      </c>
      <c r="F1048" t="s">
        <v>1477</v>
      </c>
    </row>
    <row r="1049" spans="1:6" x14ac:dyDescent="0.25">
      <c r="A1049" t="s">
        <v>4200</v>
      </c>
      <c r="B1049" t="s">
        <v>1473</v>
      </c>
      <c r="C1049" t="s">
        <v>1474</v>
      </c>
      <c r="D1049" t="str">
        <f>HYPERLINK("http://service.sap.com/sap/support/notes/1727889","1727889")</f>
        <v>1727889</v>
      </c>
      <c r="E1049">
        <v>2</v>
      </c>
      <c r="F1049" t="s">
        <v>1478</v>
      </c>
    </row>
    <row r="1050" spans="1:6" x14ac:dyDescent="0.25">
      <c r="A1050" t="s">
        <v>4200</v>
      </c>
      <c r="B1050" t="s">
        <v>1473</v>
      </c>
      <c r="C1050" t="s">
        <v>1474</v>
      </c>
      <c r="D1050" t="str">
        <f>HYPERLINK("http://service.sap.com/sap/support/notes/1730068","1730068")</f>
        <v>1730068</v>
      </c>
      <c r="E1050">
        <v>2</v>
      </c>
      <c r="F1050" t="s">
        <v>1479</v>
      </c>
    </row>
    <row r="1051" spans="1:6" x14ac:dyDescent="0.25">
      <c r="A1051" t="s">
        <v>4200</v>
      </c>
      <c r="B1051" t="s">
        <v>1473</v>
      </c>
      <c r="C1051" t="s">
        <v>1474</v>
      </c>
      <c r="D1051" t="str">
        <f>HYPERLINK("http://service.sap.com/sap/support/notes/1732992","1732992")</f>
        <v>1732992</v>
      </c>
      <c r="E1051">
        <v>1</v>
      </c>
      <c r="F1051" t="s">
        <v>1480</v>
      </c>
    </row>
    <row r="1052" spans="1:6" x14ac:dyDescent="0.25">
      <c r="A1052" t="s">
        <v>4200</v>
      </c>
      <c r="B1052" t="s">
        <v>1473</v>
      </c>
      <c r="C1052" t="s">
        <v>1474</v>
      </c>
      <c r="D1052" t="str">
        <f>HYPERLINK("http://service.sap.com/sap/support/notes/1758819","1758819")</f>
        <v>1758819</v>
      </c>
      <c r="E1052">
        <v>1</v>
      </c>
      <c r="F1052" t="s">
        <v>1481</v>
      </c>
    </row>
    <row r="1053" spans="1:6" x14ac:dyDescent="0.25">
      <c r="A1053" t="s">
        <v>4200</v>
      </c>
      <c r="B1053" t="s">
        <v>1482</v>
      </c>
      <c r="C1053" t="s">
        <v>1483</v>
      </c>
      <c r="D1053" t="str">
        <f>HYPERLINK("http://service.sap.com/sap/support/notes/1754132","1754132")</f>
        <v>1754132</v>
      </c>
      <c r="E1053">
        <v>1</v>
      </c>
      <c r="F1053" t="s">
        <v>1484</v>
      </c>
    </row>
    <row r="1054" spans="1:6" x14ac:dyDescent="0.25">
      <c r="A1054" t="s">
        <v>4200</v>
      </c>
      <c r="B1054" t="s">
        <v>1482</v>
      </c>
      <c r="C1054" t="s">
        <v>1483</v>
      </c>
      <c r="D1054" t="str">
        <f>HYPERLINK("http://service.sap.com/sap/support/notes/1756665","1756665")</f>
        <v>1756665</v>
      </c>
      <c r="E1054">
        <v>1</v>
      </c>
      <c r="F1054" t="s">
        <v>1485</v>
      </c>
    </row>
    <row r="1055" spans="1:6" x14ac:dyDescent="0.25">
      <c r="A1055" t="s">
        <v>4200</v>
      </c>
      <c r="B1055" t="s">
        <v>1482</v>
      </c>
      <c r="C1055" t="s">
        <v>1483</v>
      </c>
      <c r="D1055" t="str">
        <f>HYPERLINK("http://service.sap.com/sap/support/notes/1761237","1761237")</f>
        <v>1761237</v>
      </c>
      <c r="E1055">
        <v>1</v>
      </c>
      <c r="F1055" t="s">
        <v>1486</v>
      </c>
    </row>
    <row r="1056" spans="1:6" x14ac:dyDescent="0.25">
      <c r="A1056" t="s">
        <v>4200</v>
      </c>
      <c r="B1056" t="s">
        <v>1482</v>
      </c>
      <c r="C1056" t="s">
        <v>1483</v>
      </c>
      <c r="D1056" t="str">
        <f>HYPERLINK("http://service.sap.com/sap/support/notes/1761975","1761975")</f>
        <v>1761975</v>
      </c>
      <c r="E1056">
        <v>3</v>
      </c>
      <c r="F1056" t="s">
        <v>1487</v>
      </c>
    </row>
    <row r="1057" spans="1:6" x14ac:dyDescent="0.25">
      <c r="A1057" t="s">
        <v>4200</v>
      </c>
      <c r="B1057" t="s">
        <v>1488</v>
      </c>
      <c r="C1057" t="s">
        <v>1489</v>
      </c>
      <c r="D1057" t="str">
        <f>HYPERLINK("http://service.sap.com/sap/support/notes/1744963","1744963")</f>
        <v>1744963</v>
      </c>
      <c r="E1057">
        <v>1</v>
      </c>
      <c r="F1057" t="s">
        <v>1490</v>
      </c>
    </row>
    <row r="1058" spans="1:6" x14ac:dyDescent="0.25">
      <c r="A1058" t="s">
        <v>4200</v>
      </c>
      <c r="B1058" t="s">
        <v>1491</v>
      </c>
      <c r="C1058" t="s">
        <v>1492</v>
      </c>
    </row>
    <row r="1059" spans="1:6" x14ac:dyDescent="0.25">
      <c r="A1059" t="s">
        <v>4200</v>
      </c>
      <c r="B1059" t="s">
        <v>1493</v>
      </c>
      <c r="C1059" t="s">
        <v>1494</v>
      </c>
      <c r="D1059" t="str">
        <f>HYPERLINK("http://service.sap.com/sap/support/notes/1736896","1736896")</f>
        <v>1736896</v>
      </c>
      <c r="E1059">
        <v>1</v>
      </c>
      <c r="F1059" t="s">
        <v>1495</v>
      </c>
    </row>
    <row r="1060" spans="1:6" x14ac:dyDescent="0.25">
      <c r="A1060" t="s">
        <v>4200</v>
      </c>
      <c r="B1060" t="s">
        <v>1496</v>
      </c>
      <c r="C1060" t="s">
        <v>1497</v>
      </c>
    </row>
    <row r="1061" spans="1:6" x14ac:dyDescent="0.25">
      <c r="A1061" t="s">
        <v>4200</v>
      </c>
      <c r="B1061" t="s">
        <v>1498</v>
      </c>
      <c r="C1061" t="s">
        <v>126</v>
      </c>
      <c r="D1061" t="str">
        <f>HYPERLINK("http://service.sap.com/sap/support/notes/1570128","1570128")</f>
        <v>1570128</v>
      </c>
      <c r="E1061">
        <v>5</v>
      </c>
      <c r="F1061" t="s">
        <v>1499</v>
      </c>
    </row>
    <row r="1062" spans="1:6" x14ac:dyDescent="0.25">
      <c r="A1062" t="s">
        <v>4200</v>
      </c>
      <c r="B1062" t="s">
        <v>1498</v>
      </c>
      <c r="C1062" t="s">
        <v>126</v>
      </c>
      <c r="D1062" t="str">
        <f>HYPERLINK("http://service.sap.com/sap/support/notes/1719544","1719544")</f>
        <v>1719544</v>
      </c>
      <c r="E1062">
        <v>2</v>
      </c>
      <c r="F1062" t="s">
        <v>1500</v>
      </c>
    </row>
    <row r="1063" spans="1:6" x14ac:dyDescent="0.25">
      <c r="A1063" t="s">
        <v>4200</v>
      </c>
      <c r="B1063" t="s">
        <v>1498</v>
      </c>
      <c r="C1063" t="s">
        <v>126</v>
      </c>
      <c r="D1063" t="str">
        <f>HYPERLINK("http://service.sap.com/sap/support/notes/1735474","1735474")</f>
        <v>1735474</v>
      </c>
      <c r="E1063">
        <v>1</v>
      </c>
      <c r="F1063" t="s">
        <v>1501</v>
      </c>
    </row>
    <row r="1064" spans="1:6" x14ac:dyDescent="0.25">
      <c r="A1064" t="s">
        <v>4200</v>
      </c>
      <c r="B1064" t="s">
        <v>1498</v>
      </c>
      <c r="C1064" t="s">
        <v>126</v>
      </c>
      <c r="D1064" t="str">
        <f>HYPERLINK("http://service.sap.com/sap/support/notes/1750392","1750392")</f>
        <v>1750392</v>
      </c>
      <c r="E1064">
        <v>3</v>
      </c>
      <c r="F1064" t="s">
        <v>1502</v>
      </c>
    </row>
    <row r="1065" spans="1:6" x14ac:dyDescent="0.25">
      <c r="A1065" t="s">
        <v>4200</v>
      </c>
      <c r="B1065" t="s">
        <v>1503</v>
      </c>
      <c r="C1065" t="s">
        <v>1504</v>
      </c>
      <c r="D1065" t="str">
        <f>HYPERLINK("http://service.sap.com/sap/support/notes/1751916","1751916")</f>
        <v>1751916</v>
      </c>
      <c r="E1065">
        <v>1</v>
      </c>
      <c r="F1065" t="s">
        <v>1505</v>
      </c>
    </row>
    <row r="1066" spans="1:6" x14ac:dyDescent="0.25">
      <c r="A1066" t="s">
        <v>4200</v>
      </c>
      <c r="B1066" t="s">
        <v>1503</v>
      </c>
      <c r="C1066" t="s">
        <v>1504</v>
      </c>
      <c r="D1066" t="str">
        <f>HYPERLINK("http://service.sap.com/sap/support/notes/1761940","1761940")</f>
        <v>1761940</v>
      </c>
      <c r="E1066">
        <v>1</v>
      </c>
      <c r="F1066" t="s">
        <v>1506</v>
      </c>
    </row>
    <row r="1067" spans="1:6" x14ac:dyDescent="0.25">
      <c r="A1067" t="s">
        <v>4200</v>
      </c>
      <c r="B1067" t="s">
        <v>1507</v>
      </c>
      <c r="C1067" t="s">
        <v>1508</v>
      </c>
    </row>
    <row r="1068" spans="1:6" x14ac:dyDescent="0.25">
      <c r="A1068" t="s">
        <v>4200</v>
      </c>
      <c r="B1068" t="s">
        <v>1509</v>
      </c>
      <c r="C1068" t="s">
        <v>1510</v>
      </c>
    </row>
    <row r="1069" spans="1:6" x14ac:dyDescent="0.25">
      <c r="A1069" t="s">
        <v>4200</v>
      </c>
      <c r="B1069" t="s">
        <v>1511</v>
      </c>
      <c r="C1069" t="s">
        <v>1512</v>
      </c>
      <c r="D1069" t="str">
        <f>HYPERLINK("http://service.sap.com/sap/support/notes/1703210","1703210")</f>
        <v>1703210</v>
      </c>
      <c r="E1069">
        <v>1</v>
      </c>
      <c r="F1069" t="s">
        <v>1513</v>
      </c>
    </row>
    <row r="1070" spans="1:6" x14ac:dyDescent="0.25">
      <c r="A1070" t="s">
        <v>4200</v>
      </c>
      <c r="B1070" t="s">
        <v>1511</v>
      </c>
      <c r="C1070" t="s">
        <v>1512</v>
      </c>
      <c r="D1070" t="str">
        <f>HYPERLINK("http://service.sap.com/sap/support/notes/1713527","1713527")</f>
        <v>1713527</v>
      </c>
      <c r="E1070">
        <v>1</v>
      </c>
      <c r="F1070" t="s">
        <v>1514</v>
      </c>
    </row>
    <row r="1071" spans="1:6" x14ac:dyDescent="0.25">
      <c r="A1071" t="s">
        <v>4200</v>
      </c>
      <c r="B1071" t="s">
        <v>1511</v>
      </c>
      <c r="C1071" t="s">
        <v>1512</v>
      </c>
      <c r="D1071" t="str">
        <f>HYPERLINK("http://service.sap.com/sap/support/notes/1739733","1739733")</f>
        <v>1739733</v>
      </c>
      <c r="E1071">
        <v>1</v>
      </c>
      <c r="F1071" t="s">
        <v>1515</v>
      </c>
    </row>
    <row r="1072" spans="1:6" x14ac:dyDescent="0.25">
      <c r="A1072" t="s">
        <v>4200</v>
      </c>
      <c r="B1072" t="s">
        <v>1516</v>
      </c>
      <c r="C1072" t="s">
        <v>1517</v>
      </c>
      <c r="D1072" t="str">
        <f>HYPERLINK("http://service.sap.com/sap/support/notes/1696742","1696742")</f>
        <v>1696742</v>
      </c>
      <c r="E1072">
        <v>1</v>
      </c>
      <c r="F1072" t="s">
        <v>1518</v>
      </c>
    </row>
    <row r="1073" spans="1:6" x14ac:dyDescent="0.25">
      <c r="A1073" t="s">
        <v>4200</v>
      </c>
      <c r="B1073" t="s">
        <v>1516</v>
      </c>
      <c r="C1073" t="s">
        <v>1517</v>
      </c>
      <c r="D1073" t="str">
        <f>HYPERLINK("http://service.sap.com/sap/support/notes/1731782","1731782")</f>
        <v>1731782</v>
      </c>
      <c r="E1073">
        <v>1</v>
      </c>
      <c r="F1073" t="s">
        <v>1519</v>
      </c>
    </row>
    <row r="1074" spans="1:6" x14ac:dyDescent="0.25">
      <c r="A1074" t="s">
        <v>4200</v>
      </c>
      <c r="B1074" t="s">
        <v>1516</v>
      </c>
      <c r="C1074" t="s">
        <v>1517</v>
      </c>
      <c r="D1074" t="str">
        <f>HYPERLINK("http://service.sap.com/sap/support/notes/1744293","1744293")</f>
        <v>1744293</v>
      </c>
      <c r="E1074">
        <v>1</v>
      </c>
      <c r="F1074" t="s">
        <v>1520</v>
      </c>
    </row>
    <row r="1075" spans="1:6" x14ac:dyDescent="0.25">
      <c r="A1075" t="s">
        <v>4200</v>
      </c>
      <c r="B1075" t="s">
        <v>1521</v>
      </c>
      <c r="C1075" t="s">
        <v>824</v>
      </c>
      <c r="D1075" t="str">
        <f>HYPERLINK("http://service.sap.com/sap/support/notes/1713597","1713597")</f>
        <v>1713597</v>
      </c>
      <c r="E1075">
        <v>1</v>
      </c>
      <c r="F1075" t="s">
        <v>1522</v>
      </c>
    </row>
    <row r="1076" spans="1:6" x14ac:dyDescent="0.25">
      <c r="A1076" t="s">
        <v>4200</v>
      </c>
      <c r="B1076" t="s">
        <v>1521</v>
      </c>
      <c r="C1076" t="s">
        <v>824</v>
      </c>
      <c r="D1076" t="str">
        <f>HYPERLINK("http://service.sap.com/sap/support/notes/1729373","1729373")</f>
        <v>1729373</v>
      </c>
      <c r="E1076">
        <v>1</v>
      </c>
      <c r="F1076" t="s">
        <v>1523</v>
      </c>
    </row>
    <row r="1077" spans="1:6" x14ac:dyDescent="0.25">
      <c r="A1077" t="s">
        <v>4200</v>
      </c>
      <c r="B1077" t="s">
        <v>1521</v>
      </c>
      <c r="C1077" t="s">
        <v>824</v>
      </c>
      <c r="D1077" t="str">
        <f>HYPERLINK("http://service.sap.com/sap/support/notes/1731317","1731317")</f>
        <v>1731317</v>
      </c>
      <c r="E1077">
        <v>1</v>
      </c>
      <c r="F1077" t="s">
        <v>1524</v>
      </c>
    </row>
    <row r="1078" spans="1:6" x14ac:dyDescent="0.25">
      <c r="A1078" t="s">
        <v>4200</v>
      </c>
      <c r="B1078" t="s">
        <v>1521</v>
      </c>
      <c r="C1078" t="s">
        <v>824</v>
      </c>
      <c r="D1078" t="str">
        <f>HYPERLINK("http://service.sap.com/sap/support/notes/1733784","1733784")</f>
        <v>1733784</v>
      </c>
      <c r="E1078">
        <v>1</v>
      </c>
      <c r="F1078" t="s">
        <v>1525</v>
      </c>
    </row>
    <row r="1079" spans="1:6" x14ac:dyDescent="0.25">
      <c r="A1079" t="s">
        <v>4200</v>
      </c>
      <c r="B1079" t="s">
        <v>1526</v>
      </c>
      <c r="C1079" t="s">
        <v>1527</v>
      </c>
      <c r="D1079" t="str">
        <f>HYPERLINK("http://service.sap.com/sap/support/notes/1694576","1694576")</f>
        <v>1694576</v>
      </c>
      <c r="E1079">
        <v>1</v>
      </c>
      <c r="F1079" t="s">
        <v>1528</v>
      </c>
    </row>
    <row r="1080" spans="1:6" x14ac:dyDescent="0.25">
      <c r="A1080" t="s">
        <v>4200</v>
      </c>
      <c r="B1080" t="s">
        <v>1529</v>
      </c>
      <c r="C1080" t="s">
        <v>1530</v>
      </c>
    </row>
    <row r="1081" spans="1:6" x14ac:dyDescent="0.25">
      <c r="A1081" t="s">
        <v>4200</v>
      </c>
      <c r="B1081" t="s">
        <v>1531</v>
      </c>
      <c r="C1081" t="s">
        <v>1532</v>
      </c>
    </row>
    <row r="1082" spans="1:6" x14ac:dyDescent="0.25">
      <c r="A1082" t="s">
        <v>4200</v>
      </c>
      <c r="B1082" t="s">
        <v>1533</v>
      </c>
      <c r="C1082" t="s">
        <v>1534</v>
      </c>
      <c r="D1082" t="str">
        <f>HYPERLINK("http://service.sap.com/sap/support/notes/829994","829994")</f>
        <v>829994</v>
      </c>
      <c r="E1082">
        <v>4</v>
      </c>
      <c r="F1082" t="s">
        <v>1535</v>
      </c>
    </row>
    <row r="1083" spans="1:6" x14ac:dyDescent="0.25">
      <c r="A1083" t="s">
        <v>4200</v>
      </c>
      <c r="B1083" t="s">
        <v>1536</v>
      </c>
      <c r="C1083" t="s">
        <v>1537</v>
      </c>
      <c r="D1083" t="str">
        <f>HYPERLINK("http://service.sap.com/sap/support/notes/1743643","1743643")</f>
        <v>1743643</v>
      </c>
      <c r="E1083">
        <v>2</v>
      </c>
      <c r="F1083" t="s">
        <v>1538</v>
      </c>
    </row>
    <row r="1084" spans="1:6" x14ac:dyDescent="0.25">
      <c r="A1084" t="s">
        <v>4200</v>
      </c>
      <c r="B1084" t="s">
        <v>1539</v>
      </c>
      <c r="C1084" t="s">
        <v>1540</v>
      </c>
      <c r="D1084" t="str">
        <f>HYPERLINK("http://service.sap.com/sap/support/notes/1761936","1761936")</f>
        <v>1761936</v>
      </c>
      <c r="E1084">
        <v>2</v>
      </c>
      <c r="F1084" t="s">
        <v>1541</v>
      </c>
    </row>
    <row r="1085" spans="1:6" x14ac:dyDescent="0.25">
      <c r="A1085" t="s">
        <v>4200</v>
      </c>
      <c r="B1085" t="s">
        <v>1542</v>
      </c>
      <c r="C1085" t="s">
        <v>1543</v>
      </c>
    </row>
    <row r="1086" spans="1:6" x14ac:dyDescent="0.25">
      <c r="A1086" t="s">
        <v>4200</v>
      </c>
      <c r="B1086" t="s">
        <v>1544</v>
      </c>
      <c r="C1086" t="s">
        <v>1545</v>
      </c>
      <c r="D1086" t="str">
        <f>HYPERLINK("http://service.sap.com/sap/support/notes/1736752","1736752")</f>
        <v>1736752</v>
      </c>
      <c r="E1086">
        <v>1</v>
      </c>
      <c r="F1086" t="s">
        <v>1546</v>
      </c>
    </row>
    <row r="1087" spans="1:6" x14ac:dyDescent="0.25">
      <c r="A1087" t="s">
        <v>4200</v>
      </c>
      <c r="B1087" t="s">
        <v>1544</v>
      </c>
      <c r="C1087" t="s">
        <v>1545</v>
      </c>
      <c r="D1087" t="str">
        <f>HYPERLINK("http://service.sap.com/sap/support/notes/1747084","1747084")</f>
        <v>1747084</v>
      </c>
      <c r="E1087">
        <v>1</v>
      </c>
      <c r="F1087" t="s">
        <v>1546</v>
      </c>
    </row>
    <row r="1088" spans="1:6" x14ac:dyDescent="0.25">
      <c r="A1088" t="s">
        <v>4200</v>
      </c>
      <c r="B1088" t="s">
        <v>1547</v>
      </c>
      <c r="C1088" t="s">
        <v>1548</v>
      </c>
      <c r="D1088" t="str">
        <f>HYPERLINK("http://service.sap.com/sap/support/notes/1731229","1731229")</f>
        <v>1731229</v>
      </c>
      <c r="E1088">
        <v>1</v>
      </c>
      <c r="F1088" t="s">
        <v>1549</v>
      </c>
    </row>
    <row r="1089" spans="1:6" x14ac:dyDescent="0.25">
      <c r="A1089" t="s">
        <v>4200</v>
      </c>
      <c r="B1089" t="s">
        <v>1550</v>
      </c>
      <c r="C1089" t="s">
        <v>1551</v>
      </c>
    </row>
    <row r="1090" spans="1:6" x14ac:dyDescent="0.25">
      <c r="A1090" t="s">
        <v>4200</v>
      </c>
      <c r="B1090" t="s">
        <v>1552</v>
      </c>
      <c r="C1090" t="s">
        <v>1553</v>
      </c>
      <c r="D1090" t="str">
        <f>HYPERLINK("http://service.sap.com/sap/support/notes/1143082","1143082")</f>
        <v>1143082</v>
      </c>
      <c r="E1090">
        <v>6</v>
      </c>
      <c r="F1090" t="s">
        <v>1554</v>
      </c>
    </row>
    <row r="1091" spans="1:6" x14ac:dyDescent="0.25">
      <c r="A1091" t="s">
        <v>4200</v>
      </c>
      <c r="B1091" t="s">
        <v>1555</v>
      </c>
      <c r="C1091" t="s">
        <v>1556</v>
      </c>
      <c r="D1091" t="str">
        <f>HYPERLINK("http://service.sap.com/sap/support/notes/1731336","1731336")</f>
        <v>1731336</v>
      </c>
      <c r="E1091">
        <v>2</v>
      </c>
      <c r="F1091" t="s">
        <v>1557</v>
      </c>
    </row>
    <row r="1092" spans="1:6" x14ac:dyDescent="0.25">
      <c r="A1092" t="s">
        <v>4200</v>
      </c>
      <c r="B1092" t="s">
        <v>1558</v>
      </c>
      <c r="C1092" t="s">
        <v>1559</v>
      </c>
      <c r="D1092" t="str">
        <f>HYPERLINK("http://service.sap.com/sap/support/notes/1753113","1753113")</f>
        <v>1753113</v>
      </c>
      <c r="E1092">
        <v>1</v>
      </c>
      <c r="F1092" t="s">
        <v>1560</v>
      </c>
    </row>
    <row r="1093" spans="1:6" x14ac:dyDescent="0.25">
      <c r="A1093" t="s">
        <v>4200</v>
      </c>
      <c r="B1093" t="s">
        <v>1558</v>
      </c>
      <c r="C1093" t="s">
        <v>1559</v>
      </c>
      <c r="D1093" t="str">
        <f>HYPERLINK("http://service.sap.com/sap/support/notes/1760996","1760996")</f>
        <v>1760996</v>
      </c>
      <c r="E1093">
        <v>2</v>
      </c>
      <c r="F1093" t="s">
        <v>1546</v>
      </c>
    </row>
    <row r="1094" spans="1:6" x14ac:dyDescent="0.25">
      <c r="A1094" t="s">
        <v>4200</v>
      </c>
      <c r="B1094" t="s">
        <v>1561</v>
      </c>
      <c r="C1094" t="s">
        <v>1562</v>
      </c>
      <c r="D1094" t="str">
        <f>HYPERLINK("http://service.sap.com/sap/support/notes/1729052","1729052")</f>
        <v>1729052</v>
      </c>
      <c r="E1094">
        <v>3</v>
      </c>
      <c r="F1094" t="s">
        <v>1563</v>
      </c>
    </row>
    <row r="1095" spans="1:6" x14ac:dyDescent="0.25">
      <c r="A1095" t="s">
        <v>4200</v>
      </c>
      <c r="B1095" t="s">
        <v>1561</v>
      </c>
      <c r="C1095" t="s">
        <v>1562</v>
      </c>
      <c r="D1095" t="str">
        <f>HYPERLINK("http://service.sap.com/sap/support/notes/1736018","1736018")</f>
        <v>1736018</v>
      </c>
      <c r="E1095">
        <v>1</v>
      </c>
      <c r="F1095" t="s">
        <v>1564</v>
      </c>
    </row>
    <row r="1096" spans="1:6" x14ac:dyDescent="0.25">
      <c r="A1096" t="s">
        <v>4200</v>
      </c>
      <c r="B1096" t="s">
        <v>1561</v>
      </c>
      <c r="C1096" t="s">
        <v>1562</v>
      </c>
      <c r="D1096" t="str">
        <f>HYPERLINK("http://service.sap.com/sap/support/notes/1761878","1761878")</f>
        <v>1761878</v>
      </c>
      <c r="E1096">
        <v>2</v>
      </c>
      <c r="F1096" t="s">
        <v>1565</v>
      </c>
    </row>
    <row r="1097" spans="1:6" x14ac:dyDescent="0.25">
      <c r="A1097" t="s">
        <v>4200</v>
      </c>
      <c r="B1097" t="s">
        <v>1566</v>
      </c>
      <c r="C1097" t="s">
        <v>1567</v>
      </c>
      <c r="D1097" t="str">
        <f>HYPERLINK("http://service.sap.com/sap/support/notes/1742250","1742250")</f>
        <v>1742250</v>
      </c>
      <c r="E1097">
        <v>1</v>
      </c>
      <c r="F1097" t="s">
        <v>1568</v>
      </c>
    </row>
    <row r="1098" spans="1:6" x14ac:dyDescent="0.25">
      <c r="A1098" t="s">
        <v>4200</v>
      </c>
      <c r="B1098" t="s">
        <v>1569</v>
      </c>
      <c r="C1098" t="s">
        <v>1570</v>
      </c>
      <c r="D1098" t="str">
        <f>HYPERLINK("http://service.sap.com/sap/support/notes/1730275","1730275")</f>
        <v>1730275</v>
      </c>
      <c r="E1098">
        <v>1</v>
      </c>
      <c r="F1098" t="s">
        <v>1571</v>
      </c>
    </row>
    <row r="1099" spans="1:6" x14ac:dyDescent="0.25">
      <c r="A1099" t="s">
        <v>4200</v>
      </c>
      <c r="B1099" t="s">
        <v>1569</v>
      </c>
      <c r="C1099" t="s">
        <v>1570</v>
      </c>
      <c r="D1099" t="str">
        <f>HYPERLINK("http://service.sap.com/sap/support/notes/1756196","1756196")</f>
        <v>1756196</v>
      </c>
      <c r="E1099">
        <v>1</v>
      </c>
      <c r="F1099" t="s">
        <v>1571</v>
      </c>
    </row>
    <row r="1100" spans="1:6" x14ac:dyDescent="0.25">
      <c r="A1100" t="s">
        <v>4200</v>
      </c>
      <c r="B1100" t="s">
        <v>1572</v>
      </c>
      <c r="C1100" t="s">
        <v>1573</v>
      </c>
    </row>
    <row r="1101" spans="1:6" x14ac:dyDescent="0.25">
      <c r="A1101" t="s">
        <v>4200</v>
      </c>
      <c r="B1101" t="s">
        <v>1574</v>
      </c>
      <c r="C1101" t="s">
        <v>29</v>
      </c>
    </row>
    <row r="1102" spans="1:6" x14ac:dyDescent="0.25">
      <c r="A1102" t="s">
        <v>4200</v>
      </c>
      <c r="B1102" t="s">
        <v>1575</v>
      </c>
      <c r="C1102" t="s">
        <v>126</v>
      </c>
      <c r="D1102" t="str">
        <f>HYPERLINK("http://service.sap.com/sap/support/notes/1733688","1733688")</f>
        <v>1733688</v>
      </c>
      <c r="E1102">
        <v>1</v>
      </c>
      <c r="F1102" t="s">
        <v>1576</v>
      </c>
    </row>
    <row r="1103" spans="1:6" x14ac:dyDescent="0.25">
      <c r="A1103" t="s">
        <v>4200</v>
      </c>
      <c r="B1103" t="s">
        <v>1577</v>
      </c>
      <c r="C1103" t="s">
        <v>1578</v>
      </c>
    </row>
    <row r="1104" spans="1:6" x14ac:dyDescent="0.25">
      <c r="A1104" t="s">
        <v>4200</v>
      </c>
      <c r="B1104" t="s">
        <v>1579</v>
      </c>
      <c r="C1104" t="s">
        <v>240</v>
      </c>
      <c r="D1104" t="str">
        <f>HYPERLINK("http://service.sap.com/sap/support/notes/1757936","1757936")</f>
        <v>1757936</v>
      </c>
      <c r="E1104">
        <v>1</v>
      </c>
      <c r="F1104" t="s">
        <v>1580</v>
      </c>
    </row>
    <row r="1105" spans="1:6" x14ac:dyDescent="0.25">
      <c r="A1105" t="s">
        <v>4200</v>
      </c>
      <c r="B1105" t="s">
        <v>1581</v>
      </c>
      <c r="C1105" t="s">
        <v>1582</v>
      </c>
    </row>
    <row r="1106" spans="1:6" x14ac:dyDescent="0.25">
      <c r="A1106" t="s">
        <v>4200</v>
      </c>
      <c r="B1106" t="s">
        <v>1583</v>
      </c>
      <c r="C1106" t="s">
        <v>1584</v>
      </c>
      <c r="D1106" t="str">
        <f>HYPERLINK("http://service.sap.com/sap/support/notes/1734768","1734768")</f>
        <v>1734768</v>
      </c>
      <c r="E1106">
        <v>1</v>
      </c>
      <c r="F1106" t="s">
        <v>1546</v>
      </c>
    </row>
    <row r="1107" spans="1:6" x14ac:dyDescent="0.25">
      <c r="A1107" t="s">
        <v>4200</v>
      </c>
      <c r="B1107" t="s">
        <v>1585</v>
      </c>
      <c r="C1107" t="s">
        <v>1586</v>
      </c>
    </row>
    <row r="1108" spans="1:6" x14ac:dyDescent="0.25">
      <c r="A1108" t="s">
        <v>4200</v>
      </c>
      <c r="B1108" t="s">
        <v>1587</v>
      </c>
      <c r="C1108" t="s">
        <v>1588</v>
      </c>
    </row>
    <row r="1109" spans="1:6" x14ac:dyDescent="0.25">
      <c r="A1109" t="s">
        <v>4200</v>
      </c>
      <c r="B1109" t="s">
        <v>1589</v>
      </c>
      <c r="C1109" t="s">
        <v>1590</v>
      </c>
      <c r="D1109" t="str">
        <f>HYPERLINK("http://service.sap.com/sap/support/notes/1727362","1727362")</f>
        <v>1727362</v>
      </c>
      <c r="E1109">
        <v>2</v>
      </c>
      <c r="F1109" t="s">
        <v>1591</v>
      </c>
    </row>
    <row r="1110" spans="1:6" x14ac:dyDescent="0.25">
      <c r="A1110" t="s">
        <v>4200</v>
      </c>
      <c r="B1110" t="s">
        <v>1589</v>
      </c>
      <c r="C1110" t="s">
        <v>1590</v>
      </c>
      <c r="D1110" t="str">
        <f>HYPERLINK("http://service.sap.com/sap/support/notes/1730420","1730420")</f>
        <v>1730420</v>
      </c>
      <c r="E1110">
        <v>3</v>
      </c>
      <c r="F1110" t="s">
        <v>1592</v>
      </c>
    </row>
    <row r="1111" spans="1:6" x14ac:dyDescent="0.25">
      <c r="A1111" t="s">
        <v>4200</v>
      </c>
      <c r="B1111" t="s">
        <v>1589</v>
      </c>
      <c r="C1111" t="s">
        <v>1590</v>
      </c>
      <c r="D1111" t="str">
        <f>HYPERLINK("http://service.sap.com/sap/support/notes/1730652","1730652")</f>
        <v>1730652</v>
      </c>
      <c r="E1111">
        <v>4</v>
      </c>
      <c r="F1111" t="s">
        <v>1593</v>
      </c>
    </row>
    <row r="1112" spans="1:6" x14ac:dyDescent="0.25">
      <c r="A1112" t="s">
        <v>4200</v>
      </c>
      <c r="B1112" t="s">
        <v>1589</v>
      </c>
      <c r="C1112" t="s">
        <v>1590</v>
      </c>
      <c r="D1112" t="str">
        <f>HYPERLINK("http://service.sap.com/sap/support/notes/1738891","1738891")</f>
        <v>1738891</v>
      </c>
      <c r="E1112">
        <v>2</v>
      </c>
      <c r="F1112" t="s">
        <v>1594</v>
      </c>
    </row>
    <row r="1113" spans="1:6" x14ac:dyDescent="0.25">
      <c r="A1113" t="s">
        <v>4200</v>
      </c>
      <c r="B1113" t="s">
        <v>1589</v>
      </c>
      <c r="C1113" t="s">
        <v>1590</v>
      </c>
      <c r="D1113" t="str">
        <f>HYPERLINK("http://service.sap.com/sap/support/notes/1765949","1765949")</f>
        <v>1765949</v>
      </c>
      <c r="E1113">
        <v>2</v>
      </c>
      <c r="F1113" t="s">
        <v>1595</v>
      </c>
    </row>
    <row r="1114" spans="1:6" x14ac:dyDescent="0.25">
      <c r="A1114" t="s">
        <v>4200</v>
      </c>
      <c r="B1114" t="s">
        <v>1596</v>
      </c>
      <c r="C1114" t="s">
        <v>1597</v>
      </c>
      <c r="D1114" t="str">
        <f>HYPERLINK("http://service.sap.com/sap/support/notes/1750717","1750717")</f>
        <v>1750717</v>
      </c>
      <c r="E1114">
        <v>1</v>
      </c>
      <c r="F1114" t="s">
        <v>1598</v>
      </c>
    </row>
    <row r="1115" spans="1:6" x14ac:dyDescent="0.25">
      <c r="A1115" t="s">
        <v>4200</v>
      </c>
      <c r="B1115" t="s">
        <v>1599</v>
      </c>
      <c r="C1115" t="s">
        <v>1600</v>
      </c>
      <c r="D1115" t="str">
        <f>HYPERLINK("http://service.sap.com/sap/support/notes/1518800","1518800")</f>
        <v>1518800</v>
      </c>
      <c r="E1115">
        <v>7</v>
      </c>
      <c r="F1115" t="s">
        <v>1601</v>
      </c>
    </row>
    <row r="1116" spans="1:6" x14ac:dyDescent="0.25">
      <c r="A1116" t="s">
        <v>4200</v>
      </c>
      <c r="B1116" t="s">
        <v>1599</v>
      </c>
      <c r="C1116" t="s">
        <v>1600</v>
      </c>
      <c r="D1116" t="str">
        <f>HYPERLINK("http://service.sap.com/sap/support/notes/1737989","1737989")</f>
        <v>1737989</v>
      </c>
      <c r="E1116">
        <v>1</v>
      </c>
      <c r="F1116" t="s">
        <v>1602</v>
      </c>
    </row>
    <row r="1117" spans="1:6" x14ac:dyDescent="0.25">
      <c r="A1117" t="s">
        <v>4200</v>
      </c>
      <c r="B1117" t="s">
        <v>1599</v>
      </c>
      <c r="C1117" t="s">
        <v>1600</v>
      </c>
      <c r="D1117" t="str">
        <f>HYPERLINK("http://service.sap.com/sap/support/notes/1763629","1763629")</f>
        <v>1763629</v>
      </c>
      <c r="E1117">
        <v>2</v>
      </c>
      <c r="F1117" t="s">
        <v>1603</v>
      </c>
    </row>
    <row r="1118" spans="1:6" x14ac:dyDescent="0.25">
      <c r="A1118" t="s">
        <v>4200</v>
      </c>
      <c r="B1118" t="s">
        <v>1604</v>
      </c>
      <c r="C1118" t="s">
        <v>1605</v>
      </c>
      <c r="D1118" t="str">
        <f>HYPERLINK("http://service.sap.com/sap/support/notes/1742192","1742192")</f>
        <v>1742192</v>
      </c>
      <c r="E1118">
        <v>1</v>
      </c>
      <c r="F1118" t="s">
        <v>1606</v>
      </c>
    </row>
    <row r="1119" spans="1:6" x14ac:dyDescent="0.25">
      <c r="A1119" t="s">
        <v>4200</v>
      </c>
      <c r="B1119" t="s">
        <v>1607</v>
      </c>
      <c r="C1119" t="s">
        <v>1608</v>
      </c>
    </row>
    <row r="1120" spans="1:6" x14ac:dyDescent="0.25">
      <c r="A1120" t="s">
        <v>4200</v>
      </c>
      <c r="B1120" t="s">
        <v>1609</v>
      </c>
      <c r="C1120" t="s">
        <v>1610</v>
      </c>
      <c r="D1120" t="str">
        <f>HYPERLINK("http://service.sap.com/sap/support/notes/1695792","1695792")</f>
        <v>1695792</v>
      </c>
      <c r="E1120">
        <v>2</v>
      </c>
      <c r="F1120" t="s">
        <v>1611</v>
      </c>
    </row>
    <row r="1121" spans="1:6" x14ac:dyDescent="0.25">
      <c r="A1121" t="s">
        <v>4200</v>
      </c>
      <c r="B1121" t="s">
        <v>1612</v>
      </c>
      <c r="C1121" t="s">
        <v>1613</v>
      </c>
      <c r="D1121" t="str">
        <f>HYPERLINK("http://service.sap.com/sap/support/notes/708699","708699")</f>
        <v>708699</v>
      </c>
      <c r="E1121">
        <v>2</v>
      </c>
      <c r="F1121" t="s">
        <v>1614</v>
      </c>
    </row>
    <row r="1122" spans="1:6" x14ac:dyDescent="0.25">
      <c r="A1122" t="s">
        <v>4200</v>
      </c>
      <c r="B1122" t="s">
        <v>1612</v>
      </c>
      <c r="C1122" t="s">
        <v>1613</v>
      </c>
      <c r="D1122" t="str">
        <f>HYPERLINK("http://service.sap.com/sap/support/notes/1626091","1626091")</f>
        <v>1626091</v>
      </c>
      <c r="E1122">
        <v>2</v>
      </c>
      <c r="F1122" t="s">
        <v>1615</v>
      </c>
    </row>
    <row r="1123" spans="1:6" x14ac:dyDescent="0.25">
      <c r="A1123" t="s">
        <v>4200</v>
      </c>
      <c r="B1123" t="s">
        <v>1612</v>
      </c>
      <c r="C1123" t="s">
        <v>1613</v>
      </c>
      <c r="D1123" t="str">
        <f>HYPERLINK("http://service.sap.com/sap/support/notes/1692885","1692885")</f>
        <v>1692885</v>
      </c>
      <c r="E1123">
        <v>1</v>
      </c>
      <c r="F1123" t="s">
        <v>1616</v>
      </c>
    </row>
    <row r="1124" spans="1:6" x14ac:dyDescent="0.25">
      <c r="A1124" t="s">
        <v>4200</v>
      </c>
      <c r="B1124" t="s">
        <v>1612</v>
      </c>
      <c r="C1124" t="s">
        <v>1613</v>
      </c>
      <c r="D1124" t="str">
        <f>HYPERLINK("http://service.sap.com/sap/support/notes/1697945","1697945")</f>
        <v>1697945</v>
      </c>
      <c r="E1124">
        <v>1</v>
      </c>
      <c r="F1124" t="s">
        <v>1617</v>
      </c>
    </row>
    <row r="1125" spans="1:6" x14ac:dyDescent="0.25">
      <c r="A1125" t="s">
        <v>4200</v>
      </c>
      <c r="B1125" t="s">
        <v>1618</v>
      </c>
      <c r="C1125" t="s">
        <v>1619</v>
      </c>
      <c r="D1125" t="str">
        <f>HYPERLINK("http://service.sap.com/sap/support/notes/1584762","1584762")</f>
        <v>1584762</v>
      </c>
      <c r="E1125">
        <v>5</v>
      </c>
      <c r="F1125" t="s">
        <v>1620</v>
      </c>
    </row>
    <row r="1126" spans="1:6" x14ac:dyDescent="0.25">
      <c r="A1126" t="s">
        <v>4200</v>
      </c>
      <c r="B1126" t="s">
        <v>1618</v>
      </c>
      <c r="C1126" t="s">
        <v>1619</v>
      </c>
      <c r="D1126" t="str">
        <f>HYPERLINK("http://service.sap.com/sap/support/notes/1602953","1602953")</f>
        <v>1602953</v>
      </c>
      <c r="E1126">
        <v>6</v>
      </c>
      <c r="F1126" t="s">
        <v>1621</v>
      </c>
    </row>
    <row r="1127" spans="1:6" x14ac:dyDescent="0.25">
      <c r="A1127" t="s">
        <v>4200</v>
      </c>
      <c r="B1127" t="s">
        <v>1618</v>
      </c>
      <c r="C1127" t="s">
        <v>1619</v>
      </c>
      <c r="D1127" t="str">
        <f>HYPERLINK("http://service.sap.com/sap/support/notes/1712574","1712574")</f>
        <v>1712574</v>
      </c>
      <c r="E1127">
        <v>1</v>
      </c>
      <c r="F1127" t="s">
        <v>1622</v>
      </c>
    </row>
    <row r="1128" spans="1:6" x14ac:dyDescent="0.25">
      <c r="A1128" t="s">
        <v>4200</v>
      </c>
      <c r="B1128" t="s">
        <v>1618</v>
      </c>
      <c r="C1128" t="s">
        <v>1619</v>
      </c>
      <c r="D1128" t="str">
        <f>HYPERLINK("http://service.sap.com/sap/support/notes/1732222","1732222")</f>
        <v>1732222</v>
      </c>
      <c r="E1128">
        <v>3</v>
      </c>
      <c r="F1128" t="s">
        <v>1623</v>
      </c>
    </row>
    <row r="1129" spans="1:6" x14ac:dyDescent="0.25">
      <c r="A1129" t="s">
        <v>4200</v>
      </c>
      <c r="B1129" t="s">
        <v>1618</v>
      </c>
      <c r="C1129" t="s">
        <v>1619</v>
      </c>
      <c r="D1129" t="str">
        <f>HYPERLINK("http://service.sap.com/sap/support/notes/1733271","1733271")</f>
        <v>1733271</v>
      </c>
      <c r="E1129">
        <v>6</v>
      </c>
      <c r="F1129" t="s">
        <v>1624</v>
      </c>
    </row>
    <row r="1130" spans="1:6" x14ac:dyDescent="0.25">
      <c r="A1130" t="s">
        <v>4200</v>
      </c>
      <c r="B1130" t="s">
        <v>1618</v>
      </c>
      <c r="C1130" t="s">
        <v>1619</v>
      </c>
      <c r="D1130" t="str">
        <f>HYPERLINK("http://service.sap.com/sap/support/notes/1756156","1756156")</f>
        <v>1756156</v>
      </c>
      <c r="E1130">
        <v>2</v>
      </c>
      <c r="F1130" t="s">
        <v>1625</v>
      </c>
    </row>
    <row r="1131" spans="1:6" x14ac:dyDescent="0.25">
      <c r="A1131" t="s">
        <v>4200</v>
      </c>
      <c r="B1131" t="s">
        <v>1626</v>
      </c>
      <c r="C1131" t="s">
        <v>1627</v>
      </c>
    </row>
    <row r="1132" spans="1:6" x14ac:dyDescent="0.25">
      <c r="A1132" t="s">
        <v>4200</v>
      </c>
      <c r="B1132" t="s">
        <v>1628</v>
      </c>
      <c r="C1132" t="s">
        <v>1629</v>
      </c>
      <c r="D1132" t="str">
        <f>HYPERLINK("http://service.sap.com/sap/support/notes/1617872","1617872")</f>
        <v>1617872</v>
      </c>
      <c r="E1132">
        <v>3</v>
      </c>
      <c r="F1132" t="s">
        <v>1630</v>
      </c>
    </row>
    <row r="1133" spans="1:6" x14ac:dyDescent="0.25">
      <c r="A1133" t="s">
        <v>4200</v>
      </c>
      <c r="B1133" t="s">
        <v>1628</v>
      </c>
      <c r="C1133" t="s">
        <v>1629</v>
      </c>
      <c r="D1133" t="str">
        <f>HYPERLINK("http://service.sap.com/sap/support/notes/1761764","1761764")</f>
        <v>1761764</v>
      </c>
      <c r="E1133">
        <v>2</v>
      </c>
      <c r="F1133" t="s">
        <v>1631</v>
      </c>
    </row>
    <row r="1134" spans="1:6" x14ac:dyDescent="0.25">
      <c r="A1134" t="s">
        <v>4200</v>
      </c>
      <c r="B1134" t="s">
        <v>1632</v>
      </c>
      <c r="C1134" t="s">
        <v>1633</v>
      </c>
    </row>
    <row r="1135" spans="1:6" x14ac:dyDescent="0.25">
      <c r="A1135" t="s">
        <v>4200</v>
      </c>
      <c r="B1135" t="s">
        <v>1634</v>
      </c>
      <c r="C1135" t="s">
        <v>1635</v>
      </c>
      <c r="D1135" t="str">
        <f>HYPERLINK("http://service.sap.com/sap/support/notes/1701050","1701050")</f>
        <v>1701050</v>
      </c>
      <c r="E1135">
        <v>1</v>
      </c>
      <c r="F1135" t="s">
        <v>1636</v>
      </c>
    </row>
    <row r="1136" spans="1:6" x14ac:dyDescent="0.25">
      <c r="A1136" t="s">
        <v>4200</v>
      </c>
      <c r="B1136" t="s">
        <v>1637</v>
      </c>
      <c r="C1136" t="s">
        <v>1638</v>
      </c>
    </row>
    <row r="1137" spans="1:6" x14ac:dyDescent="0.25">
      <c r="A1137" t="s">
        <v>4200</v>
      </c>
      <c r="B1137" t="s">
        <v>1639</v>
      </c>
      <c r="C1137" t="s">
        <v>1640</v>
      </c>
      <c r="D1137" t="str">
        <f>HYPERLINK("http://service.sap.com/sap/support/notes/1723668","1723668")</f>
        <v>1723668</v>
      </c>
      <c r="E1137">
        <v>4</v>
      </c>
      <c r="F1137" t="s">
        <v>1641</v>
      </c>
    </row>
    <row r="1138" spans="1:6" x14ac:dyDescent="0.25">
      <c r="A1138" t="s">
        <v>4200</v>
      </c>
      <c r="B1138" t="s">
        <v>1642</v>
      </c>
      <c r="C1138" t="s">
        <v>1643</v>
      </c>
      <c r="D1138" t="str">
        <f>HYPERLINK("http://service.sap.com/sap/support/notes/1729602","1729602")</f>
        <v>1729602</v>
      </c>
      <c r="E1138">
        <v>3</v>
      </c>
      <c r="F1138" t="s">
        <v>1644</v>
      </c>
    </row>
    <row r="1139" spans="1:6" x14ac:dyDescent="0.25">
      <c r="A1139" t="s">
        <v>4200</v>
      </c>
      <c r="B1139" t="s">
        <v>1645</v>
      </c>
      <c r="C1139" t="s">
        <v>1646</v>
      </c>
      <c r="D1139" t="str">
        <f>HYPERLINK("http://service.sap.com/sap/support/notes/1514631","1514631")</f>
        <v>1514631</v>
      </c>
      <c r="E1139">
        <v>2</v>
      </c>
      <c r="F1139" t="s">
        <v>1647</v>
      </c>
    </row>
    <row r="1140" spans="1:6" x14ac:dyDescent="0.25">
      <c r="A1140" t="s">
        <v>4200</v>
      </c>
      <c r="B1140" t="s">
        <v>1648</v>
      </c>
      <c r="C1140" t="s">
        <v>1649</v>
      </c>
      <c r="D1140" t="str">
        <f>HYPERLINK("http://service.sap.com/sap/support/notes/1717193","1717193")</f>
        <v>1717193</v>
      </c>
      <c r="E1140">
        <v>2</v>
      </c>
      <c r="F1140" t="s">
        <v>1650</v>
      </c>
    </row>
    <row r="1141" spans="1:6" x14ac:dyDescent="0.25">
      <c r="A1141" t="s">
        <v>4200</v>
      </c>
      <c r="B1141" t="s">
        <v>1651</v>
      </c>
      <c r="C1141" t="s">
        <v>1652</v>
      </c>
      <c r="D1141" t="str">
        <f>HYPERLINK("http://service.sap.com/sap/support/notes/1709274","1709274")</f>
        <v>1709274</v>
      </c>
      <c r="E1141">
        <v>2</v>
      </c>
      <c r="F1141" t="s">
        <v>1653</v>
      </c>
    </row>
    <row r="1142" spans="1:6" x14ac:dyDescent="0.25">
      <c r="A1142" t="s">
        <v>4200</v>
      </c>
      <c r="B1142" t="s">
        <v>1654</v>
      </c>
      <c r="C1142" t="s">
        <v>1655</v>
      </c>
      <c r="D1142" t="str">
        <f>HYPERLINK("http://service.sap.com/sap/support/notes/1315482","1315482")</f>
        <v>1315482</v>
      </c>
      <c r="E1142">
        <v>5</v>
      </c>
      <c r="F1142" t="s">
        <v>1656</v>
      </c>
    </row>
    <row r="1143" spans="1:6" x14ac:dyDescent="0.25">
      <c r="A1143" t="s">
        <v>4200</v>
      </c>
      <c r="B1143" t="s">
        <v>1657</v>
      </c>
      <c r="C1143" t="s">
        <v>1658</v>
      </c>
      <c r="D1143" t="str">
        <f>HYPERLINK("http://service.sap.com/sap/support/notes/866195","866195")</f>
        <v>866195</v>
      </c>
      <c r="E1143">
        <v>2</v>
      </c>
      <c r="F1143" t="s">
        <v>1659</v>
      </c>
    </row>
    <row r="1144" spans="1:6" x14ac:dyDescent="0.25">
      <c r="A1144" t="s">
        <v>4200</v>
      </c>
      <c r="B1144" t="s">
        <v>1660</v>
      </c>
      <c r="C1144" t="s">
        <v>210</v>
      </c>
    </row>
    <row r="1145" spans="1:6" x14ac:dyDescent="0.25">
      <c r="A1145" t="s">
        <v>4200</v>
      </c>
      <c r="B1145" t="s">
        <v>1661</v>
      </c>
      <c r="C1145" t="s">
        <v>1662</v>
      </c>
    </row>
    <row r="1146" spans="1:6" x14ac:dyDescent="0.25">
      <c r="A1146" t="s">
        <v>4200</v>
      </c>
      <c r="B1146" t="s">
        <v>1663</v>
      </c>
      <c r="C1146" t="s">
        <v>1664</v>
      </c>
      <c r="D1146" t="str">
        <f>HYPERLINK("http://service.sap.com/sap/support/notes/1740651","1740651")</f>
        <v>1740651</v>
      </c>
      <c r="E1146">
        <v>4</v>
      </c>
      <c r="F1146" t="s">
        <v>1665</v>
      </c>
    </row>
    <row r="1147" spans="1:6" x14ac:dyDescent="0.25">
      <c r="A1147" t="s">
        <v>4200</v>
      </c>
      <c r="B1147" t="s">
        <v>1666</v>
      </c>
      <c r="C1147" t="s">
        <v>1667</v>
      </c>
    </row>
    <row r="1148" spans="1:6" x14ac:dyDescent="0.25">
      <c r="A1148" t="s">
        <v>4200</v>
      </c>
      <c r="B1148" t="s">
        <v>1668</v>
      </c>
      <c r="C1148" t="s">
        <v>1669</v>
      </c>
      <c r="D1148" t="str">
        <f>HYPERLINK("http://service.sap.com/sap/support/notes/1746865","1746865")</f>
        <v>1746865</v>
      </c>
      <c r="E1148">
        <v>1</v>
      </c>
      <c r="F1148" t="s">
        <v>1670</v>
      </c>
    </row>
    <row r="1149" spans="1:6" x14ac:dyDescent="0.25">
      <c r="A1149" t="s">
        <v>4200</v>
      </c>
      <c r="B1149" t="s">
        <v>1668</v>
      </c>
      <c r="C1149" t="s">
        <v>1669</v>
      </c>
      <c r="D1149" t="str">
        <f>HYPERLINK("http://service.sap.com/sap/support/notes/1755491","1755491")</f>
        <v>1755491</v>
      </c>
      <c r="E1149">
        <v>1</v>
      </c>
      <c r="F1149" t="s">
        <v>1671</v>
      </c>
    </row>
    <row r="1150" spans="1:6" x14ac:dyDescent="0.25">
      <c r="A1150" t="s">
        <v>4200</v>
      </c>
      <c r="B1150" t="s">
        <v>1672</v>
      </c>
      <c r="C1150" t="s">
        <v>1673</v>
      </c>
      <c r="D1150" t="str">
        <f>HYPERLINK("http://service.sap.com/sap/support/notes/1734876","1734876")</f>
        <v>1734876</v>
      </c>
      <c r="E1150">
        <v>1</v>
      </c>
      <c r="F1150" t="s">
        <v>1674</v>
      </c>
    </row>
    <row r="1151" spans="1:6" x14ac:dyDescent="0.25">
      <c r="A1151" t="s">
        <v>4200</v>
      </c>
      <c r="B1151" t="s">
        <v>1672</v>
      </c>
      <c r="C1151" t="s">
        <v>1673</v>
      </c>
      <c r="D1151" t="str">
        <f>HYPERLINK("http://service.sap.com/sap/support/notes/1742809","1742809")</f>
        <v>1742809</v>
      </c>
      <c r="E1151">
        <v>1</v>
      </c>
      <c r="F1151" t="s">
        <v>1675</v>
      </c>
    </row>
    <row r="1152" spans="1:6" x14ac:dyDescent="0.25">
      <c r="A1152" t="s">
        <v>4200</v>
      </c>
      <c r="B1152" t="s">
        <v>1676</v>
      </c>
      <c r="C1152" t="s">
        <v>1677</v>
      </c>
      <c r="D1152" t="str">
        <f>HYPERLINK("http://service.sap.com/sap/support/notes/1742538","1742538")</f>
        <v>1742538</v>
      </c>
      <c r="E1152">
        <v>1</v>
      </c>
      <c r="F1152" t="s">
        <v>1678</v>
      </c>
    </row>
    <row r="1153" spans="1:6" x14ac:dyDescent="0.25">
      <c r="A1153" t="s">
        <v>4200</v>
      </c>
      <c r="B1153" t="s">
        <v>1679</v>
      </c>
      <c r="C1153" t="s">
        <v>1680</v>
      </c>
      <c r="D1153" t="str">
        <f>HYPERLINK("http://service.sap.com/sap/support/notes/1734071","1734071")</f>
        <v>1734071</v>
      </c>
      <c r="E1153">
        <v>1</v>
      </c>
      <c r="F1153" t="s">
        <v>1681</v>
      </c>
    </row>
    <row r="1154" spans="1:6" x14ac:dyDescent="0.25">
      <c r="A1154" t="s">
        <v>4200</v>
      </c>
      <c r="B1154" t="s">
        <v>1682</v>
      </c>
      <c r="C1154" t="s">
        <v>1683</v>
      </c>
      <c r="D1154" t="str">
        <f>HYPERLINK("http://service.sap.com/sap/support/notes/1717057","1717057")</f>
        <v>1717057</v>
      </c>
      <c r="E1154">
        <v>3</v>
      </c>
      <c r="F1154" t="s">
        <v>1684</v>
      </c>
    </row>
    <row r="1155" spans="1:6" x14ac:dyDescent="0.25">
      <c r="A1155" t="s">
        <v>4200</v>
      </c>
      <c r="B1155" t="s">
        <v>1682</v>
      </c>
      <c r="C1155" t="s">
        <v>1683</v>
      </c>
      <c r="D1155" t="str">
        <f>HYPERLINK("http://service.sap.com/sap/support/notes/1718488","1718488")</f>
        <v>1718488</v>
      </c>
      <c r="E1155">
        <v>2</v>
      </c>
      <c r="F1155" t="s">
        <v>1685</v>
      </c>
    </row>
    <row r="1156" spans="1:6" x14ac:dyDescent="0.25">
      <c r="A1156" t="s">
        <v>4200</v>
      </c>
      <c r="B1156" t="s">
        <v>1682</v>
      </c>
      <c r="C1156" t="s">
        <v>1683</v>
      </c>
      <c r="D1156" t="str">
        <f>HYPERLINK("http://service.sap.com/sap/support/notes/1718958","1718958")</f>
        <v>1718958</v>
      </c>
      <c r="E1156">
        <v>3</v>
      </c>
      <c r="F1156" t="s">
        <v>1686</v>
      </c>
    </row>
    <row r="1157" spans="1:6" x14ac:dyDescent="0.25">
      <c r="A1157" t="s">
        <v>4200</v>
      </c>
      <c r="B1157" t="s">
        <v>1682</v>
      </c>
      <c r="C1157" t="s">
        <v>1683</v>
      </c>
      <c r="D1157" t="str">
        <f>HYPERLINK("http://service.sap.com/sap/support/notes/1725619","1725619")</f>
        <v>1725619</v>
      </c>
      <c r="E1157">
        <v>2</v>
      </c>
      <c r="F1157" t="s">
        <v>1687</v>
      </c>
    </row>
    <row r="1158" spans="1:6" x14ac:dyDescent="0.25">
      <c r="A1158" t="s">
        <v>4200</v>
      </c>
      <c r="B1158" t="s">
        <v>1682</v>
      </c>
      <c r="C1158" t="s">
        <v>1683</v>
      </c>
      <c r="D1158" t="str">
        <f>HYPERLINK("http://service.sap.com/sap/support/notes/1727888","1727888")</f>
        <v>1727888</v>
      </c>
      <c r="E1158">
        <v>3</v>
      </c>
      <c r="F1158" t="s">
        <v>1688</v>
      </c>
    </row>
    <row r="1159" spans="1:6" x14ac:dyDescent="0.25">
      <c r="A1159" t="s">
        <v>4200</v>
      </c>
      <c r="B1159" t="s">
        <v>1682</v>
      </c>
      <c r="C1159" t="s">
        <v>1683</v>
      </c>
      <c r="D1159" t="str">
        <f>HYPERLINK("http://service.sap.com/sap/support/notes/1736612","1736612")</f>
        <v>1736612</v>
      </c>
      <c r="E1159">
        <v>2</v>
      </c>
      <c r="F1159" t="s">
        <v>1689</v>
      </c>
    </row>
    <row r="1160" spans="1:6" x14ac:dyDescent="0.25">
      <c r="A1160" t="s">
        <v>4200</v>
      </c>
      <c r="B1160" t="s">
        <v>1682</v>
      </c>
      <c r="C1160" t="s">
        <v>1683</v>
      </c>
      <c r="D1160" t="str">
        <f>HYPERLINK("http://service.sap.com/sap/support/notes/1737101","1737101")</f>
        <v>1737101</v>
      </c>
      <c r="E1160">
        <v>2</v>
      </c>
      <c r="F1160" t="s">
        <v>1690</v>
      </c>
    </row>
    <row r="1161" spans="1:6" x14ac:dyDescent="0.25">
      <c r="A1161" t="s">
        <v>4200</v>
      </c>
      <c r="B1161" t="s">
        <v>1682</v>
      </c>
      <c r="C1161" t="s">
        <v>1683</v>
      </c>
      <c r="D1161" t="str">
        <f>HYPERLINK("http://service.sap.com/sap/support/notes/1740602","1740602")</f>
        <v>1740602</v>
      </c>
      <c r="E1161">
        <v>1</v>
      </c>
      <c r="F1161" t="s">
        <v>1691</v>
      </c>
    </row>
    <row r="1162" spans="1:6" x14ac:dyDescent="0.25">
      <c r="A1162" t="s">
        <v>4200</v>
      </c>
      <c r="B1162" t="s">
        <v>1682</v>
      </c>
      <c r="C1162" t="s">
        <v>1683</v>
      </c>
      <c r="D1162" t="str">
        <f>HYPERLINK("http://service.sap.com/sap/support/notes/1746866","1746866")</f>
        <v>1746866</v>
      </c>
      <c r="E1162">
        <v>3</v>
      </c>
      <c r="F1162" t="s">
        <v>1692</v>
      </c>
    </row>
    <row r="1163" spans="1:6" x14ac:dyDescent="0.25">
      <c r="A1163" t="s">
        <v>4200</v>
      </c>
      <c r="B1163" t="s">
        <v>1682</v>
      </c>
      <c r="C1163" t="s">
        <v>1683</v>
      </c>
      <c r="D1163" t="str">
        <f>HYPERLINK("http://service.sap.com/sap/support/notes/1758546","1758546")</f>
        <v>1758546</v>
      </c>
      <c r="E1163">
        <v>3</v>
      </c>
      <c r="F1163" t="s">
        <v>1693</v>
      </c>
    </row>
    <row r="1164" spans="1:6" x14ac:dyDescent="0.25">
      <c r="A1164" t="s">
        <v>4200</v>
      </c>
      <c r="B1164" t="s">
        <v>1694</v>
      </c>
      <c r="C1164" t="s">
        <v>212</v>
      </c>
    </row>
    <row r="1165" spans="1:6" x14ac:dyDescent="0.25">
      <c r="A1165" t="s">
        <v>4200</v>
      </c>
      <c r="B1165" t="s">
        <v>1695</v>
      </c>
      <c r="C1165" t="s">
        <v>1696</v>
      </c>
      <c r="D1165" t="str">
        <f>HYPERLINK("http://service.sap.com/sap/support/notes/1125185","1125185")</f>
        <v>1125185</v>
      </c>
      <c r="E1165">
        <v>6</v>
      </c>
      <c r="F1165" t="s">
        <v>1697</v>
      </c>
    </row>
    <row r="1166" spans="1:6" x14ac:dyDescent="0.25">
      <c r="A1166" t="s">
        <v>4200</v>
      </c>
      <c r="B1166" t="s">
        <v>1695</v>
      </c>
      <c r="C1166" t="s">
        <v>1696</v>
      </c>
      <c r="D1166" t="str">
        <f>HYPERLINK("http://service.sap.com/sap/support/notes/1716277","1716277")</f>
        <v>1716277</v>
      </c>
      <c r="E1166">
        <v>1</v>
      </c>
      <c r="F1166" t="s">
        <v>1698</v>
      </c>
    </row>
    <row r="1167" spans="1:6" x14ac:dyDescent="0.25">
      <c r="A1167" t="s">
        <v>4200</v>
      </c>
      <c r="B1167" t="s">
        <v>1695</v>
      </c>
      <c r="C1167" t="s">
        <v>1696</v>
      </c>
      <c r="D1167" t="str">
        <f>HYPERLINK("http://service.sap.com/sap/support/notes/1716768","1716768")</f>
        <v>1716768</v>
      </c>
      <c r="E1167">
        <v>1</v>
      </c>
      <c r="F1167" t="s">
        <v>1699</v>
      </c>
    </row>
    <row r="1168" spans="1:6" x14ac:dyDescent="0.25">
      <c r="A1168" t="s">
        <v>4200</v>
      </c>
      <c r="B1168" t="s">
        <v>1695</v>
      </c>
      <c r="C1168" t="s">
        <v>1696</v>
      </c>
      <c r="D1168" t="str">
        <f>HYPERLINK("http://service.sap.com/sap/support/notes/1723212","1723212")</f>
        <v>1723212</v>
      </c>
      <c r="E1168">
        <v>2</v>
      </c>
      <c r="F1168" t="s">
        <v>1700</v>
      </c>
    </row>
    <row r="1169" spans="1:6" x14ac:dyDescent="0.25">
      <c r="A1169" t="s">
        <v>4200</v>
      </c>
      <c r="B1169" t="s">
        <v>1695</v>
      </c>
      <c r="C1169" t="s">
        <v>1696</v>
      </c>
      <c r="D1169" t="str">
        <f>HYPERLINK("http://service.sap.com/sap/support/notes/1724578","1724578")</f>
        <v>1724578</v>
      </c>
      <c r="E1169">
        <v>1</v>
      </c>
      <c r="F1169" t="s">
        <v>1701</v>
      </c>
    </row>
    <row r="1170" spans="1:6" x14ac:dyDescent="0.25">
      <c r="A1170" t="s">
        <v>4200</v>
      </c>
      <c r="B1170" t="s">
        <v>1695</v>
      </c>
      <c r="C1170" t="s">
        <v>1696</v>
      </c>
      <c r="D1170" t="str">
        <f>HYPERLINK("http://service.sap.com/sap/support/notes/1725467","1725467")</f>
        <v>1725467</v>
      </c>
      <c r="E1170">
        <v>1</v>
      </c>
      <c r="F1170" t="s">
        <v>1702</v>
      </c>
    </row>
    <row r="1171" spans="1:6" x14ac:dyDescent="0.25">
      <c r="A1171" t="s">
        <v>4200</v>
      </c>
      <c r="B1171" t="s">
        <v>1695</v>
      </c>
      <c r="C1171" t="s">
        <v>1696</v>
      </c>
      <c r="D1171" t="str">
        <f>HYPERLINK("http://service.sap.com/sap/support/notes/1730626","1730626")</f>
        <v>1730626</v>
      </c>
      <c r="E1171">
        <v>1</v>
      </c>
      <c r="F1171" t="s">
        <v>1703</v>
      </c>
    </row>
    <row r="1172" spans="1:6" x14ac:dyDescent="0.25">
      <c r="A1172" t="s">
        <v>4200</v>
      </c>
      <c r="B1172" t="s">
        <v>1695</v>
      </c>
      <c r="C1172" t="s">
        <v>1696</v>
      </c>
      <c r="D1172" t="str">
        <f>HYPERLINK("http://service.sap.com/sap/support/notes/1732327","1732327")</f>
        <v>1732327</v>
      </c>
      <c r="E1172">
        <v>1</v>
      </c>
      <c r="F1172" t="s">
        <v>1704</v>
      </c>
    </row>
    <row r="1173" spans="1:6" x14ac:dyDescent="0.25">
      <c r="A1173" t="s">
        <v>4200</v>
      </c>
      <c r="B1173" t="s">
        <v>1695</v>
      </c>
      <c r="C1173" t="s">
        <v>1696</v>
      </c>
      <c r="D1173" t="str">
        <f>HYPERLINK("http://service.sap.com/sap/support/notes/1736261","1736261")</f>
        <v>1736261</v>
      </c>
      <c r="E1173">
        <v>1</v>
      </c>
      <c r="F1173" t="s">
        <v>1705</v>
      </c>
    </row>
    <row r="1174" spans="1:6" x14ac:dyDescent="0.25">
      <c r="A1174" t="s">
        <v>4200</v>
      </c>
      <c r="B1174" t="s">
        <v>1695</v>
      </c>
      <c r="C1174" t="s">
        <v>1696</v>
      </c>
      <c r="D1174" t="str">
        <f>HYPERLINK("http://service.sap.com/sap/support/notes/1738152","1738152")</f>
        <v>1738152</v>
      </c>
      <c r="E1174">
        <v>2</v>
      </c>
      <c r="F1174" t="s">
        <v>1706</v>
      </c>
    </row>
    <row r="1175" spans="1:6" x14ac:dyDescent="0.25">
      <c r="A1175" t="s">
        <v>4200</v>
      </c>
      <c r="B1175" t="s">
        <v>1695</v>
      </c>
      <c r="C1175" t="s">
        <v>1696</v>
      </c>
      <c r="D1175" t="str">
        <f>HYPERLINK("http://service.sap.com/sap/support/notes/1738513","1738513")</f>
        <v>1738513</v>
      </c>
      <c r="E1175">
        <v>1</v>
      </c>
      <c r="F1175" t="s">
        <v>1707</v>
      </c>
    </row>
    <row r="1176" spans="1:6" x14ac:dyDescent="0.25">
      <c r="A1176" t="s">
        <v>4200</v>
      </c>
      <c r="B1176" t="s">
        <v>1695</v>
      </c>
      <c r="C1176" t="s">
        <v>1696</v>
      </c>
      <c r="D1176" t="str">
        <f>HYPERLINK("http://service.sap.com/sap/support/notes/1742796","1742796")</f>
        <v>1742796</v>
      </c>
      <c r="E1176">
        <v>1</v>
      </c>
      <c r="F1176" t="s">
        <v>1708</v>
      </c>
    </row>
    <row r="1177" spans="1:6" x14ac:dyDescent="0.25">
      <c r="A1177" t="s">
        <v>4200</v>
      </c>
      <c r="B1177" t="s">
        <v>1695</v>
      </c>
      <c r="C1177" t="s">
        <v>1696</v>
      </c>
      <c r="D1177" t="str">
        <f>HYPERLINK("http://service.sap.com/sap/support/notes/1753604","1753604")</f>
        <v>1753604</v>
      </c>
      <c r="E1177">
        <v>1</v>
      </c>
      <c r="F1177" t="s">
        <v>1709</v>
      </c>
    </row>
    <row r="1178" spans="1:6" x14ac:dyDescent="0.25">
      <c r="A1178" t="s">
        <v>4200</v>
      </c>
      <c r="B1178" t="s">
        <v>1695</v>
      </c>
      <c r="C1178" t="s">
        <v>1696</v>
      </c>
      <c r="D1178" t="str">
        <f>HYPERLINK("http://service.sap.com/sap/support/notes/1756935","1756935")</f>
        <v>1756935</v>
      </c>
      <c r="E1178">
        <v>2</v>
      </c>
      <c r="F1178" t="s">
        <v>1710</v>
      </c>
    </row>
    <row r="1179" spans="1:6" x14ac:dyDescent="0.25">
      <c r="A1179" t="s">
        <v>4200</v>
      </c>
      <c r="B1179" t="s">
        <v>1711</v>
      </c>
      <c r="C1179" t="s">
        <v>1712</v>
      </c>
      <c r="D1179" t="str">
        <f>HYPERLINK("http://service.sap.com/sap/support/notes/1753957","1753957")</f>
        <v>1753957</v>
      </c>
      <c r="E1179">
        <v>1</v>
      </c>
      <c r="F1179" t="s">
        <v>1713</v>
      </c>
    </row>
    <row r="1180" spans="1:6" x14ac:dyDescent="0.25">
      <c r="A1180" t="s">
        <v>4200</v>
      </c>
      <c r="B1180" t="s">
        <v>1714</v>
      </c>
      <c r="C1180" t="s">
        <v>1715</v>
      </c>
      <c r="D1180" t="str">
        <f>HYPERLINK("http://service.sap.com/sap/support/notes/1732521","1732521")</f>
        <v>1732521</v>
      </c>
      <c r="E1180">
        <v>1</v>
      </c>
      <c r="F1180" t="s">
        <v>1716</v>
      </c>
    </row>
    <row r="1181" spans="1:6" x14ac:dyDescent="0.25">
      <c r="A1181" t="s">
        <v>4200</v>
      </c>
      <c r="B1181" t="s">
        <v>1714</v>
      </c>
      <c r="C1181" t="s">
        <v>1715</v>
      </c>
      <c r="D1181" t="str">
        <f>HYPERLINK("http://service.sap.com/sap/support/notes/1733733","1733733")</f>
        <v>1733733</v>
      </c>
      <c r="E1181">
        <v>1</v>
      </c>
      <c r="F1181" t="s">
        <v>1717</v>
      </c>
    </row>
    <row r="1182" spans="1:6" x14ac:dyDescent="0.25">
      <c r="A1182" t="s">
        <v>4200</v>
      </c>
      <c r="B1182" t="s">
        <v>1714</v>
      </c>
      <c r="C1182" t="s">
        <v>1715</v>
      </c>
      <c r="D1182" t="str">
        <f>HYPERLINK("http://service.sap.com/sap/support/notes/1734276","1734276")</f>
        <v>1734276</v>
      </c>
      <c r="E1182">
        <v>2</v>
      </c>
      <c r="F1182" t="s">
        <v>1718</v>
      </c>
    </row>
    <row r="1183" spans="1:6" x14ac:dyDescent="0.25">
      <c r="A1183" t="s">
        <v>4200</v>
      </c>
      <c r="B1183" t="s">
        <v>1714</v>
      </c>
      <c r="C1183" t="s">
        <v>1715</v>
      </c>
      <c r="D1183" t="str">
        <f>HYPERLINK("http://service.sap.com/sap/support/notes/1738800","1738800")</f>
        <v>1738800</v>
      </c>
      <c r="E1183">
        <v>2</v>
      </c>
      <c r="F1183" t="s">
        <v>1719</v>
      </c>
    </row>
    <row r="1184" spans="1:6" x14ac:dyDescent="0.25">
      <c r="A1184" t="s">
        <v>4200</v>
      </c>
      <c r="B1184" t="s">
        <v>1720</v>
      </c>
      <c r="C1184" t="s">
        <v>1721</v>
      </c>
      <c r="D1184" t="str">
        <f>HYPERLINK("http://service.sap.com/sap/support/notes/1716889","1716889")</f>
        <v>1716889</v>
      </c>
      <c r="E1184">
        <v>1</v>
      </c>
      <c r="F1184" t="s">
        <v>1722</v>
      </c>
    </row>
    <row r="1185" spans="1:6" x14ac:dyDescent="0.25">
      <c r="A1185" t="s">
        <v>4200</v>
      </c>
      <c r="B1185" t="s">
        <v>1720</v>
      </c>
      <c r="C1185" t="s">
        <v>1721</v>
      </c>
      <c r="D1185" t="str">
        <f>HYPERLINK("http://service.sap.com/sap/support/notes/1728427","1728427")</f>
        <v>1728427</v>
      </c>
      <c r="E1185">
        <v>2</v>
      </c>
      <c r="F1185" t="s">
        <v>1723</v>
      </c>
    </row>
    <row r="1186" spans="1:6" x14ac:dyDescent="0.25">
      <c r="A1186" t="s">
        <v>4200</v>
      </c>
      <c r="B1186" t="s">
        <v>1720</v>
      </c>
      <c r="C1186" t="s">
        <v>1721</v>
      </c>
      <c r="D1186" t="str">
        <f>HYPERLINK("http://service.sap.com/sap/support/notes/1744490","1744490")</f>
        <v>1744490</v>
      </c>
      <c r="E1186">
        <v>1</v>
      </c>
      <c r="F1186" t="s">
        <v>1724</v>
      </c>
    </row>
    <row r="1187" spans="1:6" x14ac:dyDescent="0.25">
      <c r="A1187" t="s">
        <v>4200</v>
      </c>
      <c r="B1187" t="s">
        <v>1720</v>
      </c>
      <c r="C1187" t="s">
        <v>1721</v>
      </c>
      <c r="D1187" t="str">
        <f>HYPERLINK("http://service.sap.com/sap/support/notes/1744501","1744501")</f>
        <v>1744501</v>
      </c>
      <c r="E1187">
        <v>1</v>
      </c>
      <c r="F1187" t="s">
        <v>1725</v>
      </c>
    </row>
    <row r="1188" spans="1:6" x14ac:dyDescent="0.25">
      <c r="A1188" t="s">
        <v>4200</v>
      </c>
      <c r="B1188" t="s">
        <v>1720</v>
      </c>
      <c r="C1188" t="s">
        <v>1721</v>
      </c>
      <c r="D1188" t="str">
        <f>HYPERLINK("http://service.sap.com/sap/support/notes/1744917","1744917")</f>
        <v>1744917</v>
      </c>
      <c r="E1188">
        <v>1</v>
      </c>
      <c r="F1188" t="s">
        <v>1726</v>
      </c>
    </row>
    <row r="1189" spans="1:6" x14ac:dyDescent="0.25">
      <c r="A1189" t="s">
        <v>4200</v>
      </c>
      <c r="B1189" t="s">
        <v>1720</v>
      </c>
      <c r="C1189" t="s">
        <v>1721</v>
      </c>
      <c r="D1189" t="str">
        <f>HYPERLINK("http://service.sap.com/sap/support/notes/1747287","1747287")</f>
        <v>1747287</v>
      </c>
      <c r="E1189">
        <v>1</v>
      </c>
      <c r="F1189" t="s">
        <v>1727</v>
      </c>
    </row>
    <row r="1190" spans="1:6" x14ac:dyDescent="0.25">
      <c r="A1190" t="s">
        <v>4200</v>
      </c>
      <c r="B1190" t="s">
        <v>1728</v>
      </c>
      <c r="C1190" t="s">
        <v>1729</v>
      </c>
      <c r="D1190" t="str">
        <f>HYPERLINK("http://service.sap.com/sap/support/notes/1732349","1732349")</f>
        <v>1732349</v>
      </c>
      <c r="E1190">
        <v>1</v>
      </c>
      <c r="F1190" t="s">
        <v>1730</v>
      </c>
    </row>
    <row r="1191" spans="1:6" x14ac:dyDescent="0.25">
      <c r="A1191" t="s">
        <v>4200</v>
      </c>
      <c r="B1191" t="s">
        <v>1728</v>
      </c>
      <c r="C1191" t="s">
        <v>1729</v>
      </c>
      <c r="D1191" t="str">
        <f>HYPERLINK("http://service.sap.com/sap/support/notes/1749755","1749755")</f>
        <v>1749755</v>
      </c>
      <c r="E1191">
        <v>1</v>
      </c>
      <c r="F1191" t="s">
        <v>1731</v>
      </c>
    </row>
    <row r="1192" spans="1:6" x14ac:dyDescent="0.25">
      <c r="A1192" t="s">
        <v>4200</v>
      </c>
      <c r="B1192" t="s">
        <v>1728</v>
      </c>
      <c r="C1192" t="s">
        <v>1729</v>
      </c>
      <c r="D1192" t="str">
        <f>HYPERLINK("http://service.sap.com/sap/support/notes/1752724","1752724")</f>
        <v>1752724</v>
      </c>
      <c r="E1192">
        <v>1</v>
      </c>
      <c r="F1192" t="s">
        <v>1732</v>
      </c>
    </row>
    <row r="1193" spans="1:6" x14ac:dyDescent="0.25">
      <c r="A1193" t="s">
        <v>4200</v>
      </c>
      <c r="B1193" t="s">
        <v>1728</v>
      </c>
      <c r="C1193" t="s">
        <v>1729</v>
      </c>
      <c r="D1193" t="str">
        <f>HYPERLINK("http://service.sap.com/sap/support/notes/1761358","1761358")</f>
        <v>1761358</v>
      </c>
      <c r="E1193">
        <v>3</v>
      </c>
      <c r="F1193" t="s">
        <v>1733</v>
      </c>
    </row>
    <row r="1194" spans="1:6" x14ac:dyDescent="0.25">
      <c r="A1194" t="s">
        <v>4200</v>
      </c>
      <c r="B1194" t="s">
        <v>1734</v>
      </c>
      <c r="C1194" t="s">
        <v>151</v>
      </c>
      <c r="D1194" t="str">
        <f>HYPERLINK("http://service.sap.com/sap/support/notes/1709272","1709272")</f>
        <v>1709272</v>
      </c>
      <c r="E1194">
        <v>1</v>
      </c>
      <c r="F1194" t="s">
        <v>1735</v>
      </c>
    </row>
    <row r="1195" spans="1:6" x14ac:dyDescent="0.25">
      <c r="A1195" t="s">
        <v>4200</v>
      </c>
      <c r="B1195" t="s">
        <v>1736</v>
      </c>
      <c r="C1195" t="s">
        <v>1737</v>
      </c>
      <c r="D1195" t="str">
        <f>HYPERLINK("http://service.sap.com/sap/support/notes/1740912","1740912")</f>
        <v>1740912</v>
      </c>
      <c r="E1195">
        <v>1</v>
      </c>
      <c r="F1195" t="s">
        <v>1738</v>
      </c>
    </row>
    <row r="1196" spans="1:6" x14ac:dyDescent="0.25">
      <c r="A1196" t="s">
        <v>4200</v>
      </c>
      <c r="B1196" t="s">
        <v>1739</v>
      </c>
      <c r="C1196" t="s">
        <v>1740</v>
      </c>
      <c r="D1196" t="str">
        <f>HYPERLINK("http://service.sap.com/sap/support/notes/1729508","1729508")</f>
        <v>1729508</v>
      </c>
      <c r="E1196">
        <v>2</v>
      </c>
      <c r="F1196" t="s">
        <v>1741</v>
      </c>
    </row>
    <row r="1197" spans="1:6" x14ac:dyDescent="0.25">
      <c r="A1197" t="s">
        <v>4200</v>
      </c>
      <c r="B1197" t="s">
        <v>1742</v>
      </c>
      <c r="C1197" t="s">
        <v>1743</v>
      </c>
      <c r="D1197" t="str">
        <f>HYPERLINK("http://service.sap.com/sap/support/notes/1749272","1749272")</f>
        <v>1749272</v>
      </c>
      <c r="E1197">
        <v>3</v>
      </c>
      <c r="F1197" t="s">
        <v>1744</v>
      </c>
    </row>
    <row r="1198" spans="1:6" x14ac:dyDescent="0.25">
      <c r="A1198" t="s">
        <v>4200</v>
      </c>
      <c r="B1198" t="s">
        <v>1742</v>
      </c>
      <c r="C1198" t="s">
        <v>1743</v>
      </c>
      <c r="D1198" t="str">
        <f>HYPERLINK("http://service.sap.com/sap/support/notes/1753580","1753580")</f>
        <v>1753580</v>
      </c>
      <c r="E1198">
        <v>1</v>
      </c>
      <c r="F1198" t="s">
        <v>1745</v>
      </c>
    </row>
    <row r="1199" spans="1:6" x14ac:dyDescent="0.25">
      <c r="A1199" t="s">
        <v>4200</v>
      </c>
      <c r="B1199" t="s">
        <v>1742</v>
      </c>
      <c r="C1199" t="s">
        <v>1743</v>
      </c>
      <c r="D1199" t="str">
        <f>HYPERLINK("http://service.sap.com/sap/support/notes/1761357","1761357")</f>
        <v>1761357</v>
      </c>
      <c r="E1199">
        <v>1</v>
      </c>
      <c r="F1199" t="s">
        <v>1746</v>
      </c>
    </row>
    <row r="1200" spans="1:6" x14ac:dyDescent="0.25">
      <c r="A1200" t="s">
        <v>4200</v>
      </c>
      <c r="B1200" t="s">
        <v>1742</v>
      </c>
      <c r="C1200" t="s">
        <v>1743</v>
      </c>
      <c r="D1200" t="str">
        <f>HYPERLINK("http://service.sap.com/sap/support/notes/1768344","1768344")</f>
        <v>1768344</v>
      </c>
      <c r="E1200">
        <v>1</v>
      </c>
      <c r="F1200" t="s">
        <v>1747</v>
      </c>
    </row>
    <row r="1201" spans="1:6" x14ac:dyDescent="0.25">
      <c r="A1201" t="s">
        <v>4200</v>
      </c>
      <c r="B1201" t="s">
        <v>1748</v>
      </c>
      <c r="C1201" t="s">
        <v>1749</v>
      </c>
      <c r="D1201" t="str">
        <f>HYPERLINK("http://service.sap.com/sap/support/notes/1741906","1741906")</f>
        <v>1741906</v>
      </c>
      <c r="E1201">
        <v>1</v>
      </c>
      <c r="F1201" t="s">
        <v>1750</v>
      </c>
    </row>
    <row r="1202" spans="1:6" x14ac:dyDescent="0.25">
      <c r="A1202" t="s">
        <v>4200</v>
      </c>
      <c r="B1202" t="s">
        <v>1751</v>
      </c>
      <c r="C1202" t="s">
        <v>1752</v>
      </c>
      <c r="D1202" t="str">
        <f>HYPERLINK("http://service.sap.com/sap/support/notes/1726112","1726112")</f>
        <v>1726112</v>
      </c>
      <c r="E1202">
        <v>1</v>
      </c>
      <c r="F1202" t="s">
        <v>1753</v>
      </c>
    </row>
    <row r="1203" spans="1:6" x14ac:dyDescent="0.25">
      <c r="A1203" t="s">
        <v>4200</v>
      </c>
      <c r="B1203" t="s">
        <v>1754</v>
      </c>
      <c r="C1203" t="s">
        <v>1755</v>
      </c>
      <c r="D1203" t="str">
        <f>HYPERLINK("http://service.sap.com/sap/support/notes/1715110","1715110")</f>
        <v>1715110</v>
      </c>
      <c r="E1203">
        <v>1</v>
      </c>
      <c r="F1203" t="s">
        <v>1756</v>
      </c>
    </row>
    <row r="1204" spans="1:6" x14ac:dyDescent="0.25">
      <c r="A1204" t="s">
        <v>4200</v>
      </c>
      <c r="B1204" t="s">
        <v>1754</v>
      </c>
      <c r="C1204" t="s">
        <v>1755</v>
      </c>
      <c r="D1204" t="str">
        <f>HYPERLINK("http://service.sap.com/sap/support/notes/1762664","1762664")</f>
        <v>1762664</v>
      </c>
      <c r="E1204">
        <v>1</v>
      </c>
      <c r="F1204" t="s">
        <v>1757</v>
      </c>
    </row>
    <row r="1205" spans="1:6" x14ac:dyDescent="0.25">
      <c r="A1205" t="s">
        <v>4200</v>
      </c>
      <c r="B1205" t="s">
        <v>1758</v>
      </c>
      <c r="C1205" t="s">
        <v>1759</v>
      </c>
      <c r="D1205" t="str">
        <f>HYPERLINK("http://service.sap.com/sap/support/notes/1711489","1711489")</f>
        <v>1711489</v>
      </c>
      <c r="E1205">
        <v>3</v>
      </c>
      <c r="F1205" t="s">
        <v>1760</v>
      </c>
    </row>
    <row r="1206" spans="1:6" x14ac:dyDescent="0.25">
      <c r="A1206" t="s">
        <v>4200</v>
      </c>
      <c r="B1206" t="s">
        <v>1761</v>
      </c>
      <c r="C1206" t="s">
        <v>1762</v>
      </c>
    </row>
    <row r="1207" spans="1:6" x14ac:dyDescent="0.25">
      <c r="A1207" t="s">
        <v>4200</v>
      </c>
      <c r="B1207" t="s">
        <v>1763</v>
      </c>
      <c r="C1207" t="s">
        <v>1764</v>
      </c>
    </row>
    <row r="1208" spans="1:6" x14ac:dyDescent="0.25">
      <c r="A1208" t="s">
        <v>4200</v>
      </c>
      <c r="B1208" t="s">
        <v>1765</v>
      </c>
      <c r="C1208" t="s">
        <v>978</v>
      </c>
      <c r="D1208" t="str">
        <f>HYPERLINK("http://service.sap.com/sap/support/notes/600688","600688")</f>
        <v>600688</v>
      </c>
      <c r="E1208">
        <v>7</v>
      </c>
      <c r="F1208" t="s">
        <v>1766</v>
      </c>
    </row>
    <row r="1209" spans="1:6" x14ac:dyDescent="0.25">
      <c r="A1209" t="s">
        <v>4200</v>
      </c>
      <c r="B1209" t="s">
        <v>1767</v>
      </c>
      <c r="C1209" t="s">
        <v>1768</v>
      </c>
      <c r="D1209" t="str">
        <f>HYPERLINK("http://service.sap.com/sap/support/notes/1763271","1763271")</f>
        <v>1763271</v>
      </c>
      <c r="E1209">
        <v>1</v>
      </c>
      <c r="F1209" t="s">
        <v>1769</v>
      </c>
    </row>
    <row r="1210" spans="1:6" x14ac:dyDescent="0.25">
      <c r="A1210" t="s">
        <v>4200</v>
      </c>
      <c r="B1210" t="s">
        <v>1770</v>
      </c>
      <c r="C1210" t="s">
        <v>1771</v>
      </c>
      <c r="D1210" t="str">
        <f>HYPERLINK("http://service.sap.com/sap/support/notes/1726469","1726469")</f>
        <v>1726469</v>
      </c>
      <c r="E1210">
        <v>3</v>
      </c>
      <c r="F1210" t="s">
        <v>1772</v>
      </c>
    </row>
    <row r="1211" spans="1:6" x14ac:dyDescent="0.25">
      <c r="A1211" t="s">
        <v>4200</v>
      </c>
      <c r="B1211" t="s">
        <v>1770</v>
      </c>
      <c r="C1211" t="s">
        <v>1771</v>
      </c>
      <c r="D1211" t="str">
        <f>HYPERLINK("http://service.sap.com/sap/support/notes/1748823","1748823")</f>
        <v>1748823</v>
      </c>
      <c r="E1211">
        <v>1</v>
      </c>
      <c r="F1211" t="s">
        <v>1773</v>
      </c>
    </row>
    <row r="1212" spans="1:6" x14ac:dyDescent="0.25">
      <c r="A1212" t="s">
        <v>4200</v>
      </c>
      <c r="B1212" t="s">
        <v>1774</v>
      </c>
      <c r="C1212" t="s">
        <v>1775</v>
      </c>
      <c r="D1212" t="str">
        <f>HYPERLINK("http://service.sap.com/sap/support/notes/1745537","1745537")</f>
        <v>1745537</v>
      </c>
      <c r="E1212">
        <v>1</v>
      </c>
      <c r="F1212" t="s">
        <v>1776</v>
      </c>
    </row>
    <row r="1213" spans="1:6" x14ac:dyDescent="0.25">
      <c r="A1213" t="s">
        <v>4200</v>
      </c>
      <c r="B1213" t="s">
        <v>1774</v>
      </c>
      <c r="C1213" t="s">
        <v>1775</v>
      </c>
      <c r="D1213" t="str">
        <f>HYPERLINK("http://service.sap.com/sap/support/notes/1766144","1766144")</f>
        <v>1766144</v>
      </c>
      <c r="E1213">
        <v>1</v>
      </c>
      <c r="F1213" t="s">
        <v>1777</v>
      </c>
    </row>
    <row r="1214" spans="1:6" x14ac:dyDescent="0.25">
      <c r="A1214" t="s">
        <v>4200</v>
      </c>
      <c r="B1214" t="s">
        <v>1778</v>
      </c>
      <c r="C1214" t="s">
        <v>1779</v>
      </c>
      <c r="D1214" t="str">
        <f>HYPERLINK("http://service.sap.com/sap/support/notes/1745667","1745667")</f>
        <v>1745667</v>
      </c>
      <c r="E1214">
        <v>1</v>
      </c>
      <c r="F1214" t="s">
        <v>1780</v>
      </c>
    </row>
    <row r="1215" spans="1:6" x14ac:dyDescent="0.25">
      <c r="A1215" t="s">
        <v>4200</v>
      </c>
      <c r="B1215" t="s">
        <v>1781</v>
      </c>
      <c r="C1215" t="s">
        <v>151</v>
      </c>
      <c r="D1215" t="str">
        <f>HYPERLINK("http://service.sap.com/sap/support/notes/1720903","1720903")</f>
        <v>1720903</v>
      </c>
      <c r="E1215">
        <v>3</v>
      </c>
      <c r="F1215" t="s">
        <v>1782</v>
      </c>
    </row>
    <row r="1216" spans="1:6" x14ac:dyDescent="0.25">
      <c r="A1216" t="s">
        <v>4200</v>
      </c>
      <c r="B1216" t="s">
        <v>1783</v>
      </c>
      <c r="C1216" t="s">
        <v>1784</v>
      </c>
      <c r="D1216" t="str">
        <f>HYPERLINK("http://service.sap.com/sap/support/notes/1737080","1737080")</f>
        <v>1737080</v>
      </c>
      <c r="E1216">
        <v>2</v>
      </c>
      <c r="F1216" t="s">
        <v>1785</v>
      </c>
    </row>
    <row r="1217" spans="1:6" x14ac:dyDescent="0.25">
      <c r="A1217" t="s">
        <v>4200</v>
      </c>
      <c r="B1217" t="s">
        <v>1786</v>
      </c>
      <c r="C1217" t="s">
        <v>29</v>
      </c>
      <c r="D1217" t="str">
        <f>HYPERLINK("http://service.sap.com/sap/support/notes/1715816","1715816")</f>
        <v>1715816</v>
      </c>
      <c r="E1217">
        <v>3</v>
      </c>
      <c r="F1217" t="s">
        <v>1787</v>
      </c>
    </row>
    <row r="1218" spans="1:6" x14ac:dyDescent="0.25">
      <c r="A1218" t="s">
        <v>4200</v>
      </c>
      <c r="B1218" t="s">
        <v>1786</v>
      </c>
      <c r="C1218" t="s">
        <v>29</v>
      </c>
      <c r="D1218" t="str">
        <f>HYPERLINK("http://service.sap.com/sap/support/notes/1754138","1754138")</f>
        <v>1754138</v>
      </c>
      <c r="E1218">
        <v>3</v>
      </c>
      <c r="F1218" t="s">
        <v>1788</v>
      </c>
    </row>
    <row r="1219" spans="1:6" x14ac:dyDescent="0.25">
      <c r="A1219" t="s">
        <v>4200</v>
      </c>
      <c r="B1219" t="s">
        <v>1789</v>
      </c>
      <c r="C1219" t="s">
        <v>1790</v>
      </c>
      <c r="D1219" t="str">
        <f>HYPERLINK("http://service.sap.com/sap/support/notes/1713532","1713532")</f>
        <v>1713532</v>
      </c>
      <c r="E1219">
        <v>3</v>
      </c>
      <c r="F1219" t="s">
        <v>1791</v>
      </c>
    </row>
    <row r="1220" spans="1:6" x14ac:dyDescent="0.25">
      <c r="A1220" t="s">
        <v>4200</v>
      </c>
      <c r="B1220" t="s">
        <v>1789</v>
      </c>
      <c r="C1220" t="s">
        <v>1790</v>
      </c>
      <c r="D1220" t="str">
        <f>HYPERLINK("http://service.sap.com/sap/support/notes/1722841","1722841")</f>
        <v>1722841</v>
      </c>
      <c r="E1220">
        <v>3</v>
      </c>
      <c r="F1220" t="s">
        <v>1792</v>
      </c>
    </row>
    <row r="1221" spans="1:6" x14ac:dyDescent="0.25">
      <c r="A1221" t="s">
        <v>4200</v>
      </c>
      <c r="B1221" t="s">
        <v>1789</v>
      </c>
      <c r="C1221" t="s">
        <v>1790</v>
      </c>
      <c r="D1221" t="str">
        <f>HYPERLINK("http://service.sap.com/sap/support/notes/1725044","1725044")</f>
        <v>1725044</v>
      </c>
      <c r="E1221">
        <v>5</v>
      </c>
      <c r="F1221" t="s">
        <v>1793</v>
      </c>
    </row>
    <row r="1222" spans="1:6" x14ac:dyDescent="0.25">
      <c r="A1222" t="s">
        <v>4200</v>
      </c>
      <c r="B1222" t="s">
        <v>1789</v>
      </c>
      <c r="C1222" t="s">
        <v>1790</v>
      </c>
      <c r="D1222" t="str">
        <f>HYPERLINK("http://service.sap.com/sap/support/notes/1740094","1740094")</f>
        <v>1740094</v>
      </c>
      <c r="E1222">
        <v>1</v>
      </c>
      <c r="F1222" t="s">
        <v>1794</v>
      </c>
    </row>
    <row r="1223" spans="1:6" x14ac:dyDescent="0.25">
      <c r="A1223" t="s">
        <v>4200</v>
      </c>
      <c r="B1223" t="s">
        <v>1789</v>
      </c>
      <c r="C1223" t="s">
        <v>1790</v>
      </c>
      <c r="D1223" t="str">
        <f>HYPERLINK("http://service.sap.com/sap/support/notes/1740588","1740588")</f>
        <v>1740588</v>
      </c>
      <c r="E1223">
        <v>3</v>
      </c>
      <c r="F1223" t="s">
        <v>1795</v>
      </c>
    </row>
    <row r="1224" spans="1:6" x14ac:dyDescent="0.25">
      <c r="A1224" t="s">
        <v>4200</v>
      </c>
      <c r="B1224" t="s">
        <v>1789</v>
      </c>
      <c r="C1224" t="s">
        <v>1790</v>
      </c>
      <c r="D1224" t="str">
        <f>HYPERLINK("http://service.sap.com/sap/support/notes/1745727","1745727")</f>
        <v>1745727</v>
      </c>
      <c r="E1224">
        <v>2</v>
      </c>
      <c r="F1224" t="s">
        <v>1796</v>
      </c>
    </row>
    <row r="1225" spans="1:6" x14ac:dyDescent="0.25">
      <c r="A1225" t="s">
        <v>4200</v>
      </c>
      <c r="B1225" t="s">
        <v>1789</v>
      </c>
      <c r="C1225" t="s">
        <v>1790</v>
      </c>
      <c r="D1225" t="str">
        <f>HYPERLINK("http://service.sap.com/sap/support/notes/1754201","1754201")</f>
        <v>1754201</v>
      </c>
      <c r="E1225">
        <v>1</v>
      </c>
      <c r="F1225" t="s">
        <v>1797</v>
      </c>
    </row>
    <row r="1226" spans="1:6" x14ac:dyDescent="0.25">
      <c r="A1226" t="s">
        <v>4200</v>
      </c>
      <c r="B1226" t="s">
        <v>1798</v>
      </c>
      <c r="C1226" t="s">
        <v>1799</v>
      </c>
      <c r="D1226" t="str">
        <f>HYPERLINK("http://service.sap.com/sap/support/notes/1737612","1737612")</f>
        <v>1737612</v>
      </c>
      <c r="E1226">
        <v>1</v>
      </c>
      <c r="F1226" t="s">
        <v>1800</v>
      </c>
    </row>
    <row r="1227" spans="1:6" x14ac:dyDescent="0.25">
      <c r="A1227" t="s">
        <v>4200</v>
      </c>
      <c r="B1227" t="s">
        <v>1801</v>
      </c>
      <c r="C1227" t="s">
        <v>1802</v>
      </c>
      <c r="D1227" t="str">
        <f>HYPERLINK("http://service.sap.com/sap/support/notes/1746325","1746325")</f>
        <v>1746325</v>
      </c>
      <c r="E1227">
        <v>1</v>
      </c>
      <c r="F1227" t="s">
        <v>1803</v>
      </c>
    </row>
    <row r="1228" spans="1:6" x14ac:dyDescent="0.25">
      <c r="A1228" t="s">
        <v>4200</v>
      </c>
      <c r="B1228" t="s">
        <v>1804</v>
      </c>
      <c r="C1228" t="s">
        <v>1805</v>
      </c>
      <c r="D1228" t="str">
        <f>HYPERLINK("http://service.sap.com/sap/support/notes/1753294","1753294")</f>
        <v>1753294</v>
      </c>
      <c r="E1228">
        <v>2</v>
      </c>
      <c r="F1228" t="s">
        <v>1806</v>
      </c>
    </row>
    <row r="1229" spans="1:6" x14ac:dyDescent="0.25">
      <c r="A1229" t="s">
        <v>4200</v>
      </c>
      <c r="B1229" t="s">
        <v>61</v>
      </c>
      <c r="C1229" t="s">
        <v>62</v>
      </c>
    </row>
    <row r="1230" spans="1:6" x14ac:dyDescent="0.25">
      <c r="A1230" t="s">
        <v>4200</v>
      </c>
      <c r="B1230" t="s">
        <v>1807</v>
      </c>
      <c r="C1230" t="s">
        <v>1808</v>
      </c>
      <c r="D1230" t="str">
        <f>HYPERLINK("http://service.sap.com/sap/support/notes/1723381","1723381")</f>
        <v>1723381</v>
      </c>
      <c r="E1230">
        <v>3</v>
      </c>
      <c r="F1230" t="s">
        <v>1809</v>
      </c>
    </row>
    <row r="1231" spans="1:6" x14ac:dyDescent="0.25">
      <c r="A1231" t="s">
        <v>4200</v>
      </c>
      <c r="B1231" t="s">
        <v>1807</v>
      </c>
      <c r="C1231" t="s">
        <v>1808</v>
      </c>
      <c r="D1231" t="str">
        <f>HYPERLINK("http://service.sap.com/sap/support/notes/1726209","1726209")</f>
        <v>1726209</v>
      </c>
      <c r="E1231">
        <v>2</v>
      </c>
      <c r="F1231" t="s">
        <v>1810</v>
      </c>
    </row>
    <row r="1232" spans="1:6" x14ac:dyDescent="0.25">
      <c r="A1232" t="s">
        <v>4200</v>
      </c>
      <c r="B1232" t="s">
        <v>1807</v>
      </c>
      <c r="C1232" t="s">
        <v>1808</v>
      </c>
      <c r="D1232" t="str">
        <f>HYPERLINK("http://service.sap.com/sap/support/notes/1727732","1727732")</f>
        <v>1727732</v>
      </c>
      <c r="E1232">
        <v>2</v>
      </c>
      <c r="F1232" t="s">
        <v>1811</v>
      </c>
    </row>
    <row r="1233" spans="1:6" x14ac:dyDescent="0.25">
      <c r="A1233" t="s">
        <v>4200</v>
      </c>
      <c r="B1233" t="s">
        <v>1807</v>
      </c>
      <c r="C1233" t="s">
        <v>1808</v>
      </c>
      <c r="D1233" t="str">
        <f>HYPERLINK("http://service.sap.com/sap/support/notes/1732111","1732111")</f>
        <v>1732111</v>
      </c>
      <c r="E1233">
        <v>3</v>
      </c>
      <c r="F1233" t="s">
        <v>1812</v>
      </c>
    </row>
    <row r="1234" spans="1:6" x14ac:dyDescent="0.25">
      <c r="A1234" t="s">
        <v>4200</v>
      </c>
      <c r="B1234" t="s">
        <v>1807</v>
      </c>
      <c r="C1234" t="s">
        <v>1808</v>
      </c>
      <c r="D1234" t="str">
        <f>HYPERLINK("http://service.sap.com/sap/support/notes/1732614","1732614")</f>
        <v>1732614</v>
      </c>
      <c r="E1234">
        <v>2</v>
      </c>
      <c r="F1234" t="s">
        <v>1813</v>
      </c>
    </row>
    <row r="1235" spans="1:6" x14ac:dyDescent="0.25">
      <c r="A1235" t="s">
        <v>4200</v>
      </c>
      <c r="B1235" t="s">
        <v>1807</v>
      </c>
      <c r="C1235" t="s">
        <v>1808</v>
      </c>
      <c r="D1235" t="str">
        <f>HYPERLINK("http://service.sap.com/sap/support/notes/1733484","1733484")</f>
        <v>1733484</v>
      </c>
      <c r="E1235">
        <v>2</v>
      </c>
      <c r="F1235" t="s">
        <v>1814</v>
      </c>
    </row>
    <row r="1236" spans="1:6" x14ac:dyDescent="0.25">
      <c r="A1236" t="s">
        <v>4200</v>
      </c>
      <c r="B1236" t="s">
        <v>1807</v>
      </c>
      <c r="C1236" t="s">
        <v>1808</v>
      </c>
      <c r="D1236" t="str">
        <f>HYPERLINK("http://service.sap.com/sap/support/notes/1734968","1734968")</f>
        <v>1734968</v>
      </c>
      <c r="E1236">
        <v>1</v>
      </c>
      <c r="F1236" t="s">
        <v>1815</v>
      </c>
    </row>
    <row r="1237" spans="1:6" x14ac:dyDescent="0.25">
      <c r="A1237" t="s">
        <v>4200</v>
      </c>
      <c r="B1237" t="s">
        <v>1807</v>
      </c>
      <c r="C1237" t="s">
        <v>1808</v>
      </c>
      <c r="D1237" t="str">
        <f>HYPERLINK("http://service.sap.com/sap/support/notes/1737767","1737767")</f>
        <v>1737767</v>
      </c>
      <c r="E1237">
        <v>2</v>
      </c>
      <c r="F1237" t="s">
        <v>1816</v>
      </c>
    </row>
    <row r="1238" spans="1:6" x14ac:dyDescent="0.25">
      <c r="A1238" t="s">
        <v>4200</v>
      </c>
      <c r="B1238" t="s">
        <v>1807</v>
      </c>
      <c r="C1238" t="s">
        <v>1808</v>
      </c>
      <c r="D1238" t="str">
        <f>HYPERLINK("http://service.sap.com/sap/support/notes/1740955","1740955")</f>
        <v>1740955</v>
      </c>
      <c r="E1238">
        <v>2</v>
      </c>
      <c r="F1238" t="s">
        <v>1817</v>
      </c>
    </row>
    <row r="1239" spans="1:6" x14ac:dyDescent="0.25">
      <c r="A1239" t="s">
        <v>4200</v>
      </c>
      <c r="B1239" t="s">
        <v>1807</v>
      </c>
      <c r="C1239" t="s">
        <v>1808</v>
      </c>
      <c r="D1239" t="str">
        <f>HYPERLINK("http://service.sap.com/sap/support/notes/1742050","1742050")</f>
        <v>1742050</v>
      </c>
      <c r="E1239">
        <v>3</v>
      </c>
      <c r="F1239" t="s">
        <v>1818</v>
      </c>
    </row>
    <row r="1240" spans="1:6" x14ac:dyDescent="0.25">
      <c r="A1240" t="s">
        <v>4200</v>
      </c>
      <c r="B1240" t="s">
        <v>1807</v>
      </c>
      <c r="C1240" t="s">
        <v>1808</v>
      </c>
      <c r="D1240" t="str">
        <f>HYPERLINK("http://service.sap.com/sap/support/notes/1744805","1744805")</f>
        <v>1744805</v>
      </c>
      <c r="E1240">
        <v>1</v>
      </c>
      <c r="F1240" t="s">
        <v>1819</v>
      </c>
    </row>
    <row r="1241" spans="1:6" x14ac:dyDescent="0.25">
      <c r="A1241" t="s">
        <v>4200</v>
      </c>
      <c r="B1241" t="s">
        <v>1807</v>
      </c>
      <c r="C1241" t="s">
        <v>1808</v>
      </c>
      <c r="D1241" t="str">
        <f>HYPERLINK("http://service.sap.com/sap/support/notes/1745011","1745011")</f>
        <v>1745011</v>
      </c>
      <c r="E1241">
        <v>1</v>
      </c>
      <c r="F1241" t="s">
        <v>1820</v>
      </c>
    </row>
    <row r="1242" spans="1:6" x14ac:dyDescent="0.25">
      <c r="A1242" t="s">
        <v>4200</v>
      </c>
      <c r="B1242" t="s">
        <v>1807</v>
      </c>
      <c r="C1242" t="s">
        <v>1808</v>
      </c>
      <c r="D1242" t="str">
        <f>HYPERLINK("http://service.sap.com/sap/support/notes/1745644","1745644")</f>
        <v>1745644</v>
      </c>
      <c r="E1242">
        <v>1</v>
      </c>
      <c r="F1242" t="s">
        <v>1821</v>
      </c>
    </row>
    <row r="1243" spans="1:6" x14ac:dyDescent="0.25">
      <c r="A1243" t="s">
        <v>4200</v>
      </c>
      <c r="B1243" t="s">
        <v>1807</v>
      </c>
      <c r="C1243" t="s">
        <v>1808</v>
      </c>
      <c r="D1243" t="str">
        <f>HYPERLINK("http://service.sap.com/sap/support/notes/1745719","1745719")</f>
        <v>1745719</v>
      </c>
      <c r="E1243">
        <v>2</v>
      </c>
      <c r="F1243" t="s">
        <v>1822</v>
      </c>
    </row>
    <row r="1244" spans="1:6" x14ac:dyDescent="0.25">
      <c r="A1244" t="s">
        <v>4200</v>
      </c>
      <c r="B1244" t="s">
        <v>1807</v>
      </c>
      <c r="C1244" t="s">
        <v>1808</v>
      </c>
      <c r="D1244" t="str">
        <f>HYPERLINK("http://service.sap.com/sap/support/notes/1746312","1746312")</f>
        <v>1746312</v>
      </c>
      <c r="E1244">
        <v>1</v>
      </c>
      <c r="F1244" t="s">
        <v>1823</v>
      </c>
    </row>
    <row r="1245" spans="1:6" x14ac:dyDescent="0.25">
      <c r="A1245" t="s">
        <v>4200</v>
      </c>
      <c r="B1245" t="s">
        <v>1807</v>
      </c>
      <c r="C1245" t="s">
        <v>1808</v>
      </c>
      <c r="D1245" t="str">
        <f>HYPERLINK("http://service.sap.com/sap/support/notes/1749550","1749550")</f>
        <v>1749550</v>
      </c>
      <c r="E1245">
        <v>1</v>
      </c>
      <c r="F1245" t="s">
        <v>1824</v>
      </c>
    </row>
    <row r="1246" spans="1:6" x14ac:dyDescent="0.25">
      <c r="A1246" t="s">
        <v>4200</v>
      </c>
      <c r="B1246" t="s">
        <v>1807</v>
      </c>
      <c r="C1246" t="s">
        <v>1808</v>
      </c>
      <c r="D1246" t="str">
        <f>HYPERLINK("http://service.sap.com/sap/support/notes/1749926","1749926")</f>
        <v>1749926</v>
      </c>
      <c r="E1246">
        <v>2</v>
      </c>
      <c r="F1246" t="s">
        <v>1825</v>
      </c>
    </row>
    <row r="1247" spans="1:6" x14ac:dyDescent="0.25">
      <c r="A1247" t="s">
        <v>4200</v>
      </c>
      <c r="B1247" t="s">
        <v>1807</v>
      </c>
      <c r="C1247" t="s">
        <v>1808</v>
      </c>
      <c r="D1247" t="str">
        <f>HYPERLINK("http://service.sap.com/sap/support/notes/1751006","1751006")</f>
        <v>1751006</v>
      </c>
      <c r="E1247">
        <v>2</v>
      </c>
      <c r="F1247" t="s">
        <v>1826</v>
      </c>
    </row>
    <row r="1248" spans="1:6" x14ac:dyDescent="0.25">
      <c r="A1248" t="s">
        <v>4200</v>
      </c>
      <c r="B1248" t="s">
        <v>1807</v>
      </c>
      <c r="C1248" t="s">
        <v>1808</v>
      </c>
      <c r="D1248" t="str">
        <f>HYPERLINK("http://service.sap.com/sap/support/notes/1751353","1751353")</f>
        <v>1751353</v>
      </c>
      <c r="E1248">
        <v>2</v>
      </c>
      <c r="F1248" t="s">
        <v>1827</v>
      </c>
    </row>
    <row r="1249" spans="1:6" x14ac:dyDescent="0.25">
      <c r="A1249" t="s">
        <v>4200</v>
      </c>
      <c r="B1249" t="s">
        <v>1807</v>
      </c>
      <c r="C1249" t="s">
        <v>1808</v>
      </c>
      <c r="D1249" t="str">
        <f>HYPERLINK("http://service.sap.com/sap/support/notes/1752373","1752373")</f>
        <v>1752373</v>
      </c>
      <c r="E1249">
        <v>1</v>
      </c>
      <c r="F1249" t="s">
        <v>1828</v>
      </c>
    </row>
    <row r="1250" spans="1:6" x14ac:dyDescent="0.25">
      <c r="A1250" t="s">
        <v>4200</v>
      </c>
      <c r="B1250" t="s">
        <v>1807</v>
      </c>
      <c r="C1250" t="s">
        <v>1808</v>
      </c>
      <c r="D1250" t="str">
        <f>HYPERLINK("http://service.sap.com/sap/support/notes/1752443","1752443")</f>
        <v>1752443</v>
      </c>
      <c r="E1250">
        <v>2</v>
      </c>
      <c r="F1250" t="s">
        <v>1829</v>
      </c>
    </row>
    <row r="1251" spans="1:6" x14ac:dyDescent="0.25">
      <c r="A1251" t="s">
        <v>4200</v>
      </c>
      <c r="B1251" t="s">
        <v>1807</v>
      </c>
      <c r="C1251" t="s">
        <v>1808</v>
      </c>
      <c r="D1251" t="str">
        <f>HYPERLINK("http://service.sap.com/sap/support/notes/1753482","1753482")</f>
        <v>1753482</v>
      </c>
      <c r="E1251">
        <v>2</v>
      </c>
      <c r="F1251" t="s">
        <v>1830</v>
      </c>
    </row>
    <row r="1252" spans="1:6" x14ac:dyDescent="0.25">
      <c r="A1252" t="s">
        <v>4200</v>
      </c>
      <c r="B1252" t="s">
        <v>1807</v>
      </c>
      <c r="C1252" t="s">
        <v>1808</v>
      </c>
      <c r="D1252" t="str">
        <f>HYPERLINK("http://service.sap.com/sap/support/notes/1755298","1755298")</f>
        <v>1755298</v>
      </c>
      <c r="E1252">
        <v>2</v>
      </c>
      <c r="F1252" t="s">
        <v>1831</v>
      </c>
    </row>
    <row r="1253" spans="1:6" x14ac:dyDescent="0.25">
      <c r="A1253" t="s">
        <v>4200</v>
      </c>
      <c r="B1253" t="s">
        <v>1807</v>
      </c>
      <c r="C1253" t="s">
        <v>1808</v>
      </c>
      <c r="D1253" t="str">
        <f>HYPERLINK("http://service.sap.com/sap/support/notes/1755443","1755443")</f>
        <v>1755443</v>
      </c>
      <c r="E1253">
        <v>5</v>
      </c>
      <c r="F1253" t="s">
        <v>1832</v>
      </c>
    </row>
    <row r="1254" spans="1:6" x14ac:dyDescent="0.25">
      <c r="A1254" t="s">
        <v>4200</v>
      </c>
      <c r="B1254" t="s">
        <v>1807</v>
      </c>
      <c r="C1254" t="s">
        <v>1808</v>
      </c>
      <c r="D1254" t="str">
        <f>HYPERLINK("http://service.sap.com/sap/support/notes/1755760","1755760")</f>
        <v>1755760</v>
      </c>
      <c r="E1254">
        <v>3</v>
      </c>
      <c r="F1254" t="s">
        <v>1833</v>
      </c>
    </row>
    <row r="1255" spans="1:6" x14ac:dyDescent="0.25">
      <c r="A1255" t="s">
        <v>4200</v>
      </c>
      <c r="B1255" t="s">
        <v>1807</v>
      </c>
      <c r="C1255" t="s">
        <v>1808</v>
      </c>
      <c r="D1255" t="str">
        <f>HYPERLINK("http://service.sap.com/sap/support/notes/1756038","1756038")</f>
        <v>1756038</v>
      </c>
      <c r="E1255">
        <v>2</v>
      </c>
      <c r="F1255" t="s">
        <v>1834</v>
      </c>
    </row>
    <row r="1256" spans="1:6" x14ac:dyDescent="0.25">
      <c r="A1256" t="s">
        <v>4200</v>
      </c>
      <c r="B1256" t="s">
        <v>1807</v>
      </c>
      <c r="C1256" t="s">
        <v>1808</v>
      </c>
      <c r="D1256" t="str">
        <f>HYPERLINK("http://service.sap.com/sap/support/notes/1757153","1757153")</f>
        <v>1757153</v>
      </c>
      <c r="E1256">
        <v>1</v>
      </c>
      <c r="F1256" t="s">
        <v>1835</v>
      </c>
    </row>
    <row r="1257" spans="1:6" x14ac:dyDescent="0.25">
      <c r="A1257" t="s">
        <v>4200</v>
      </c>
      <c r="B1257" t="s">
        <v>1807</v>
      </c>
      <c r="C1257" t="s">
        <v>1808</v>
      </c>
      <c r="D1257" t="str">
        <f>HYPERLINK("http://service.sap.com/sap/support/notes/1759333","1759333")</f>
        <v>1759333</v>
      </c>
      <c r="E1257">
        <v>1</v>
      </c>
      <c r="F1257" t="s">
        <v>1836</v>
      </c>
    </row>
    <row r="1258" spans="1:6" x14ac:dyDescent="0.25">
      <c r="A1258" t="s">
        <v>4200</v>
      </c>
      <c r="B1258" t="s">
        <v>1807</v>
      </c>
      <c r="C1258" t="s">
        <v>1808</v>
      </c>
      <c r="D1258" t="str">
        <f>HYPERLINK("http://service.sap.com/sap/support/notes/1760206","1760206")</f>
        <v>1760206</v>
      </c>
      <c r="E1258">
        <v>3</v>
      </c>
      <c r="F1258" t="s">
        <v>1837</v>
      </c>
    </row>
    <row r="1259" spans="1:6" x14ac:dyDescent="0.25">
      <c r="A1259" t="s">
        <v>4200</v>
      </c>
      <c r="B1259" t="s">
        <v>1807</v>
      </c>
      <c r="C1259" t="s">
        <v>1808</v>
      </c>
      <c r="D1259" t="str">
        <f>HYPERLINK("http://service.sap.com/sap/support/notes/1761001","1761001")</f>
        <v>1761001</v>
      </c>
      <c r="E1259">
        <v>2</v>
      </c>
      <c r="F1259" t="s">
        <v>1838</v>
      </c>
    </row>
    <row r="1260" spans="1:6" x14ac:dyDescent="0.25">
      <c r="A1260" t="s">
        <v>4200</v>
      </c>
      <c r="B1260" t="s">
        <v>1807</v>
      </c>
      <c r="C1260" t="s">
        <v>1808</v>
      </c>
      <c r="D1260" t="str">
        <f>HYPERLINK("http://service.sap.com/sap/support/notes/1762085","1762085")</f>
        <v>1762085</v>
      </c>
      <c r="E1260">
        <v>1</v>
      </c>
      <c r="F1260" t="s">
        <v>1839</v>
      </c>
    </row>
    <row r="1261" spans="1:6" x14ac:dyDescent="0.25">
      <c r="A1261" t="s">
        <v>4200</v>
      </c>
      <c r="B1261" t="s">
        <v>1807</v>
      </c>
      <c r="C1261" t="s">
        <v>1808</v>
      </c>
      <c r="D1261" t="str">
        <f>HYPERLINK("http://service.sap.com/sap/support/notes/1762190","1762190")</f>
        <v>1762190</v>
      </c>
      <c r="E1261">
        <v>2</v>
      </c>
      <c r="F1261" t="s">
        <v>1840</v>
      </c>
    </row>
    <row r="1262" spans="1:6" x14ac:dyDescent="0.25">
      <c r="A1262" t="s">
        <v>4200</v>
      </c>
      <c r="B1262" t="s">
        <v>1807</v>
      </c>
      <c r="C1262" t="s">
        <v>1808</v>
      </c>
      <c r="D1262" t="str">
        <f>HYPERLINK("http://service.sap.com/sap/support/notes/1762985","1762985")</f>
        <v>1762985</v>
      </c>
      <c r="E1262">
        <v>1</v>
      </c>
      <c r="F1262" t="s">
        <v>1841</v>
      </c>
    </row>
    <row r="1263" spans="1:6" x14ac:dyDescent="0.25">
      <c r="A1263" t="s">
        <v>4200</v>
      </c>
      <c r="B1263" t="s">
        <v>1807</v>
      </c>
      <c r="C1263" t="s">
        <v>1808</v>
      </c>
      <c r="D1263" t="str">
        <f>HYPERLINK("http://service.sap.com/sap/support/notes/1763297","1763297")</f>
        <v>1763297</v>
      </c>
      <c r="E1263">
        <v>4</v>
      </c>
      <c r="F1263" t="s">
        <v>1842</v>
      </c>
    </row>
    <row r="1264" spans="1:6" x14ac:dyDescent="0.25">
      <c r="A1264" t="s">
        <v>4200</v>
      </c>
      <c r="B1264" t="s">
        <v>1807</v>
      </c>
      <c r="C1264" t="s">
        <v>1808</v>
      </c>
      <c r="D1264" t="str">
        <f>HYPERLINK("http://service.sap.com/sap/support/notes/1770777","1770777")</f>
        <v>1770777</v>
      </c>
      <c r="E1264">
        <v>1</v>
      </c>
      <c r="F1264" t="s">
        <v>1843</v>
      </c>
    </row>
    <row r="1265" spans="1:6" x14ac:dyDescent="0.25">
      <c r="A1265" t="s">
        <v>4200</v>
      </c>
      <c r="B1265" t="s">
        <v>1844</v>
      </c>
      <c r="C1265" t="s">
        <v>1845</v>
      </c>
      <c r="D1265" t="str">
        <f>HYPERLINK("http://service.sap.com/sap/support/notes/1742353","1742353")</f>
        <v>1742353</v>
      </c>
      <c r="E1265">
        <v>2</v>
      </c>
      <c r="F1265" t="s">
        <v>1846</v>
      </c>
    </row>
    <row r="1266" spans="1:6" x14ac:dyDescent="0.25">
      <c r="A1266" t="s">
        <v>4200</v>
      </c>
      <c r="B1266" t="s">
        <v>1844</v>
      </c>
      <c r="C1266" t="s">
        <v>1845</v>
      </c>
      <c r="D1266" t="str">
        <f>HYPERLINK("http://service.sap.com/sap/support/notes/1757505","1757505")</f>
        <v>1757505</v>
      </c>
      <c r="E1266">
        <v>2</v>
      </c>
      <c r="F1266" t="s">
        <v>1847</v>
      </c>
    </row>
    <row r="1267" spans="1:6" x14ac:dyDescent="0.25">
      <c r="A1267" t="s">
        <v>4200</v>
      </c>
      <c r="B1267" t="s">
        <v>1844</v>
      </c>
      <c r="C1267" t="s">
        <v>1845</v>
      </c>
      <c r="D1267" t="str">
        <f>HYPERLINK("http://service.sap.com/sap/support/notes/1758008","1758008")</f>
        <v>1758008</v>
      </c>
      <c r="E1267">
        <v>2</v>
      </c>
      <c r="F1267" t="s">
        <v>1848</v>
      </c>
    </row>
    <row r="1268" spans="1:6" x14ac:dyDescent="0.25">
      <c r="A1268" t="s">
        <v>4200</v>
      </c>
      <c r="B1268" t="s">
        <v>1844</v>
      </c>
      <c r="C1268" t="s">
        <v>1845</v>
      </c>
      <c r="D1268" t="str">
        <f>HYPERLINK("http://service.sap.com/sap/support/notes/1766133","1766133")</f>
        <v>1766133</v>
      </c>
      <c r="E1268">
        <v>2</v>
      </c>
      <c r="F1268" t="s">
        <v>1849</v>
      </c>
    </row>
    <row r="1269" spans="1:6" x14ac:dyDescent="0.25">
      <c r="A1269" t="s">
        <v>4200</v>
      </c>
      <c r="B1269" t="s">
        <v>1850</v>
      </c>
      <c r="C1269" t="s">
        <v>1851</v>
      </c>
      <c r="D1269" t="str">
        <f>HYPERLINK("http://service.sap.com/sap/support/notes/1722973","1722973")</f>
        <v>1722973</v>
      </c>
      <c r="E1269">
        <v>4</v>
      </c>
      <c r="F1269" t="s">
        <v>1852</v>
      </c>
    </row>
    <row r="1270" spans="1:6" x14ac:dyDescent="0.25">
      <c r="A1270" t="s">
        <v>4200</v>
      </c>
      <c r="B1270" t="s">
        <v>1850</v>
      </c>
      <c r="C1270" t="s">
        <v>1851</v>
      </c>
      <c r="D1270" t="str">
        <f>HYPERLINK("http://service.sap.com/sap/support/notes/1734592","1734592")</f>
        <v>1734592</v>
      </c>
      <c r="E1270">
        <v>2</v>
      </c>
      <c r="F1270" t="s">
        <v>1853</v>
      </c>
    </row>
    <row r="1271" spans="1:6" x14ac:dyDescent="0.25">
      <c r="A1271" t="s">
        <v>4200</v>
      </c>
      <c r="B1271" t="s">
        <v>1850</v>
      </c>
      <c r="C1271" t="s">
        <v>1851</v>
      </c>
      <c r="D1271" t="str">
        <f>HYPERLINK("http://service.sap.com/sap/support/notes/1741835","1741835")</f>
        <v>1741835</v>
      </c>
      <c r="E1271">
        <v>1</v>
      </c>
      <c r="F1271" t="s">
        <v>1854</v>
      </c>
    </row>
    <row r="1272" spans="1:6" x14ac:dyDescent="0.25">
      <c r="A1272" t="s">
        <v>4200</v>
      </c>
      <c r="B1272" t="s">
        <v>1850</v>
      </c>
      <c r="C1272" t="s">
        <v>1851</v>
      </c>
      <c r="D1272" t="str">
        <f>HYPERLINK("http://service.sap.com/sap/support/notes/1756726","1756726")</f>
        <v>1756726</v>
      </c>
      <c r="E1272">
        <v>4</v>
      </c>
      <c r="F1272" t="s">
        <v>1855</v>
      </c>
    </row>
    <row r="1273" spans="1:6" x14ac:dyDescent="0.25">
      <c r="A1273" t="s">
        <v>4200</v>
      </c>
      <c r="B1273" t="s">
        <v>1856</v>
      </c>
      <c r="C1273" t="s">
        <v>1857</v>
      </c>
      <c r="D1273" t="str">
        <f>HYPERLINK("http://service.sap.com/sap/support/notes/1654553","1654553")</f>
        <v>1654553</v>
      </c>
      <c r="E1273">
        <v>3</v>
      </c>
      <c r="F1273" t="s">
        <v>1858</v>
      </c>
    </row>
    <row r="1274" spans="1:6" x14ac:dyDescent="0.25">
      <c r="A1274" t="s">
        <v>4200</v>
      </c>
      <c r="B1274" t="s">
        <v>1856</v>
      </c>
      <c r="C1274" t="s">
        <v>1857</v>
      </c>
      <c r="D1274" t="str">
        <f>HYPERLINK("http://service.sap.com/sap/support/notes/1665676","1665676")</f>
        <v>1665676</v>
      </c>
      <c r="E1274">
        <v>3</v>
      </c>
      <c r="F1274" t="s">
        <v>1859</v>
      </c>
    </row>
    <row r="1275" spans="1:6" x14ac:dyDescent="0.25">
      <c r="A1275" t="s">
        <v>4200</v>
      </c>
      <c r="B1275" t="s">
        <v>1860</v>
      </c>
      <c r="C1275" t="s">
        <v>1861</v>
      </c>
      <c r="D1275" t="str">
        <f>HYPERLINK("http://service.sap.com/sap/support/notes/1700576","1700576")</f>
        <v>1700576</v>
      </c>
      <c r="E1275">
        <v>2</v>
      </c>
      <c r="F1275" t="s">
        <v>1862</v>
      </c>
    </row>
    <row r="1276" spans="1:6" x14ac:dyDescent="0.25">
      <c r="A1276" t="s">
        <v>4200</v>
      </c>
      <c r="B1276" t="s">
        <v>1860</v>
      </c>
      <c r="C1276" t="s">
        <v>1861</v>
      </c>
      <c r="D1276" t="str">
        <f>HYPERLINK("http://service.sap.com/sap/support/notes/1714026","1714026")</f>
        <v>1714026</v>
      </c>
      <c r="E1276">
        <v>1</v>
      </c>
      <c r="F1276" t="s">
        <v>1863</v>
      </c>
    </row>
    <row r="1277" spans="1:6" x14ac:dyDescent="0.25">
      <c r="A1277" t="s">
        <v>4200</v>
      </c>
      <c r="B1277" t="s">
        <v>1860</v>
      </c>
      <c r="C1277" t="s">
        <v>1861</v>
      </c>
      <c r="D1277" t="str">
        <f>HYPERLINK("http://service.sap.com/sap/support/notes/1740685","1740685")</f>
        <v>1740685</v>
      </c>
      <c r="E1277">
        <v>1</v>
      </c>
      <c r="F1277" t="s">
        <v>1864</v>
      </c>
    </row>
    <row r="1278" spans="1:6" x14ac:dyDescent="0.25">
      <c r="A1278" t="s">
        <v>4200</v>
      </c>
      <c r="B1278" t="s">
        <v>1860</v>
      </c>
      <c r="C1278" t="s">
        <v>1861</v>
      </c>
      <c r="D1278" t="str">
        <f>HYPERLINK("http://service.sap.com/sap/support/notes/1748260","1748260")</f>
        <v>1748260</v>
      </c>
      <c r="E1278">
        <v>2</v>
      </c>
      <c r="F1278" t="s">
        <v>1865</v>
      </c>
    </row>
    <row r="1279" spans="1:6" x14ac:dyDescent="0.25">
      <c r="A1279" t="s">
        <v>4200</v>
      </c>
      <c r="B1279" t="s">
        <v>1860</v>
      </c>
      <c r="C1279" t="s">
        <v>1861</v>
      </c>
      <c r="D1279" t="str">
        <f>HYPERLINK("http://service.sap.com/sap/support/notes/1755260","1755260")</f>
        <v>1755260</v>
      </c>
      <c r="E1279">
        <v>1</v>
      </c>
      <c r="F1279" t="s">
        <v>1866</v>
      </c>
    </row>
    <row r="1280" spans="1:6" x14ac:dyDescent="0.25">
      <c r="A1280" t="s">
        <v>4200</v>
      </c>
      <c r="B1280" t="s">
        <v>1860</v>
      </c>
      <c r="C1280" t="s">
        <v>1861</v>
      </c>
      <c r="D1280" t="str">
        <f>HYPERLINK("http://service.sap.com/sap/support/notes/1755881","1755881")</f>
        <v>1755881</v>
      </c>
      <c r="E1280">
        <v>1</v>
      </c>
      <c r="F1280" t="s">
        <v>1867</v>
      </c>
    </row>
    <row r="1281" spans="1:6" x14ac:dyDescent="0.25">
      <c r="A1281" t="s">
        <v>4200</v>
      </c>
      <c r="B1281" t="s">
        <v>1860</v>
      </c>
      <c r="C1281" t="s">
        <v>1861</v>
      </c>
      <c r="D1281" t="str">
        <f>HYPERLINK("http://service.sap.com/sap/support/notes/1758929","1758929")</f>
        <v>1758929</v>
      </c>
      <c r="E1281">
        <v>2</v>
      </c>
      <c r="F1281" t="s">
        <v>1868</v>
      </c>
    </row>
    <row r="1282" spans="1:6" x14ac:dyDescent="0.25">
      <c r="A1282" t="s">
        <v>4200</v>
      </c>
      <c r="B1282" t="s">
        <v>1860</v>
      </c>
      <c r="C1282" t="s">
        <v>1861</v>
      </c>
      <c r="D1282" t="str">
        <f>HYPERLINK("http://service.sap.com/sap/support/notes/1760834","1760834")</f>
        <v>1760834</v>
      </c>
      <c r="E1282">
        <v>2</v>
      </c>
      <c r="F1282" t="s">
        <v>1869</v>
      </c>
    </row>
    <row r="1283" spans="1:6" x14ac:dyDescent="0.25">
      <c r="A1283" t="s">
        <v>4200</v>
      </c>
      <c r="B1283" t="s">
        <v>1870</v>
      </c>
      <c r="C1283" t="s">
        <v>1871</v>
      </c>
      <c r="D1283" t="str">
        <f>HYPERLINK("http://service.sap.com/sap/support/notes/1731516","1731516")</f>
        <v>1731516</v>
      </c>
      <c r="E1283">
        <v>1</v>
      </c>
      <c r="F1283" t="s">
        <v>1872</v>
      </c>
    </row>
    <row r="1284" spans="1:6" x14ac:dyDescent="0.25">
      <c r="A1284" t="s">
        <v>4200</v>
      </c>
      <c r="B1284" t="s">
        <v>1870</v>
      </c>
      <c r="C1284" t="s">
        <v>1871</v>
      </c>
      <c r="D1284" t="str">
        <f>HYPERLINK("http://service.sap.com/sap/support/notes/1748670","1748670")</f>
        <v>1748670</v>
      </c>
      <c r="E1284">
        <v>1</v>
      </c>
      <c r="F1284" t="s">
        <v>1873</v>
      </c>
    </row>
    <row r="1285" spans="1:6" x14ac:dyDescent="0.25">
      <c r="A1285" t="s">
        <v>4200</v>
      </c>
      <c r="B1285" t="s">
        <v>1870</v>
      </c>
      <c r="C1285" t="s">
        <v>1871</v>
      </c>
      <c r="D1285" t="str">
        <f>HYPERLINK("http://service.sap.com/sap/support/notes/1751538","1751538")</f>
        <v>1751538</v>
      </c>
      <c r="E1285">
        <v>2</v>
      </c>
      <c r="F1285" t="s">
        <v>1874</v>
      </c>
    </row>
    <row r="1286" spans="1:6" x14ac:dyDescent="0.25">
      <c r="A1286" t="s">
        <v>4200</v>
      </c>
      <c r="B1286" t="s">
        <v>1875</v>
      </c>
      <c r="C1286" t="s">
        <v>218</v>
      </c>
      <c r="D1286" t="str">
        <f>HYPERLINK("http://service.sap.com/sap/support/notes/1763969","1763969")</f>
        <v>1763969</v>
      </c>
      <c r="E1286">
        <v>1</v>
      </c>
      <c r="F1286" t="s">
        <v>1876</v>
      </c>
    </row>
    <row r="1287" spans="1:6" x14ac:dyDescent="0.25">
      <c r="A1287" t="s">
        <v>4200</v>
      </c>
      <c r="B1287" t="s">
        <v>1877</v>
      </c>
      <c r="C1287" t="s">
        <v>1878</v>
      </c>
      <c r="D1287" t="str">
        <f>HYPERLINK("http://service.sap.com/sap/support/notes/1715778","1715778")</f>
        <v>1715778</v>
      </c>
      <c r="E1287">
        <v>1</v>
      </c>
      <c r="F1287" t="s">
        <v>1879</v>
      </c>
    </row>
    <row r="1288" spans="1:6" x14ac:dyDescent="0.25">
      <c r="A1288" t="s">
        <v>4200</v>
      </c>
      <c r="B1288" t="s">
        <v>1880</v>
      </c>
      <c r="C1288" t="s">
        <v>1775</v>
      </c>
      <c r="D1288" t="str">
        <f>HYPERLINK("http://service.sap.com/sap/support/notes/1709820","1709820")</f>
        <v>1709820</v>
      </c>
      <c r="E1288">
        <v>4</v>
      </c>
      <c r="F1288" t="s">
        <v>1881</v>
      </c>
    </row>
    <row r="1289" spans="1:6" x14ac:dyDescent="0.25">
      <c r="A1289" t="s">
        <v>4200</v>
      </c>
      <c r="B1289" t="s">
        <v>1882</v>
      </c>
      <c r="C1289" t="s">
        <v>1883</v>
      </c>
    </row>
    <row r="1290" spans="1:6" x14ac:dyDescent="0.25">
      <c r="A1290" t="s">
        <v>4200</v>
      </c>
      <c r="B1290" t="s">
        <v>1884</v>
      </c>
      <c r="C1290" t="s">
        <v>1885</v>
      </c>
      <c r="D1290" t="str">
        <f>HYPERLINK("http://service.sap.com/sap/support/notes/1734030","1734030")</f>
        <v>1734030</v>
      </c>
      <c r="E1290">
        <v>3</v>
      </c>
      <c r="F1290" t="s">
        <v>1886</v>
      </c>
    </row>
    <row r="1291" spans="1:6" x14ac:dyDescent="0.25">
      <c r="A1291" t="s">
        <v>4200</v>
      </c>
      <c r="B1291" t="s">
        <v>1887</v>
      </c>
      <c r="C1291" t="s">
        <v>1888</v>
      </c>
      <c r="D1291" t="str">
        <f>HYPERLINK("http://service.sap.com/sap/support/notes/1728663","1728663")</f>
        <v>1728663</v>
      </c>
      <c r="E1291">
        <v>3</v>
      </c>
      <c r="F1291" t="s">
        <v>1889</v>
      </c>
    </row>
    <row r="1292" spans="1:6" x14ac:dyDescent="0.25">
      <c r="A1292" t="s">
        <v>4200</v>
      </c>
      <c r="B1292" t="s">
        <v>1890</v>
      </c>
      <c r="C1292" t="s">
        <v>1712</v>
      </c>
      <c r="D1292" t="str">
        <f>HYPERLINK("http://service.sap.com/sap/support/notes/1671443","1671443")</f>
        <v>1671443</v>
      </c>
      <c r="E1292">
        <v>6</v>
      </c>
      <c r="F1292" t="s">
        <v>1891</v>
      </c>
    </row>
    <row r="1293" spans="1:6" x14ac:dyDescent="0.25">
      <c r="A1293" t="s">
        <v>4200</v>
      </c>
      <c r="B1293" t="s">
        <v>1890</v>
      </c>
      <c r="C1293" t="s">
        <v>1712</v>
      </c>
      <c r="D1293" t="str">
        <f>HYPERLINK("http://service.sap.com/sap/support/notes/1734354","1734354")</f>
        <v>1734354</v>
      </c>
      <c r="E1293">
        <v>2</v>
      </c>
      <c r="F1293" t="s">
        <v>1892</v>
      </c>
    </row>
    <row r="1294" spans="1:6" x14ac:dyDescent="0.25">
      <c r="A1294" t="s">
        <v>4200</v>
      </c>
      <c r="B1294" t="s">
        <v>1890</v>
      </c>
      <c r="C1294" t="s">
        <v>1712</v>
      </c>
      <c r="D1294" t="str">
        <f>HYPERLINK("http://service.sap.com/sap/support/notes/1749311","1749311")</f>
        <v>1749311</v>
      </c>
      <c r="E1294">
        <v>1</v>
      </c>
      <c r="F1294" t="s">
        <v>1893</v>
      </c>
    </row>
    <row r="1295" spans="1:6" x14ac:dyDescent="0.25">
      <c r="A1295" t="s">
        <v>4200</v>
      </c>
      <c r="B1295" t="s">
        <v>1894</v>
      </c>
      <c r="C1295" t="s">
        <v>151</v>
      </c>
      <c r="D1295" t="str">
        <f>HYPERLINK("http://service.sap.com/sap/support/notes/1729514","1729514")</f>
        <v>1729514</v>
      </c>
      <c r="E1295">
        <v>5</v>
      </c>
      <c r="F1295" t="s">
        <v>1895</v>
      </c>
    </row>
    <row r="1296" spans="1:6" x14ac:dyDescent="0.25">
      <c r="A1296" t="s">
        <v>4200</v>
      </c>
      <c r="B1296" t="s">
        <v>1894</v>
      </c>
      <c r="C1296" t="s">
        <v>151</v>
      </c>
      <c r="D1296" t="str">
        <f>HYPERLINK("http://service.sap.com/sap/support/notes/1735449","1735449")</f>
        <v>1735449</v>
      </c>
      <c r="E1296">
        <v>2</v>
      </c>
      <c r="F1296" t="s">
        <v>1896</v>
      </c>
    </row>
    <row r="1297" spans="1:6" x14ac:dyDescent="0.25">
      <c r="A1297" t="s">
        <v>4200</v>
      </c>
      <c r="B1297" t="s">
        <v>1897</v>
      </c>
      <c r="C1297" t="s">
        <v>1898</v>
      </c>
      <c r="D1297" t="str">
        <f>HYPERLINK("http://service.sap.com/sap/support/notes/1734684","1734684")</f>
        <v>1734684</v>
      </c>
      <c r="E1297">
        <v>1</v>
      </c>
      <c r="F1297" t="s">
        <v>1899</v>
      </c>
    </row>
    <row r="1298" spans="1:6" x14ac:dyDescent="0.25">
      <c r="A1298" t="s">
        <v>4200</v>
      </c>
      <c r="B1298" t="s">
        <v>1900</v>
      </c>
      <c r="C1298" t="s">
        <v>1901</v>
      </c>
      <c r="D1298" t="str">
        <f>HYPERLINK("http://service.sap.com/sap/support/notes/1722166","1722166")</f>
        <v>1722166</v>
      </c>
      <c r="E1298">
        <v>1</v>
      </c>
      <c r="F1298" t="s">
        <v>1902</v>
      </c>
    </row>
    <row r="1299" spans="1:6" x14ac:dyDescent="0.25">
      <c r="A1299" t="s">
        <v>4200</v>
      </c>
      <c r="B1299" t="s">
        <v>1900</v>
      </c>
      <c r="C1299" t="s">
        <v>1901</v>
      </c>
      <c r="D1299" t="str">
        <f>HYPERLINK("http://service.sap.com/sap/support/notes/1725023","1725023")</f>
        <v>1725023</v>
      </c>
      <c r="E1299">
        <v>3</v>
      </c>
      <c r="F1299" t="s">
        <v>1903</v>
      </c>
    </row>
    <row r="1300" spans="1:6" x14ac:dyDescent="0.25">
      <c r="A1300" t="s">
        <v>4200</v>
      </c>
      <c r="B1300" t="s">
        <v>1900</v>
      </c>
      <c r="C1300" t="s">
        <v>1901</v>
      </c>
      <c r="D1300" t="str">
        <f>HYPERLINK("http://service.sap.com/sap/support/notes/1737941","1737941")</f>
        <v>1737941</v>
      </c>
      <c r="E1300">
        <v>3</v>
      </c>
      <c r="F1300" t="s">
        <v>1904</v>
      </c>
    </row>
    <row r="1301" spans="1:6" x14ac:dyDescent="0.25">
      <c r="A1301" t="s">
        <v>4200</v>
      </c>
      <c r="B1301" t="s">
        <v>1900</v>
      </c>
      <c r="C1301" t="s">
        <v>1901</v>
      </c>
      <c r="D1301" t="str">
        <f>HYPERLINK("http://service.sap.com/sap/support/notes/1738067","1738067")</f>
        <v>1738067</v>
      </c>
      <c r="E1301">
        <v>6</v>
      </c>
      <c r="F1301" t="s">
        <v>1905</v>
      </c>
    </row>
    <row r="1302" spans="1:6" x14ac:dyDescent="0.25">
      <c r="A1302" t="s">
        <v>4200</v>
      </c>
      <c r="B1302" t="s">
        <v>1900</v>
      </c>
      <c r="C1302" t="s">
        <v>1901</v>
      </c>
      <c r="D1302" t="str">
        <f>HYPERLINK("http://service.sap.com/sap/support/notes/1746796","1746796")</f>
        <v>1746796</v>
      </c>
      <c r="E1302">
        <v>4</v>
      </c>
      <c r="F1302" t="s">
        <v>1906</v>
      </c>
    </row>
    <row r="1303" spans="1:6" x14ac:dyDescent="0.25">
      <c r="A1303" t="s">
        <v>4200</v>
      </c>
      <c r="B1303" t="s">
        <v>1900</v>
      </c>
      <c r="C1303" t="s">
        <v>1901</v>
      </c>
      <c r="D1303" t="str">
        <f>HYPERLINK("http://service.sap.com/sap/support/notes/1750557","1750557")</f>
        <v>1750557</v>
      </c>
      <c r="E1303">
        <v>2</v>
      </c>
      <c r="F1303" t="s">
        <v>1907</v>
      </c>
    </row>
    <row r="1304" spans="1:6" x14ac:dyDescent="0.25">
      <c r="A1304" t="s">
        <v>4200</v>
      </c>
      <c r="B1304" t="s">
        <v>1900</v>
      </c>
      <c r="C1304" t="s">
        <v>1901</v>
      </c>
      <c r="D1304" t="str">
        <f>HYPERLINK("http://service.sap.com/sap/support/notes/1754298","1754298")</f>
        <v>1754298</v>
      </c>
      <c r="E1304">
        <v>2</v>
      </c>
      <c r="F1304" t="s">
        <v>1908</v>
      </c>
    </row>
    <row r="1305" spans="1:6" x14ac:dyDescent="0.25">
      <c r="A1305" t="s">
        <v>4200</v>
      </c>
      <c r="B1305" t="s">
        <v>1900</v>
      </c>
      <c r="C1305" t="s">
        <v>1901</v>
      </c>
      <c r="D1305" t="str">
        <f>HYPERLINK("http://service.sap.com/sap/support/notes/1756192","1756192")</f>
        <v>1756192</v>
      </c>
      <c r="E1305">
        <v>1</v>
      </c>
      <c r="F1305" t="s">
        <v>1909</v>
      </c>
    </row>
    <row r="1306" spans="1:6" x14ac:dyDescent="0.25">
      <c r="A1306" t="s">
        <v>4200</v>
      </c>
      <c r="B1306" t="s">
        <v>1900</v>
      </c>
      <c r="C1306" t="s">
        <v>1901</v>
      </c>
      <c r="D1306" t="str">
        <f>HYPERLINK("http://service.sap.com/sap/support/notes/1756905","1756905")</f>
        <v>1756905</v>
      </c>
      <c r="E1306">
        <v>3</v>
      </c>
      <c r="F1306" t="s">
        <v>1910</v>
      </c>
    </row>
    <row r="1307" spans="1:6" x14ac:dyDescent="0.25">
      <c r="A1307" t="s">
        <v>4200</v>
      </c>
      <c r="B1307" t="s">
        <v>1911</v>
      </c>
      <c r="C1307" t="s">
        <v>672</v>
      </c>
      <c r="D1307" t="str">
        <f>HYPERLINK("http://service.sap.com/sap/support/notes/1672806","1672806")</f>
        <v>1672806</v>
      </c>
      <c r="E1307">
        <v>6</v>
      </c>
      <c r="F1307" t="s">
        <v>1912</v>
      </c>
    </row>
    <row r="1308" spans="1:6" x14ac:dyDescent="0.25">
      <c r="A1308" t="s">
        <v>4200</v>
      </c>
      <c r="B1308" t="s">
        <v>1913</v>
      </c>
      <c r="C1308" t="s">
        <v>1914</v>
      </c>
      <c r="D1308" t="str">
        <f>HYPERLINK("http://service.sap.com/sap/support/notes/1709591","1709591")</f>
        <v>1709591</v>
      </c>
      <c r="E1308">
        <v>5</v>
      </c>
      <c r="F1308" t="s">
        <v>1915</v>
      </c>
    </row>
    <row r="1309" spans="1:6" x14ac:dyDescent="0.25">
      <c r="A1309" t="s">
        <v>4200</v>
      </c>
      <c r="B1309" t="s">
        <v>1913</v>
      </c>
      <c r="C1309" t="s">
        <v>1914</v>
      </c>
      <c r="D1309" t="str">
        <f>HYPERLINK("http://service.sap.com/sap/support/notes/1721756","1721756")</f>
        <v>1721756</v>
      </c>
      <c r="E1309">
        <v>4</v>
      </c>
      <c r="F1309" t="s">
        <v>1916</v>
      </c>
    </row>
    <row r="1310" spans="1:6" x14ac:dyDescent="0.25">
      <c r="A1310" t="s">
        <v>4200</v>
      </c>
      <c r="B1310" t="s">
        <v>1913</v>
      </c>
      <c r="C1310" t="s">
        <v>1914</v>
      </c>
      <c r="D1310" t="str">
        <f>HYPERLINK("http://service.sap.com/sap/support/notes/1728987","1728987")</f>
        <v>1728987</v>
      </c>
      <c r="E1310">
        <v>1</v>
      </c>
      <c r="F1310" t="s">
        <v>1917</v>
      </c>
    </row>
    <row r="1311" spans="1:6" x14ac:dyDescent="0.25">
      <c r="A1311" t="s">
        <v>4200</v>
      </c>
      <c r="B1311" t="s">
        <v>1913</v>
      </c>
      <c r="C1311" t="s">
        <v>1914</v>
      </c>
      <c r="D1311" t="str">
        <f>HYPERLINK("http://service.sap.com/sap/support/notes/1729565","1729565")</f>
        <v>1729565</v>
      </c>
      <c r="E1311">
        <v>2</v>
      </c>
      <c r="F1311" t="s">
        <v>1918</v>
      </c>
    </row>
    <row r="1312" spans="1:6" x14ac:dyDescent="0.25">
      <c r="A1312" t="s">
        <v>4200</v>
      </c>
      <c r="B1312" t="s">
        <v>1913</v>
      </c>
      <c r="C1312" t="s">
        <v>1914</v>
      </c>
      <c r="D1312" t="str">
        <f>HYPERLINK("http://service.sap.com/sap/support/notes/1734785","1734785")</f>
        <v>1734785</v>
      </c>
      <c r="E1312">
        <v>2</v>
      </c>
      <c r="F1312" t="s">
        <v>1919</v>
      </c>
    </row>
    <row r="1313" spans="1:6" x14ac:dyDescent="0.25">
      <c r="A1313" t="s">
        <v>4200</v>
      </c>
      <c r="B1313" t="s">
        <v>1913</v>
      </c>
      <c r="C1313" t="s">
        <v>1914</v>
      </c>
      <c r="D1313" t="str">
        <f>HYPERLINK("http://service.sap.com/sap/support/notes/1744514","1744514")</f>
        <v>1744514</v>
      </c>
      <c r="E1313">
        <v>2</v>
      </c>
      <c r="F1313" t="s">
        <v>1920</v>
      </c>
    </row>
    <row r="1314" spans="1:6" x14ac:dyDescent="0.25">
      <c r="A1314" t="s">
        <v>4200</v>
      </c>
      <c r="B1314" t="s">
        <v>1913</v>
      </c>
      <c r="C1314" t="s">
        <v>1914</v>
      </c>
      <c r="D1314" t="str">
        <f>HYPERLINK("http://service.sap.com/sap/support/notes/1751078","1751078")</f>
        <v>1751078</v>
      </c>
      <c r="E1314">
        <v>3</v>
      </c>
      <c r="F1314" t="s">
        <v>1921</v>
      </c>
    </row>
    <row r="1315" spans="1:6" x14ac:dyDescent="0.25">
      <c r="A1315" t="s">
        <v>4200</v>
      </c>
      <c r="B1315" t="s">
        <v>1922</v>
      </c>
      <c r="C1315" t="s">
        <v>1923</v>
      </c>
    </row>
    <row r="1316" spans="1:6" x14ac:dyDescent="0.25">
      <c r="A1316" t="s">
        <v>4200</v>
      </c>
      <c r="B1316" t="s">
        <v>1924</v>
      </c>
      <c r="C1316" t="s">
        <v>1925</v>
      </c>
      <c r="D1316" t="str">
        <f>HYPERLINK("http://service.sap.com/sap/support/notes/1755597","1755597")</f>
        <v>1755597</v>
      </c>
      <c r="E1316">
        <v>1</v>
      </c>
      <c r="F1316" t="s">
        <v>1926</v>
      </c>
    </row>
    <row r="1317" spans="1:6" x14ac:dyDescent="0.25">
      <c r="A1317" t="s">
        <v>4200</v>
      </c>
      <c r="B1317" t="s">
        <v>1924</v>
      </c>
      <c r="C1317" t="s">
        <v>1925</v>
      </c>
      <c r="D1317" t="str">
        <f>HYPERLINK("http://service.sap.com/sap/support/notes/1756124","1756124")</f>
        <v>1756124</v>
      </c>
      <c r="E1317">
        <v>1</v>
      </c>
      <c r="F1317" t="s">
        <v>1927</v>
      </c>
    </row>
    <row r="1318" spans="1:6" x14ac:dyDescent="0.25">
      <c r="A1318" t="s">
        <v>4200</v>
      </c>
      <c r="B1318" t="s">
        <v>1928</v>
      </c>
      <c r="C1318" t="s">
        <v>1929</v>
      </c>
    </row>
    <row r="1319" spans="1:6" x14ac:dyDescent="0.25">
      <c r="A1319" t="s">
        <v>4200</v>
      </c>
      <c r="B1319" t="s">
        <v>1930</v>
      </c>
      <c r="C1319" t="s">
        <v>1931</v>
      </c>
      <c r="D1319" t="str">
        <f>HYPERLINK("http://service.sap.com/sap/support/notes/1729227","1729227")</f>
        <v>1729227</v>
      </c>
      <c r="E1319">
        <v>1</v>
      </c>
      <c r="F1319" t="s">
        <v>1932</v>
      </c>
    </row>
    <row r="1320" spans="1:6" x14ac:dyDescent="0.25">
      <c r="A1320" t="s">
        <v>4200</v>
      </c>
      <c r="B1320" t="s">
        <v>1933</v>
      </c>
      <c r="C1320" t="s">
        <v>1934</v>
      </c>
    </row>
    <row r="1321" spans="1:6" x14ac:dyDescent="0.25">
      <c r="A1321" t="s">
        <v>4200</v>
      </c>
      <c r="B1321" t="s">
        <v>1935</v>
      </c>
      <c r="C1321" t="s">
        <v>1936</v>
      </c>
      <c r="D1321" t="str">
        <f>HYPERLINK("http://service.sap.com/sap/support/notes/1705323","1705323")</f>
        <v>1705323</v>
      </c>
      <c r="E1321">
        <v>1</v>
      </c>
      <c r="F1321" t="s">
        <v>1937</v>
      </c>
    </row>
    <row r="1322" spans="1:6" x14ac:dyDescent="0.25">
      <c r="A1322" t="s">
        <v>4200</v>
      </c>
      <c r="B1322" t="s">
        <v>1935</v>
      </c>
      <c r="C1322" t="s">
        <v>1936</v>
      </c>
      <c r="D1322" t="str">
        <f>HYPERLINK("http://service.sap.com/sap/support/notes/1737639","1737639")</f>
        <v>1737639</v>
      </c>
      <c r="E1322">
        <v>2</v>
      </c>
      <c r="F1322" t="s">
        <v>1938</v>
      </c>
    </row>
    <row r="1323" spans="1:6" x14ac:dyDescent="0.25">
      <c r="A1323" t="s">
        <v>4200</v>
      </c>
      <c r="B1323" t="s">
        <v>1939</v>
      </c>
      <c r="C1323" t="s">
        <v>29</v>
      </c>
    </row>
    <row r="1324" spans="1:6" x14ac:dyDescent="0.25">
      <c r="A1324" t="s">
        <v>4200</v>
      </c>
      <c r="B1324" t="s">
        <v>1940</v>
      </c>
      <c r="C1324" t="s">
        <v>1941</v>
      </c>
      <c r="D1324" t="str">
        <f>HYPERLINK("http://service.sap.com/sap/support/notes/1731157","1731157")</f>
        <v>1731157</v>
      </c>
      <c r="E1324">
        <v>4</v>
      </c>
      <c r="F1324" t="s">
        <v>1942</v>
      </c>
    </row>
    <row r="1325" spans="1:6" x14ac:dyDescent="0.25">
      <c r="A1325" t="s">
        <v>4200</v>
      </c>
      <c r="B1325" t="s">
        <v>1940</v>
      </c>
      <c r="C1325" t="s">
        <v>1941</v>
      </c>
      <c r="D1325" t="str">
        <f>HYPERLINK("http://service.sap.com/sap/support/notes/1741453","1741453")</f>
        <v>1741453</v>
      </c>
      <c r="E1325">
        <v>1</v>
      </c>
      <c r="F1325" t="s">
        <v>1943</v>
      </c>
    </row>
    <row r="1326" spans="1:6" x14ac:dyDescent="0.25">
      <c r="A1326" t="s">
        <v>4200</v>
      </c>
      <c r="B1326" t="s">
        <v>1940</v>
      </c>
      <c r="C1326" t="s">
        <v>1941</v>
      </c>
      <c r="D1326" t="str">
        <f>HYPERLINK("http://service.sap.com/sap/support/notes/1748176","1748176")</f>
        <v>1748176</v>
      </c>
      <c r="E1326">
        <v>1</v>
      </c>
      <c r="F1326" t="s">
        <v>1944</v>
      </c>
    </row>
    <row r="1327" spans="1:6" x14ac:dyDescent="0.25">
      <c r="A1327" t="s">
        <v>4200</v>
      </c>
      <c r="B1327" t="s">
        <v>1945</v>
      </c>
      <c r="C1327" t="s">
        <v>1946</v>
      </c>
      <c r="D1327" t="str">
        <f>HYPERLINK("http://service.sap.com/sap/support/notes/1738475","1738475")</f>
        <v>1738475</v>
      </c>
      <c r="E1327">
        <v>2</v>
      </c>
      <c r="F1327" t="s">
        <v>1947</v>
      </c>
    </row>
    <row r="1328" spans="1:6" x14ac:dyDescent="0.25">
      <c r="A1328" t="s">
        <v>4200</v>
      </c>
      <c r="B1328" t="s">
        <v>1948</v>
      </c>
      <c r="C1328" t="s">
        <v>1949</v>
      </c>
    </row>
    <row r="1329" spans="1:6" x14ac:dyDescent="0.25">
      <c r="A1329" t="s">
        <v>4200</v>
      </c>
      <c r="B1329" t="s">
        <v>1950</v>
      </c>
      <c r="C1329" t="s">
        <v>1951</v>
      </c>
      <c r="D1329" t="str">
        <f>HYPERLINK("http://service.sap.com/sap/support/notes/1707243","1707243")</f>
        <v>1707243</v>
      </c>
      <c r="E1329">
        <v>4</v>
      </c>
      <c r="F1329" t="s">
        <v>1952</v>
      </c>
    </row>
    <row r="1330" spans="1:6" x14ac:dyDescent="0.25">
      <c r="A1330" t="s">
        <v>4200</v>
      </c>
      <c r="B1330" t="s">
        <v>1950</v>
      </c>
      <c r="C1330" t="s">
        <v>1951</v>
      </c>
      <c r="D1330" t="str">
        <f>HYPERLINK("http://service.sap.com/sap/support/notes/1726427","1726427")</f>
        <v>1726427</v>
      </c>
      <c r="E1330">
        <v>2</v>
      </c>
      <c r="F1330" t="s">
        <v>1953</v>
      </c>
    </row>
    <row r="1331" spans="1:6" x14ac:dyDescent="0.25">
      <c r="A1331" t="s">
        <v>4200</v>
      </c>
      <c r="B1331" t="s">
        <v>1950</v>
      </c>
      <c r="C1331" t="s">
        <v>1951</v>
      </c>
      <c r="D1331" t="str">
        <f>HYPERLINK("http://service.sap.com/sap/support/notes/1752965","1752965")</f>
        <v>1752965</v>
      </c>
      <c r="E1331">
        <v>1</v>
      </c>
      <c r="F1331" t="s">
        <v>1954</v>
      </c>
    </row>
    <row r="1332" spans="1:6" x14ac:dyDescent="0.25">
      <c r="A1332" t="s">
        <v>4200</v>
      </c>
      <c r="B1332" t="s">
        <v>1955</v>
      </c>
      <c r="C1332" t="s">
        <v>1956</v>
      </c>
    </row>
    <row r="1333" spans="1:6" x14ac:dyDescent="0.25">
      <c r="A1333" t="s">
        <v>4200</v>
      </c>
      <c r="B1333" t="s">
        <v>1957</v>
      </c>
      <c r="C1333" t="s">
        <v>1696</v>
      </c>
      <c r="D1333" t="str">
        <f>HYPERLINK("http://service.sap.com/sap/support/notes/1720618","1720618")</f>
        <v>1720618</v>
      </c>
      <c r="E1333">
        <v>1</v>
      </c>
      <c r="F1333" t="s">
        <v>1958</v>
      </c>
    </row>
    <row r="1334" spans="1:6" x14ac:dyDescent="0.25">
      <c r="A1334" t="s">
        <v>4200</v>
      </c>
      <c r="B1334" t="s">
        <v>1957</v>
      </c>
      <c r="C1334" t="s">
        <v>1696</v>
      </c>
      <c r="D1334" t="str">
        <f>HYPERLINK("http://service.sap.com/sap/support/notes/1729743","1729743")</f>
        <v>1729743</v>
      </c>
      <c r="E1334">
        <v>2</v>
      </c>
      <c r="F1334" t="s">
        <v>1959</v>
      </c>
    </row>
    <row r="1335" spans="1:6" x14ac:dyDescent="0.25">
      <c r="A1335" t="s">
        <v>4200</v>
      </c>
      <c r="B1335" t="s">
        <v>1957</v>
      </c>
      <c r="C1335" t="s">
        <v>1696</v>
      </c>
      <c r="D1335" t="str">
        <f>HYPERLINK("http://service.sap.com/sap/support/notes/1735708","1735708")</f>
        <v>1735708</v>
      </c>
      <c r="E1335">
        <v>3</v>
      </c>
      <c r="F1335" t="s">
        <v>1960</v>
      </c>
    </row>
    <row r="1336" spans="1:6" x14ac:dyDescent="0.25">
      <c r="A1336" t="s">
        <v>4200</v>
      </c>
      <c r="B1336" t="s">
        <v>1957</v>
      </c>
      <c r="C1336" t="s">
        <v>1696</v>
      </c>
      <c r="D1336" t="str">
        <f>HYPERLINK("http://service.sap.com/sap/support/notes/1736072","1736072")</f>
        <v>1736072</v>
      </c>
      <c r="E1336">
        <v>2</v>
      </c>
      <c r="F1336" t="s">
        <v>1961</v>
      </c>
    </row>
    <row r="1337" spans="1:6" x14ac:dyDescent="0.25">
      <c r="A1337" t="s">
        <v>4200</v>
      </c>
      <c r="B1337" t="s">
        <v>1957</v>
      </c>
      <c r="C1337" t="s">
        <v>1696</v>
      </c>
      <c r="D1337" t="str">
        <f>HYPERLINK("http://service.sap.com/sap/support/notes/1737628","1737628")</f>
        <v>1737628</v>
      </c>
      <c r="E1337">
        <v>1</v>
      </c>
      <c r="F1337" t="s">
        <v>1962</v>
      </c>
    </row>
    <row r="1338" spans="1:6" x14ac:dyDescent="0.25">
      <c r="A1338" t="s">
        <v>4200</v>
      </c>
      <c r="B1338" t="s">
        <v>1957</v>
      </c>
      <c r="C1338" t="s">
        <v>1696</v>
      </c>
      <c r="D1338" t="str">
        <f>HYPERLINK("http://service.sap.com/sap/support/notes/1740149","1740149")</f>
        <v>1740149</v>
      </c>
      <c r="E1338">
        <v>1</v>
      </c>
      <c r="F1338" t="s">
        <v>1963</v>
      </c>
    </row>
    <row r="1339" spans="1:6" x14ac:dyDescent="0.25">
      <c r="A1339" t="s">
        <v>4200</v>
      </c>
      <c r="B1339" t="s">
        <v>1957</v>
      </c>
      <c r="C1339" t="s">
        <v>1696</v>
      </c>
      <c r="D1339" t="str">
        <f>HYPERLINK("http://service.sap.com/sap/support/notes/1741910","1741910")</f>
        <v>1741910</v>
      </c>
      <c r="E1339">
        <v>1</v>
      </c>
      <c r="F1339" t="s">
        <v>1964</v>
      </c>
    </row>
    <row r="1340" spans="1:6" x14ac:dyDescent="0.25">
      <c r="A1340" t="s">
        <v>4200</v>
      </c>
      <c r="B1340" t="s">
        <v>1957</v>
      </c>
      <c r="C1340" t="s">
        <v>1696</v>
      </c>
      <c r="D1340" t="str">
        <f>HYPERLINK("http://service.sap.com/sap/support/notes/1742947","1742947")</f>
        <v>1742947</v>
      </c>
      <c r="E1340">
        <v>1</v>
      </c>
      <c r="F1340" t="s">
        <v>1965</v>
      </c>
    </row>
    <row r="1341" spans="1:6" x14ac:dyDescent="0.25">
      <c r="A1341" t="s">
        <v>4200</v>
      </c>
      <c r="B1341" t="s">
        <v>1966</v>
      </c>
      <c r="C1341" t="s">
        <v>1638</v>
      </c>
      <c r="D1341" t="str">
        <f>HYPERLINK("http://service.sap.com/sap/support/notes/1761680","1761680")</f>
        <v>1761680</v>
      </c>
      <c r="E1341">
        <v>4</v>
      </c>
      <c r="F1341" t="s">
        <v>1967</v>
      </c>
    </row>
    <row r="1342" spans="1:6" x14ac:dyDescent="0.25">
      <c r="A1342" t="s">
        <v>4200</v>
      </c>
      <c r="B1342" t="s">
        <v>1966</v>
      </c>
      <c r="C1342" t="s">
        <v>1638</v>
      </c>
      <c r="D1342" t="str">
        <f>HYPERLINK("http://service.sap.com/sap/support/notes/1766014","1766014")</f>
        <v>1766014</v>
      </c>
      <c r="E1342">
        <v>2</v>
      </c>
      <c r="F1342" t="s">
        <v>1968</v>
      </c>
    </row>
    <row r="1343" spans="1:6" x14ac:dyDescent="0.25">
      <c r="A1343" t="s">
        <v>4200</v>
      </c>
      <c r="B1343" t="s">
        <v>1969</v>
      </c>
      <c r="C1343" t="s">
        <v>1878</v>
      </c>
      <c r="D1343" t="str">
        <f>HYPERLINK("http://service.sap.com/sap/support/notes/1711575","1711575")</f>
        <v>1711575</v>
      </c>
      <c r="E1343">
        <v>4</v>
      </c>
      <c r="F1343" t="s">
        <v>1970</v>
      </c>
    </row>
    <row r="1344" spans="1:6" x14ac:dyDescent="0.25">
      <c r="A1344" t="s">
        <v>4200</v>
      </c>
      <c r="B1344" t="s">
        <v>1969</v>
      </c>
      <c r="C1344" t="s">
        <v>1878</v>
      </c>
      <c r="D1344" t="str">
        <f>HYPERLINK("http://service.sap.com/sap/support/notes/1721389","1721389")</f>
        <v>1721389</v>
      </c>
      <c r="E1344">
        <v>1</v>
      </c>
      <c r="F1344" t="s">
        <v>1971</v>
      </c>
    </row>
    <row r="1345" spans="1:6" x14ac:dyDescent="0.25">
      <c r="A1345" t="s">
        <v>4200</v>
      </c>
      <c r="B1345" t="s">
        <v>1969</v>
      </c>
      <c r="C1345" t="s">
        <v>1878</v>
      </c>
      <c r="D1345" t="str">
        <f>HYPERLINK("http://service.sap.com/sap/support/notes/1722312","1722312")</f>
        <v>1722312</v>
      </c>
      <c r="E1345">
        <v>3</v>
      </c>
      <c r="F1345" t="s">
        <v>1972</v>
      </c>
    </row>
    <row r="1346" spans="1:6" x14ac:dyDescent="0.25">
      <c r="A1346" t="s">
        <v>4200</v>
      </c>
      <c r="B1346" t="s">
        <v>1969</v>
      </c>
      <c r="C1346" t="s">
        <v>1878</v>
      </c>
      <c r="D1346" t="str">
        <f>HYPERLINK("http://service.sap.com/sap/support/notes/1727406","1727406")</f>
        <v>1727406</v>
      </c>
      <c r="E1346">
        <v>3</v>
      </c>
      <c r="F1346" t="s">
        <v>1973</v>
      </c>
    </row>
    <row r="1347" spans="1:6" x14ac:dyDescent="0.25">
      <c r="A1347" t="s">
        <v>4200</v>
      </c>
      <c r="B1347" t="s">
        <v>1969</v>
      </c>
      <c r="C1347" t="s">
        <v>1878</v>
      </c>
      <c r="D1347" t="str">
        <f>HYPERLINK("http://service.sap.com/sap/support/notes/1737542","1737542")</f>
        <v>1737542</v>
      </c>
      <c r="E1347">
        <v>1</v>
      </c>
      <c r="F1347" t="s">
        <v>1974</v>
      </c>
    </row>
    <row r="1348" spans="1:6" x14ac:dyDescent="0.25">
      <c r="A1348" t="s">
        <v>4200</v>
      </c>
      <c r="B1348" t="s">
        <v>1969</v>
      </c>
      <c r="C1348" t="s">
        <v>1878</v>
      </c>
      <c r="D1348" t="str">
        <f>HYPERLINK("http://service.sap.com/sap/support/notes/1745759","1745759")</f>
        <v>1745759</v>
      </c>
      <c r="E1348">
        <v>1</v>
      </c>
      <c r="F1348" t="s">
        <v>1975</v>
      </c>
    </row>
    <row r="1349" spans="1:6" x14ac:dyDescent="0.25">
      <c r="A1349" t="s">
        <v>4200</v>
      </c>
      <c r="B1349" t="s">
        <v>1969</v>
      </c>
      <c r="C1349" t="s">
        <v>1878</v>
      </c>
      <c r="D1349" t="str">
        <f>HYPERLINK("http://service.sap.com/sap/support/notes/1755652","1755652")</f>
        <v>1755652</v>
      </c>
      <c r="E1349">
        <v>1</v>
      </c>
      <c r="F1349" t="s">
        <v>1976</v>
      </c>
    </row>
    <row r="1350" spans="1:6" x14ac:dyDescent="0.25">
      <c r="A1350" t="s">
        <v>4200</v>
      </c>
      <c r="B1350" t="s">
        <v>1969</v>
      </c>
      <c r="C1350" t="s">
        <v>1878</v>
      </c>
      <c r="D1350" t="str">
        <f>HYPERLINK("http://service.sap.com/sap/support/notes/1768472","1768472")</f>
        <v>1768472</v>
      </c>
      <c r="E1350">
        <v>1</v>
      </c>
      <c r="F1350" t="s">
        <v>1977</v>
      </c>
    </row>
    <row r="1351" spans="1:6" x14ac:dyDescent="0.25">
      <c r="A1351" t="s">
        <v>4200</v>
      </c>
      <c r="B1351" t="s">
        <v>1978</v>
      </c>
      <c r="C1351" t="s">
        <v>1979</v>
      </c>
      <c r="D1351" t="str">
        <f>HYPERLINK("http://service.sap.com/sap/support/notes/1724884","1724884")</f>
        <v>1724884</v>
      </c>
      <c r="E1351">
        <v>1</v>
      </c>
      <c r="F1351" t="s">
        <v>1980</v>
      </c>
    </row>
    <row r="1352" spans="1:6" x14ac:dyDescent="0.25">
      <c r="A1352" t="s">
        <v>4200</v>
      </c>
      <c r="B1352" t="s">
        <v>1978</v>
      </c>
      <c r="C1352" t="s">
        <v>1979</v>
      </c>
      <c r="D1352" t="str">
        <f>HYPERLINK("http://service.sap.com/sap/support/notes/1734264","1734264")</f>
        <v>1734264</v>
      </c>
      <c r="E1352">
        <v>1</v>
      </c>
      <c r="F1352" t="s">
        <v>1981</v>
      </c>
    </row>
    <row r="1353" spans="1:6" x14ac:dyDescent="0.25">
      <c r="A1353" t="s">
        <v>4200</v>
      </c>
      <c r="B1353" t="s">
        <v>1982</v>
      </c>
      <c r="C1353" t="s">
        <v>1638</v>
      </c>
      <c r="D1353" t="str">
        <f>HYPERLINK("http://service.sap.com/sap/support/notes/1741368","1741368")</f>
        <v>1741368</v>
      </c>
      <c r="E1353">
        <v>1</v>
      </c>
      <c r="F1353" t="s">
        <v>1983</v>
      </c>
    </row>
    <row r="1354" spans="1:6" x14ac:dyDescent="0.25">
      <c r="A1354" t="s">
        <v>4200</v>
      </c>
      <c r="B1354" t="s">
        <v>1984</v>
      </c>
      <c r="C1354" t="s">
        <v>1985</v>
      </c>
      <c r="D1354" t="str">
        <f>HYPERLINK("http://service.sap.com/sap/support/notes/1730464","1730464")</f>
        <v>1730464</v>
      </c>
      <c r="E1354">
        <v>2</v>
      </c>
      <c r="F1354" t="s">
        <v>1986</v>
      </c>
    </row>
    <row r="1355" spans="1:6" x14ac:dyDescent="0.25">
      <c r="A1355" t="s">
        <v>4200</v>
      </c>
      <c r="B1355" t="s">
        <v>1984</v>
      </c>
      <c r="C1355" t="s">
        <v>1985</v>
      </c>
      <c r="D1355" t="str">
        <f>HYPERLINK("http://service.sap.com/sap/support/notes/1738085","1738085")</f>
        <v>1738085</v>
      </c>
      <c r="E1355">
        <v>1</v>
      </c>
      <c r="F1355" t="s">
        <v>1987</v>
      </c>
    </row>
    <row r="1356" spans="1:6" x14ac:dyDescent="0.25">
      <c r="A1356" t="s">
        <v>4200</v>
      </c>
      <c r="B1356" t="s">
        <v>1988</v>
      </c>
      <c r="C1356" t="s">
        <v>1989</v>
      </c>
    </row>
    <row r="1357" spans="1:6" x14ac:dyDescent="0.25">
      <c r="A1357" t="s">
        <v>4200</v>
      </c>
      <c r="B1357" t="s">
        <v>1990</v>
      </c>
      <c r="C1357" t="s">
        <v>445</v>
      </c>
      <c r="D1357" t="str">
        <f>HYPERLINK("http://service.sap.com/sap/support/notes/1732660","1732660")</f>
        <v>1732660</v>
      </c>
      <c r="E1357">
        <v>1</v>
      </c>
      <c r="F1357" t="s">
        <v>1991</v>
      </c>
    </row>
    <row r="1358" spans="1:6" x14ac:dyDescent="0.25">
      <c r="A1358" t="s">
        <v>4200</v>
      </c>
      <c r="B1358" t="s">
        <v>1990</v>
      </c>
      <c r="C1358" t="s">
        <v>445</v>
      </c>
      <c r="D1358" t="str">
        <f>HYPERLINK("http://service.sap.com/sap/support/notes/1732735","1732735")</f>
        <v>1732735</v>
      </c>
      <c r="E1358">
        <v>1</v>
      </c>
      <c r="F1358" t="s">
        <v>1992</v>
      </c>
    </row>
    <row r="1359" spans="1:6" x14ac:dyDescent="0.25">
      <c r="A1359" t="s">
        <v>4200</v>
      </c>
      <c r="B1359" t="s">
        <v>1990</v>
      </c>
      <c r="C1359" t="s">
        <v>445</v>
      </c>
      <c r="D1359" t="str">
        <f>HYPERLINK("http://service.sap.com/sap/support/notes/1748455","1748455")</f>
        <v>1748455</v>
      </c>
      <c r="E1359">
        <v>2</v>
      </c>
      <c r="F1359" t="s">
        <v>1993</v>
      </c>
    </row>
    <row r="1360" spans="1:6" x14ac:dyDescent="0.25">
      <c r="A1360" t="s">
        <v>4200</v>
      </c>
      <c r="B1360" t="s">
        <v>1994</v>
      </c>
      <c r="C1360" t="s">
        <v>1995</v>
      </c>
    </row>
    <row r="1361" spans="1:6" x14ac:dyDescent="0.25">
      <c r="A1361" t="s">
        <v>4200</v>
      </c>
      <c r="B1361" t="s">
        <v>1996</v>
      </c>
      <c r="C1361" t="s">
        <v>1997</v>
      </c>
      <c r="D1361" t="str">
        <f>HYPERLINK("http://service.sap.com/sap/support/notes/1328258","1328258")</f>
        <v>1328258</v>
      </c>
      <c r="E1361">
        <v>4</v>
      </c>
      <c r="F1361" t="s">
        <v>1998</v>
      </c>
    </row>
    <row r="1362" spans="1:6" x14ac:dyDescent="0.25">
      <c r="A1362" t="s">
        <v>4200</v>
      </c>
      <c r="B1362" t="s">
        <v>1996</v>
      </c>
      <c r="C1362" t="s">
        <v>1997</v>
      </c>
      <c r="D1362" t="str">
        <f>HYPERLINK("http://service.sap.com/sap/support/notes/1682751","1682751")</f>
        <v>1682751</v>
      </c>
      <c r="E1362">
        <v>1</v>
      </c>
      <c r="F1362" t="s">
        <v>1999</v>
      </c>
    </row>
    <row r="1363" spans="1:6" x14ac:dyDescent="0.25">
      <c r="A1363" t="s">
        <v>4200</v>
      </c>
      <c r="B1363" t="s">
        <v>1996</v>
      </c>
      <c r="C1363" t="s">
        <v>1997</v>
      </c>
      <c r="D1363" t="str">
        <f>HYPERLINK("http://service.sap.com/sap/support/notes/1722600","1722600")</f>
        <v>1722600</v>
      </c>
      <c r="E1363">
        <v>1</v>
      </c>
      <c r="F1363" t="s">
        <v>2000</v>
      </c>
    </row>
    <row r="1364" spans="1:6" x14ac:dyDescent="0.25">
      <c r="A1364" t="s">
        <v>4200</v>
      </c>
      <c r="B1364" t="s">
        <v>1996</v>
      </c>
      <c r="C1364" t="s">
        <v>1997</v>
      </c>
      <c r="D1364" t="str">
        <f>HYPERLINK("http://service.sap.com/sap/support/notes/1722668","1722668")</f>
        <v>1722668</v>
      </c>
      <c r="E1364">
        <v>3</v>
      </c>
      <c r="F1364" t="s">
        <v>2001</v>
      </c>
    </row>
    <row r="1365" spans="1:6" x14ac:dyDescent="0.25">
      <c r="A1365" t="s">
        <v>4200</v>
      </c>
      <c r="B1365" t="s">
        <v>2002</v>
      </c>
      <c r="C1365" t="s">
        <v>657</v>
      </c>
    </row>
    <row r="1366" spans="1:6" x14ac:dyDescent="0.25">
      <c r="A1366" t="s">
        <v>4200</v>
      </c>
      <c r="B1366" t="s">
        <v>2003</v>
      </c>
      <c r="C1366" t="s">
        <v>2004</v>
      </c>
      <c r="D1366" t="str">
        <f>HYPERLINK("http://service.sap.com/sap/support/notes/1727328","1727328")</f>
        <v>1727328</v>
      </c>
      <c r="E1366">
        <v>1</v>
      </c>
      <c r="F1366" t="s">
        <v>2005</v>
      </c>
    </row>
    <row r="1367" spans="1:6" x14ac:dyDescent="0.25">
      <c r="A1367" t="s">
        <v>4200</v>
      </c>
      <c r="B1367" t="s">
        <v>2003</v>
      </c>
      <c r="C1367" t="s">
        <v>2004</v>
      </c>
      <c r="D1367" t="str">
        <f>HYPERLINK("http://service.sap.com/sap/support/notes/1735557","1735557")</f>
        <v>1735557</v>
      </c>
      <c r="E1367">
        <v>1</v>
      </c>
      <c r="F1367" t="s">
        <v>2006</v>
      </c>
    </row>
    <row r="1368" spans="1:6" x14ac:dyDescent="0.25">
      <c r="A1368" t="s">
        <v>4200</v>
      </c>
      <c r="B1368" t="s">
        <v>2003</v>
      </c>
      <c r="C1368" t="s">
        <v>2004</v>
      </c>
      <c r="D1368" t="str">
        <f>HYPERLINK("http://service.sap.com/sap/support/notes/1738507","1738507")</f>
        <v>1738507</v>
      </c>
      <c r="E1368">
        <v>1</v>
      </c>
      <c r="F1368" t="s">
        <v>2007</v>
      </c>
    </row>
    <row r="1369" spans="1:6" x14ac:dyDescent="0.25">
      <c r="A1369" t="s">
        <v>4200</v>
      </c>
      <c r="B1369" t="s">
        <v>2003</v>
      </c>
      <c r="C1369" t="s">
        <v>2004</v>
      </c>
      <c r="D1369" t="str">
        <f>HYPERLINK("http://service.sap.com/sap/support/notes/1741045","1741045")</f>
        <v>1741045</v>
      </c>
      <c r="E1369">
        <v>1</v>
      </c>
      <c r="F1369" t="s">
        <v>2008</v>
      </c>
    </row>
    <row r="1370" spans="1:6" x14ac:dyDescent="0.25">
      <c r="A1370" t="s">
        <v>4200</v>
      </c>
      <c r="B1370" t="s">
        <v>2003</v>
      </c>
      <c r="C1370" t="s">
        <v>2004</v>
      </c>
      <c r="D1370" t="str">
        <f>HYPERLINK("http://service.sap.com/sap/support/notes/1756678","1756678")</f>
        <v>1756678</v>
      </c>
      <c r="E1370">
        <v>1</v>
      </c>
      <c r="F1370" t="s">
        <v>2009</v>
      </c>
    </row>
    <row r="1371" spans="1:6" x14ac:dyDescent="0.25">
      <c r="A1371" t="s">
        <v>4200</v>
      </c>
      <c r="B1371" t="s">
        <v>2003</v>
      </c>
      <c r="C1371" t="s">
        <v>2004</v>
      </c>
      <c r="D1371" t="str">
        <f>HYPERLINK("http://service.sap.com/sap/support/notes/1764986","1764986")</f>
        <v>1764986</v>
      </c>
      <c r="E1371">
        <v>1</v>
      </c>
      <c r="F1371" t="s">
        <v>2010</v>
      </c>
    </row>
    <row r="1372" spans="1:6" x14ac:dyDescent="0.25">
      <c r="A1372" t="s">
        <v>4200</v>
      </c>
      <c r="B1372" t="s">
        <v>2011</v>
      </c>
      <c r="C1372" t="s">
        <v>2012</v>
      </c>
      <c r="D1372" t="str">
        <f>HYPERLINK("http://service.sap.com/sap/support/notes/1698615","1698615")</f>
        <v>1698615</v>
      </c>
      <c r="E1372">
        <v>2</v>
      </c>
      <c r="F1372" t="s">
        <v>2013</v>
      </c>
    </row>
    <row r="1373" spans="1:6" x14ac:dyDescent="0.25">
      <c r="A1373" t="s">
        <v>4200</v>
      </c>
      <c r="B1373" t="s">
        <v>2011</v>
      </c>
      <c r="C1373" t="s">
        <v>2012</v>
      </c>
      <c r="D1373" t="str">
        <f>HYPERLINK("http://service.sap.com/sap/support/notes/1722095","1722095")</f>
        <v>1722095</v>
      </c>
      <c r="E1373">
        <v>2</v>
      </c>
      <c r="F1373" t="s">
        <v>2014</v>
      </c>
    </row>
    <row r="1374" spans="1:6" x14ac:dyDescent="0.25">
      <c r="A1374" t="s">
        <v>4200</v>
      </c>
      <c r="B1374" t="s">
        <v>2011</v>
      </c>
      <c r="C1374" t="s">
        <v>2012</v>
      </c>
      <c r="D1374" t="str">
        <f>HYPERLINK("http://service.sap.com/sap/support/notes/1733326","1733326")</f>
        <v>1733326</v>
      </c>
      <c r="E1374">
        <v>1</v>
      </c>
      <c r="F1374" t="s">
        <v>2015</v>
      </c>
    </row>
    <row r="1375" spans="1:6" x14ac:dyDescent="0.25">
      <c r="A1375" t="s">
        <v>4200</v>
      </c>
      <c r="B1375" t="s">
        <v>2011</v>
      </c>
      <c r="C1375" t="s">
        <v>2012</v>
      </c>
      <c r="D1375" t="str">
        <f>HYPERLINK("http://service.sap.com/sap/support/notes/1739823","1739823")</f>
        <v>1739823</v>
      </c>
      <c r="E1375">
        <v>3</v>
      </c>
      <c r="F1375" t="s">
        <v>2016</v>
      </c>
    </row>
    <row r="1376" spans="1:6" x14ac:dyDescent="0.25">
      <c r="A1376" t="s">
        <v>4200</v>
      </c>
      <c r="B1376" t="s">
        <v>2011</v>
      </c>
      <c r="C1376" t="s">
        <v>2012</v>
      </c>
      <c r="D1376" t="str">
        <f>HYPERLINK("http://service.sap.com/sap/support/notes/1749700","1749700")</f>
        <v>1749700</v>
      </c>
      <c r="E1376">
        <v>3</v>
      </c>
      <c r="F1376" t="s">
        <v>2017</v>
      </c>
    </row>
    <row r="1377" spans="1:6" x14ac:dyDescent="0.25">
      <c r="A1377" t="s">
        <v>4200</v>
      </c>
      <c r="B1377" t="s">
        <v>2011</v>
      </c>
      <c r="C1377" t="s">
        <v>2012</v>
      </c>
      <c r="D1377" t="str">
        <f>HYPERLINK("http://service.sap.com/sap/support/notes/1750615","1750615")</f>
        <v>1750615</v>
      </c>
      <c r="E1377">
        <v>1</v>
      </c>
      <c r="F1377" t="s">
        <v>2018</v>
      </c>
    </row>
    <row r="1378" spans="1:6" x14ac:dyDescent="0.25">
      <c r="A1378" t="s">
        <v>4200</v>
      </c>
      <c r="B1378" t="s">
        <v>2011</v>
      </c>
      <c r="C1378" t="s">
        <v>2012</v>
      </c>
      <c r="D1378" t="str">
        <f>HYPERLINK("http://service.sap.com/sap/support/notes/1752215","1752215")</f>
        <v>1752215</v>
      </c>
      <c r="E1378">
        <v>1</v>
      </c>
      <c r="F1378" t="s">
        <v>2019</v>
      </c>
    </row>
    <row r="1379" spans="1:6" x14ac:dyDescent="0.25">
      <c r="A1379" t="s">
        <v>4200</v>
      </c>
      <c r="B1379" t="s">
        <v>2011</v>
      </c>
      <c r="C1379" t="s">
        <v>2012</v>
      </c>
      <c r="D1379" t="str">
        <f>HYPERLINK("http://service.sap.com/sap/support/notes/1757440","1757440")</f>
        <v>1757440</v>
      </c>
      <c r="E1379">
        <v>1</v>
      </c>
      <c r="F1379" t="s">
        <v>2020</v>
      </c>
    </row>
    <row r="1380" spans="1:6" x14ac:dyDescent="0.25">
      <c r="A1380" t="s">
        <v>4200</v>
      </c>
      <c r="B1380" t="s">
        <v>2011</v>
      </c>
      <c r="C1380" t="s">
        <v>2012</v>
      </c>
      <c r="D1380" t="str">
        <f>HYPERLINK("http://service.sap.com/sap/support/notes/1759789","1759789")</f>
        <v>1759789</v>
      </c>
      <c r="E1380">
        <v>2</v>
      </c>
      <c r="F1380" t="s">
        <v>2021</v>
      </c>
    </row>
    <row r="1381" spans="1:6" x14ac:dyDescent="0.25">
      <c r="A1381" t="s">
        <v>4200</v>
      </c>
      <c r="B1381" t="s">
        <v>2022</v>
      </c>
      <c r="C1381" t="s">
        <v>2023</v>
      </c>
      <c r="D1381" t="str">
        <f>HYPERLINK("http://service.sap.com/sap/support/notes/1727387","1727387")</f>
        <v>1727387</v>
      </c>
      <c r="E1381">
        <v>1</v>
      </c>
      <c r="F1381" t="s">
        <v>2024</v>
      </c>
    </row>
    <row r="1382" spans="1:6" x14ac:dyDescent="0.25">
      <c r="A1382" t="s">
        <v>4200</v>
      </c>
      <c r="B1382" t="s">
        <v>2022</v>
      </c>
      <c r="C1382" t="s">
        <v>2023</v>
      </c>
      <c r="D1382" t="str">
        <f>HYPERLINK("http://service.sap.com/sap/support/notes/1732648","1732648")</f>
        <v>1732648</v>
      </c>
      <c r="E1382">
        <v>1</v>
      </c>
      <c r="F1382" t="s">
        <v>2025</v>
      </c>
    </row>
    <row r="1383" spans="1:6" x14ac:dyDescent="0.25">
      <c r="A1383" t="s">
        <v>4200</v>
      </c>
      <c r="B1383" t="s">
        <v>2022</v>
      </c>
      <c r="C1383" t="s">
        <v>2023</v>
      </c>
      <c r="D1383" t="str">
        <f>HYPERLINK("http://service.sap.com/sap/support/notes/1732968","1732968")</f>
        <v>1732968</v>
      </c>
      <c r="E1383">
        <v>3</v>
      </c>
      <c r="F1383" t="s">
        <v>2026</v>
      </c>
    </row>
    <row r="1384" spans="1:6" x14ac:dyDescent="0.25">
      <c r="A1384" t="s">
        <v>4200</v>
      </c>
      <c r="B1384" t="s">
        <v>2022</v>
      </c>
      <c r="C1384" t="s">
        <v>2023</v>
      </c>
      <c r="D1384" t="str">
        <f>HYPERLINK("http://service.sap.com/sap/support/notes/1749033","1749033")</f>
        <v>1749033</v>
      </c>
      <c r="E1384">
        <v>1</v>
      </c>
      <c r="F1384" t="s">
        <v>2027</v>
      </c>
    </row>
    <row r="1385" spans="1:6" x14ac:dyDescent="0.25">
      <c r="A1385" t="s">
        <v>4200</v>
      </c>
      <c r="B1385" t="s">
        <v>2022</v>
      </c>
      <c r="C1385" t="s">
        <v>2023</v>
      </c>
      <c r="D1385" t="str">
        <f>HYPERLINK("http://service.sap.com/sap/support/notes/1751413","1751413")</f>
        <v>1751413</v>
      </c>
      <c r="E1385">
        <v>1</v>
      </c>
      <c r="F1385" t="s">
        <v>2028</v>
      </c>
    </row>
    <row r="1386" spans="1:6" x14ac:dyDescent="0.25">
      <c r="A1386" t="s">
        <v>4200</v>
      </c>
      <c r="B1386" t="s">
        <v>2022</v>
      </c>
      <c r="C1386" t="s">
        <v>2023</v>
      </c>
      <c r="D1386" t="str">
        <f>HYPERLINK("http://service.sap.com/sap/support/notes/1751966","1751966")</f>
        <v>1751966</v>
      </c>
      <c r="E1386">
        <v>1</v>
      </c>
      <c r="F1386" t="s">
        <v>2029</v>
      </c>
    </row>
    <row r="1387" spans="1:6" x14ac:dyDescent="0.25">
      <c r="A1387" t="s">
        <v>4200</v>
      </c>
      <c r="B1387" t="s">
        <v>2022</v>
      </c>
      <c r="C1387" t="s">
        <v>2023</v>
      </c>
      <c r="D1387" t="str">
        <f>HYPERLINK("http://service.sap.com/sap/support/notes/1760218","1760218")</f>
        <v>1760218</v>
      </c>
      <c r="E1387">
        <v>2</v>
      </c>
      <c r="F1387" t="s">
        <v>2030</v>
      </c>
    </row>
    <row r="1388" spans="1:6" x14ac:dyDescent="0.25">
      <c r="A1388" t="s">
        <v>4200</v>
      </c>
      <c r="B1388" t="s">
        <v>2031</v>
      </c>
      <c r="C1388" t="s">
        <v>2032</v>
      </c>
      <c r="D1388" t="str">
        <f>HYPERLINK("http://service.sap.com/sap/support/notes/1732220","1732220")</f>
        <v>1732220</v>
      </c>
      <c r="E1388">
        <v>2</v>
      </c>
      <c r="F1388" t="s">
        <v>2033</v>
      </c>
    </row>
    <row r="1389" spans="1:6" x14ac:dyDescent="0.25">
      <c r="A1389" t="s">
        <v>4200</v>
      </c>
      <c r="B1389" t="s">
        <v>2034</v>
      </c>
      <c r="C1389" t="s">
        <v>2035</v>
      </c>
      <c r="D1389" t="str">
        <f>HYPERLINK("http://service.sap.com/sap/support/notes/1717883","1717883")</f>
        <v>1717883</v>
      </c>
      <c r="E1389">
        <v>1</v>
      </c>
      <c r="F1389" t="s">
        <v>2036</v>
      </c>
    </row>
    <row r="1390" spans="1:6" x14ac:dyDescent="0.25">
      <c r="A1390" t="s">
        <v>4200</v>
      </c>
      <c r="B1390" t="s">
        <v>2034</v>
      </c>
      <c r="C1390" t="s">
        <v>2035</v>
      </c>
      <c r="D1390" t="str">
        <f>HYPERLINK("http://service.sap.com/sap/support/notes/1720870","1720870")</f>
        <v>1720870</v>
      </c>
      <c r="E1390">
        <v>1</v>
      </c>
      <c r="F1390" t="s">
        <v>2037</v>
      </c>
    </row>
    <row r="1391" spans="1:6" x14ac:dyDescent="0.25">
      <c r="A1391" t="s">
        <v>4200</v>
      </c>
      <c r="B1391" t="s">
        <v>2034</v>
      </c>
      <c r="C1391" t="s">
        <v>2035</v>
      </c>
      <c r="D1391" t="str">
        <f>HYPERLINK("http://service.sap.com/sap/support/notes/1728525","1728525")</f>
        <v>1728525</v>
      </c>
      <c r="E1391">
        <v>2</v>
      </c>
      <c r="F1391" t="s">
        <v>2038</v>
      </c>
    </row>
    <row r="1392" spans="1:6" x14ac:dyDescent="0.25">
      <c r="A1392" t="s">
        <v>4200</v>
      </c>
      <c r="B1392" t="s">
        <v>2034</v>
      </c>
      <c r="C1392" t="s">
        <v>2035</v>
      </c>
      <c r="D1392" t="str">
        <f>HYPERLINK("http://service.sap.com/sap/support/notes/1730284","1730284")</f>
        <v>1730284</v>
      </c>
      <c r="E1392">
        <v>1</v>
      </c>
      <c r="F1392" t="s">
        <v>2039</v>
      </c>
    </row>
    <row r="1393" spans="1:6" x14ac:dyDescent="0.25">
      <c r="A1393" t="s">
        <v>4200</v>
      </c>
      <c r="B1393" t="s">
        <v>2034</v>
      </c>
      <c r="C1393" t="s">
        <v>2035</v>
      </c>
      <c r="D1393" t="str">
        <f>HYPERLINK("http://service.sap.com/sap/support/notes/1730733","1730733")</f>
        <v>1730733</v>
      </c>
      <c r="E1393">
        <v>2</v>
      </c>
      <c r="F1393" t="s">
        <v>2040</v>
      </c>
    </row>
    <row r="1394" spans="1:6" x14ac:dyDescent="0.25">
      <c r="A1394" t="s">
        <v>4200</v>
      </c>
      <c r="B1394" t="s">
        <v>2034</v>
      </c>
      <c r="C1394" t="s">
        <v>2035</v>
      </c>
      <c r="D1394" t="str">
        <f>HYPERLINK("http://service.sap.com/sap/support/notes/1731845","1731845")</f>
        <v>1731845</v>
      </c>
      <c r="E1394">
        <v>2</v>
      </c>
      <c r="F1394" t="s">
        <v>2041</v>
      </c>
    </row>
    <row r="1395" spans="1:6" x14ac:dyDescent="0.25">
      <c r="A1395" t="s">
        <v>4200</v>
      </c>
      <c r="B1395" t="s">
        <v>2034</v>
      </c>
      <c r="C1395" t="s">
        <v>2035</v>
      </c>
      <c r="D1395" t="str">
        <f>HYPERLINK("http://service.sap.com/sap/support/notes/1744729","1744729")</f>
        <v>1744729</v>
      </c>
      <c r="E1395">
        <v>1</v>
      </c>
      <c r="F1395" t="s">
        <v>2042</v>
      </c>
    </row>
    <row r="1396" spans="1:6" x14ac:dyDescent="0.25">
      <c r="A1396" t="s">
        <v>4200</v>
      </c>
      <c r="B1396" t="s">
        <v>2034</v>
      </c>
      <c r="C1396" t="s">
        <v>2035</v>
      </c>
      <c r="D1396" t="str">
        <f>HYPERLINK("http://service.sap.com/sap/support/notes/1749907","1749907")</f>
        <v>1749907</v>
      </c>
      <c r="E1396">
        <v>1</v>
      </c>
      <c r="F1396" t="s">
        <v>2043</v>
      </c>
    </row>
    <row r="1397" spans="1:6" x14ac:dyDescent="0.25">
      <c r="A1397" t="s">
        <v>4200</v>
      </c>
      <c r="B1397" t="s">
        <v>2034</v>
      </c>
      <c r="C1397" t="s">
        <v>2035</v>
      </c>
      <c r="D1397" t="str">
        <f>HYPERLINK("http://service.sap.com/sap/support/notes/1754564","1754564")</f>
        <v>1754564</v>
      </c>
      <c r="E1397">
        <v>2</v>
      </c>
      <c r="F1397" t="s">
        <v>2044</v>
      </c>
    </row>
    <row r="1398" spans="1:6" x14ac:dyDescent="0.25">
      <c r="A1398" t="s">
        <v>4200</v>
      </c>
      <c r="B1398" t="s">
        <v>2034</v>
      </c>
      <c r="C1398" t="s">
        <v>2035</v>
      </c>
      <c r="D1398" t="str">
        <f>HYPERLINK("http://service.sap.com/sap/support/notes/1754952","1754952")</f>
        <v>1754952</v>
      </c>
      <c r="E1398">
        <v>3</v>
      </c>
      <c r="F1398" t="s">
        <v>2045</v>
      </c>
    </row>
    <row r="1399" spans="1:6" x14ac:dyDescent="0.25">
      <c r="A1399" t="s">
        <v>4200</v>
      </c>
      <c r="B1399" t="s">
        <v>2034</v>
      </c>
      <c r="C1399" t="s">
        <v>2035</v>
      </c>
      <c r="D1399" t="str">
        <f>HYPERLINK("http://service.sap.com/sap/support/notes/1756397","1756397")</f>
        <v>1756397</v>
      </c>
      <c r="E1399">
        <v>3</v>
      </c>
      <c r="F1399" t="s">
        <v>2046</v>
      </c>
    </row>
    <row r="1400" spans="1:6" x14ac:dyDescent="0.25">
      <c r="A1400" t="s">
        <v>4200</v>
      </c>
      <c r="B1400" t="s">
        <v>2034</v>
      </c>
      <c r="C1400" t="s">
        <v>2035</v>
      </c>
      <c r="D1400" t="str">
        <f>HYPERLINK("http://service.sap.com/sap/support/notes/1760614","1760614")</f>
        <v>1760614</v>
      </c>
      <c r="E1400">
        <v>3</v>
      </c>
      <c r="F1400" t="s">
        <v>2047</v>
      </c>
    </row>
    <row r="1401" spans="1:6" x14ac:dyDescent="0.25">
      <c r="A1401" t="s">
        <v>4200</v>
      </c>
      <c r="B1401" t="s">
        <v>2034</v>
      </c>
      <c r="C1401" t="s">
        <v>2035</v>
      </c>
      <c r="D1401" t="str">
        <f>HYPERLINK("http://service.sap.com/sap/support/notes/1762850","1762850")</f>
        <v>1762850</v>
      </c>
      <c r="E1401">
        <v>3</v>
      </c>
      <c r="F1401" t="s">
        <v>2048</v>
      </c>
    </row>
    <row r="1402" spans="1:6" x14ac:dyDescent="0.25">
      <c r="A1402" t="s">
        <v>4200</v>
      </c>
      <c r="B1402" t="s">
        <v>2049</v>
      </c>
      <c r="C1402" t="s">
        <v>2050</v>
      </c>
      <c r="D1402" t="str">
        <f>HYPERLINK("http://service.sap.com/sap/support/notes/1758358","1758358")</f>
        <v>1758358</v>
      </c>
      <c r="E1402">
        <v>2</v>
      </c>
      <c r="F1402" t="s">
        <v>2051</v>
      </c>
    </row>
    <row r="1403" spans="1:6" x14ac:dyDescent="0.25">
      <c r="A1403" t="s">
        <v>4200</v>
      </c>
      <c r="B1403" t="s">
        <v>2052</v>
      </c>
      <c r="C1403" t="s">
        <v>2053</v>
      </c>
      <c r="D1403" t="str">
        <f>HYPERLINK("http://service.sap.com/sap/support/notes/1586197","1586197")</f>
        <v>1586197</v>
      </c>
      <c r="E1403">
        <v>3</v>
      </c>
      <c r="F1403" t="s">
        <v>2054</v>
      </c>
    </row>
    <row r="1404" spans="1:6" x14ac:dyDescent="0.25">
      <c r="A1404" t="s">
        <v>4200</v>
      </c>
      <c r="B1404" t="s">
        <v>2052</v>
      </c>
      <c r="C1404" t="s">
        <v>2053</v>
      </c>
      <c r="D1404" t="str">
        <f>HYPERLINK("http://service.sap.com/sap/support/notes/1712944","1712944")</f>
        <v>1712944</v>
      </c>
      <c r="E1404">
        <v>1</v>
      </c>
      <c r="F1404" t="s">
        <v>2055</v>
      </c>
    </row>
    <row r="1405" spans="1:6" x14ac:dyDescent="0.25">
      <c r="A1405" t="s">
        <v>4200</v>
      </c>
      <c r="B1405" t="s">
        <v>2052</v>
      </c>
      <c r="C1405" t="s">
        <v>2053</v>
      </c>
      <c r="D1405" t="str">
        <f>HYPERLINK("http://service.sap.com/sap/support/notes/1713909","1713909")</f>
        <v>1713909</v>
      </c>
      <c r="E1405">
        <v>2</v>
      </c>
      <c r="F1405" t="s">
        <v>2056</v>
      </c>
    </row>
    <row r="1406" spans="1:6" x14ac:dyDescent="0.25">
      <c r="A1406" t="s">
        <v>4200</v>
      </c>
      <c r="B1406" t="s">
        <v>2052</v>
      </c>
      <c r="C1406" t="s">
        <v>2053</v>
      </c>
      <c r="D1406" t="str">
        <f>HYPERLINK("http://service.sap.com/sap/support/notes/1744319","1744319")</f>
        <v>1744319</v>
      </c>
      <c r="E1406">
        <v>3</v>
      </c>
      <c r="F1406" t="s">
        <v>2057</v>
      </c>
    </row>
    <row r="1407" spans="1:6" x14ac:dyDescent="0.25">
      <c r="A1407" t="s">
        <v>4200</v>
      </c>
      <c r="B1407" t="s">
        <v>2052</v>
      </c>
      <c r="C1407" t="s">
        <v>2053</v>
      </c>
      <c r="D1407" t="str">
        <f>HYPERLINK("http://service.sap.com/sap/support/notes/1754846","1754846")</f>
        <v>1754846</v>
      </c>
      <c r="E1407">
        <v>2</v>
      </c>
      <c r="F1407" t="s">
        <v>2058</v>
      </c>
    </row>
    <row r="1408" spans="1:6" x14ac:dyDescent="0.25">
      <c r="A1408" t="s">
        <v>4200</v>
      </c>
      <c r="B1408" t="s">
        <v>2052</v>
      </c>
      <c r="C1408" t="s">
        <v>2053</v>
      </c>
      <c r="D1408" t="str">
        <f>HYPERLINK("http://service.sap.com/sap/support/notes/1756258","1756258")</f>
        <v>1756258</v>
      </c>
      <c r="E1408">
        <v>1</v>
      </c>
      <c r="F1408" t="s">
        <v>2059</v>
      </c>
    </row>
    <row r="1409" spans="1:6" x14ac:dyDescent="0.25">
      <c r="A1409" t="s">
        <v>4200</v>
      </c>
      <c r="B1409" t="s">
        <v>2052</v>
      </c>
      <c r="C1409" t="s">
        <v>2053</v>
      </c>
      <c r="D1409" t="str">
        <f>HYPERLINK("http://service.sap.com/sap/support/notes/1762981","1762981")</f>
        <v>1762981</v>
      </c>
      <c r="E1409">
        <v>1</v>
      </c>
      <c r="F1409" t="s">
        <v>2060</v>
      </c>
    </row>
    <row r="1410" spans="1:6" x14ac:dyDescent="0.25">
      <c r="A1410" t="s">
        <v>4200</v>
      </c>
      <c r="B1410" t="s">
        <v>2052</v>
      </c>
      <c r="C1410" t="s">
        <v>2053</v>
      </c>
      <c r="D1410" t="str">
        <f>HYPERLINK("http://service.sap.com/sap/support/notes/1765071","1765071")</f>
        <v>1765071</v>
      </c>
      <c r="E1410">
        <v>1</v>
      </c>
      <c r="F1410" t="s">
        <v>2061</v>
      </c>
    </row>
    <row r="1411" spans="1:6" x14ac:dyDescent="0.25">
      <c r="A1411" t="s">
        <v>4200</v>
      </c>
      <c r="B1411" t="s">
        <v>2062</v>
      </c>
      <c r="C1411" t="s">
        <v>2063</v>
      </c>
      <c r="D1411" t="str">
        <f>HYPERLINK("http://service.sap.com/sap/support/notes/1448819","1448819")</f>
        <v>1448819</v>
      </c>
      <c r="E1411">
        <v>4</v>
      </c>
      <c r="F1411" t="s">
        <v>2064</v>
      </c>
    </row>
    <row r="1412" spans="1:6" x14ac:dyDescent="0.25">
      <c r="A1412" t="s">
        <v>4200</v>
      </c>
      <c r="B1412" t="s">
        <v>2062</v>
      </c>
      <c r="C1412" t="s">
        <v>2063</v>
      </c>
      <c r="D1412" t="str">
        <f>HYPERLINK("http://service.sap.com/sap/support/notes/1638821","1638821")</f>
        <v>1638821</v>
      </c>
      <c r="E1412">
        <v>2</v>
      </c>
      <c r="F1412" t="s">
        <v>2065</v>
      </c>
    </row>
    <row r="1413" spans="1:6" x14ac:dyDescent="0.25">
      <c r="A1413" t="s">
        <v>4200</v>
      </c>
      <c r="B1413" t="s">
        <v>2062</v>
      </c>
      <c r="C1413" t="s">
        <v>2063</v>
      </c>
      <c r="D1413" t="str">
        <f>HYPERLINK("http://service.sap.com/sap/support/notes/1641732","1641732")</f>
        <v>1641732</v>
      </c>
      <c r="E1413">
        <v>4</v>
      </c>
      <c r="F1413" t="s">
        <v>2066</v>
      </c>
    </row>
    <row r="1414" spans="1:6" x14ac:dyDescent="0.25">
      <c r="A1414" t="s">
        <v>4200</v>
      </c>
      <c r="B1414" t="s">
        <v>2067</v>
      </c>
      <c r="C1414" t="s">
        <v>2068</v>
      </c>
      <c r="D1414" t="str">
        <f>HYPERLINK("http://service.sap.com/sap/support/notes/1665894","1665894")</f>
        <v>1665894</v>
      </c>
      <c r="E1414">
        <v>9</v>
      </c>
      <c r="F1414" t="s">
        <v>2069</v>
      </c>
    </row>
    <row r="1415" spans="1:6" x14ac:dyDescent="0.25">
      <c r="A1415" t="s">
        <v>4200</v>
      </c>
      <c r="B1415" t="s">
        <v>2067</v>
      </c>
      <c r="C1415" t="s">
        <v>2068</v>
      </c>
      <c r="D1415" t="str">
        <f>HYPERLINK("http://service.sap.com/sap/support/notes/1737509","1737509")</f>
        <v>1737509</v>
      </c>
      <c r="E1415">
        <v>1</v>
      </c>
      <c r="F1415" t="s">
        <v>2070</v>
      </c>
    </row>
    <row r="1416" spans="1:6" x14ac:dyDescent="0.25">
      <c r="A1416" t="s">
        <v>4200</v>
      </c>
      <c r="B1416" t="s">
        <v>2067</v>
      </c>
      <c r="C1416" t="s">
        <v>2068</v>
      </c>
      <c r="D1416" t="str">
        <f>HYPERLINK("http://service.sap.com/sap/support/notes/1750036","1750036")</f>
        <v>1750036</v>
      </c>
      <c r="E1416">
        <v>2</v>
      </c>
      <c r="F1416" t="s">
        <v>2071</v>
      </c>
    </row>
    <row r="1417" spans="1:6" x14ac:dyDescent="0.25">
      <c r="A1417" t="s">
        <v>4200</v>
      </c>
      <c r="B1417" t="s">
        <v>2067</v>
      </c>
      <c r="C1417" t="s">
        <v>2068</v>
      </c>
      <c r="D1417" t="str">
        <f>HYPERLINK("http://service.sap.com/sap/support/notes/1751786","1751786")</f>
        <v>1751786</v>
      </c>
      <c r="E1417">
        <v>2</v>
      </c>
      <c r="F1417" t="s">
        <v>2072</v>
      </c>
    </row>
    <row r="1418" spans="1:6" x14ac:dyDescent="0.25">
      <c r="A1418" t="s">
        <v>4200</v>
      </c>
      <c r="B1418" t="s">
        <v>2067</v>
      </c>
      <c r="C1418" t="s">
        <v>2068</v>
      </c>
      <c r="D1418" t="str">
        <f>HYPERLINK("http://service.sap.com/sap/support/notes/1752085","1752085")</f>
        <v>1752085</v>
      </c>
      <c r="E1418">
        <v>3</v>
      </c>
      <c r="F1418" t="s">
        <v>2073</v>
      </c>
    </row>
    <row r="1419" spans="1:6" x14ac:dyDescent="0.25">
      <c r="A1419" t="s">
        <v>4200</v>
      </c>
      <c r="B1419" t="s">
        <v>2074</v>
      </c>
      <c r="C1419" t="s">
        <v>2075</v>
      </c>
      <c r="D1419" t="str">
        <f>HYPERLINK("http://service.sap.com/sap/support/notes/1734995","1734995")</f>
        <v>1734995</v>
      </c>
      <c r="E1419">
        <v>5</v>
      </c>
      <c r="F1419" t="s">
        <v>2076</v>
      </c>
    </row>
    <row r="1420" spans="1:6" x14ac:dyDescent="0.25">
      <c r="A1420" t="s">
        <v>4200</v>
      </c>
      <c r="B1420" t="s">
        <v>2074</v>
      </c>
      <c r="C1420" t="s">
        <v>2075</v>
      </c>
      <c r="D1420" t="str">
        <f>HYPERLINK("http://service.sap.com/sap/support/notes/1749532","1749532")</f>
        <v>1749532</v>
      </c>
      <c r="E1420">
        <v>1</v>
      </c>
      <c r="F1420" t="s">
        <v>2077</v>
      </c>
    </row>
    <row r="1421" spans="1:6" x14ac:dyDescent="0.25">
      <c r="A1421" t="s">
        <v>4200</v>
      </c>
      <c r="B1421" t="s">
        <v>2074</v>
      </c>
      <c r="C1421" t="s">
        <v>2075</v>
      </c>
      <c r="D1421" t="str">
        <f>HYPERLINK("http://service.sap.com/sap/support/notes/1750418","1750418")</f>
        <v>1750418</v>
      </c>
      <c r="E1421">
        <v>1</v>
      </c>
      <c r="F1421" t="s">
        <v>2078</v>
      </c>
    </row>
    <row r="1422" spans="1:6" x14ac:dyDescent="0.25">
      <c r="A1422" t="s">
        <v>4200</v>
      </c>
      <c r="B1422" t="s">
        <v>2079</v>
      </c>
      <c r="C1422" t="s">
        <v>2080</v>
      </c>
      <c r="D1422" t="str">
        <f>HYPERLINK("http://service.sap.com/sap/support/notes/1752251","1752251")</f>
        <v>1752251</v>
      </c>
      <c r="E1422">
        <v>4</v>
      </c>
      <c r="F1422" t="s">
        <v>2081</v>
      </c>
    </row>
    <row r="1423" spans="1:6" x14ac:dyDescent="0.25">
      <c r="A1423" t="s">
        <v>4200</v>
      </c>
      <c r="B1423" t="s">
        <v>2082</v>
      </c>
      <c r="C1423" t="s">
        <v>2083</v>
      </c>
    </row>
    <row r="1424" spans="1:6" x14ac:dyDescent="0.25">
      <c r="A1424" t="s">
        <v>4200</v>
      </c>
      <c r="B1424" t="s">
        <v>2084</v>
      </c>
      <c r="C1424" t="s">
        <v>1643</v>
      </c>
      <c r="D1424" t="str">
        <f>HYPERLINK("http://service.sap.com/sap/support/notes/1764660","1764660")</f>
        <v>1764660</v>
      </c>
      <c r="E1424">
        <v>1</v>
      </c>
      <c r="F1424" t="s">
        <v>2085</v>
      </c>
    </row>
    <row r="1425" spans="1:6" x14ac:dyDescent="0.25">
      <c r="A1425" t="s">
        <v>4200</v>
      </c>
      <c r="B1425" t="s">
        <v>2086</v>
      </c>
      <c r="C1425" t="s">
        <v>2087</v>
      </c>
      <c r="D1425" t="str">
        <f>HYPERLINK("http://service.sap.com/sap/support/notes/1702707","1702707")</f>
        <v>1702707</v>
      </c>
      <c r="E1425">
        <v>3</v>
      </c>
      <c r="F1425" t="s">
        <v>2088</v>
      </c>
    </row>
    <row r="1426" spans="1:6" x14ac:dyDescent="0.25">
      <c r="A1426" t="s">
        <v>4200</v>
      </c>
      <c r="B1426" t="s">
        <v>2086</v>
      </c>
      <c r="C1426" t="s">
        <v>2087</v>
      </c>
      <c r="D1426" t="str">
        <f>HYPERLINK("http://service.sap.com/sap/support/notes/1765228","1765228")</f>
        <v>1765228</v>
      </c>
      <c r="E1426">
        <v>1</v>
      </c>
      <c r="F1426" t="s">
        <v>2089</v>
      </c>
    </row>
    <row r="1427" spans="1:6" x14ac:dyDescent="0.25">
      <c r="A1427" t="s">
        <v>4200</v>
      </c>
      <c r="B1427" t="s">
        <v>2090</v>
      </c>
      <c r="C1427" t="s">
        <v>2091</v>
      </c>
      <c r="D1427" t="str">
        <f>HYPERLINK("http://service.sap.com/sap/support/notes/1696665","1696665")</f>
        <v>1696665</v>
      </c>
      <c r="E1427">
        <v>2</v>
      </c>
      <c r="F1427" t="s">
        <v>2092</v>
      </c>
    </row>
    <row r="1428" spans="1:6" x14ac:dyDescent="0.25">
      <c r="A1428" t="s">
        <v>4200</v>
      </c>
      <c r="B1428" t="s">
        <v>2090</v>
      </c>
      <c r="C1428" t="s">
        <v>2091</v>
      </c>
      <c r="D1428" t="str">
        <f>HYPERLINK("http://service.sap.com/sap/support/notes/1705352","1705352")</f>
        <v>1705352</v>
      </c>
      <c r="E1428">
        <v>3</v>
      </c>
      <c r="F1428" t="s">
        <v>2093</v>
      </c>
    </row>
    <row r="1429" spans="1:6" x14ac:dyDescent="0.25">
      <c r="A1429" t="s">
        <v>4200</v>
      </c>
      <c r="B1429" t="s">
        <v>2094</v>
      </c>
      <c r="C1429" t="s">
        <v>2095</v>
      </c>
      <c r="D1429" t="str">
        <f>HYPERLINK("http://service.sap.com/sap/support/notes/1660552","1660552")</f>
        <v>1660552</v>
      </c>
      <c r="E1429">
        <v>1</v>
      </c>
      <c r="F1429" t="s">
        <v>2096</v>
      </c>
    </row>
    <row r="1430" spans="1:6" x14ac:dyDescent="0.25">
      <c r="A1430" t="s">
        <v>4200</v>
      </c>
      <c r="B1430" t="s">
        <v>2097</v>
      </c>
      <c r="C1430" t="s">
        <v>2098</v>
      </c>
    </row>
    <row r="1431" spans="1:6" x14ac:dyDescent="0.25">
      <c r="A1431" t="s">
        <v>4200</v>
      </c>
      <c r="B1431" t="s">
        <v>2099</v>
      </c>
      <c r="C1431" t="s">
        <v>2100</v>
      </c>
      <c r="D1431" t="str">
        <f>HYPERLINK("http://service.sap.com/sap/support/notes/1736637","1736637")</f>
        <v>1736637</v>
      </c>
      <c r="E1431">
        <v>1</v>
      </c>
      <c r="F1431" t="s">
        <v>2101</v>
      </c>
    </row>
    <row r="1432" spans="1:6" x14ac:dyDescent="0.25">
      <c r="A1432" t="s">
        <v>4200</v>
      </c>
      <c r="B1432" t="s">
        <v>2102</v>
      </c>
      <c r="C1432" t="s">
        <v>2103</v>
      </c>
    </row>
    <row r="1433" spans="1:6" x14ac:dyDescent="0.25">
      <c r="A1433" t="s">
        <v>4200</v>
      </c>
      <c r="B1433" t="s">
        <v>2104</v>
      </c>
      <c r="C1433" t="s">
        <v>2105</v>
      </c>
      <c r="D1433" t="str">
        <f>HYPERLINK("http://service.sap.com/sap/support/notes/1731917","1731917")</f>
        <v>1731917</v>
      </c>
      <c r="E1433">
        <v>1</v>
      </c>
      <c r="F1433" t="s">
        <v>2106</v>
      </c>
    </row>
    <row r="1434" spans="1:6" x14ac:dyDescent="0.25">
      <c r="A1434" t="s">
        <v>4200</v>
      </c>
      <c r="B1434" t="s">
        <v>2104</v>
      </c>
      <c r="C1434" t="s">
        <v>2105</v>
      </c>
      <c r="D1434" t="str">
        <f>HYPERLINK("http://service.sap.com/sap/support/notes/1747337","1747337")</f>
        <v>1747337</v>
      </c>
      <c r="E1434">
        <v>1</v>
      </c>
      <c r="F1434" t="s">
        <v>2107</v>
      </c>
    </row>
    <row r="1435" spans="1:6" x14ac:dyDescent="0.25">
      <c r="A1435" t="s">
        <v>4200</v>
      </c>
      <c r="B1435" t="s">
        <v>2108</v>
      </c>
      <c r="C1435" t="s">
        <v>2109</v>
      </c>
    </row>
    <row r="1436" spans="1:6" x14ac:dyDescent="0.25">
      <c r="A1436" t="s">
        <v>4200</v>
      </c>
      <c r="B1436" t="s">
        <v>2110</v>
      </c>
      <c r="C1436" t="s">
        <v>1669</v>
      </c>
      <c r="D1436" t="str">
        <f>HYPERLINK("http://service.sap.com/sap/support/notes/1704033","1704033")</f>
        <v>1704033</v>
      </c>
      <c r="E1436">
        <v>3</v>
      </c>
      <c r="F1436" t="s">
        <v>2111</v>
      </c>
    </row>
    <row r="1437" spans="1:6" x14ac:dyDescent="0.25">
      <c r="A1437" t="s">
        <v>4200</v>
      </c>
      <c r="B1437" t="s">
        <v>2110</v>
      </c>
      <c r="C1437" t="s">
        <v>1669</v>
      </c>
      <c r="D1437" t="str">
        <f>HYPERLINK("http://service.sap.com/sap/support/notes/1705875","1705875")</f>
        <v>1705875</v>
      </c>
      <c r="E1437">
        <v>1</v>
      </c>
      <c r="F1437" t="s">
        <v>2112</v>
      </c>
    </row>
    <row r="1438" spans="1:6" x14ac:dyDescent="0.25">
      <c r="A1438" t="s">
        <v>4200</v>
      </c>
      <c r="B1438" t="s">
        <v>2110</v>
      </c>
      <c r="C1438" t="s">
        <v>1669</v>
      </c>
      <c r="D1438" t="str">
        <f>HYPERLINK("http://service.sap.com/sap/support/notes/1721479","1721479")</f>
        <v>1721479</v>
      </c>
      <c r="E1438">
        <v>2</v>
      </c>
      <c r="F1438" t="s">
        <v>2113</v>
      </c>
    </row>
    <row r="1439" spans="1:6" x14ac:dyDescent="0.25">
      <c r="A1439" t="s">
        <v>4200</v>
      </c>
      <c r="B1439" t="s">
        <v>2110</v>
      </c>
      <c r="C1439" t="s">
        <v>1669</v>
      </c>
      <c r="D1439" t="str">
        <f>HYPERLINK("http://service.sap.com/sap/support/notes/1723912","1723912")</f>
        <v>1723912</v>
      </c>
      <c r="E1439">
        <v>1</v>
      </c>
      <c r="F1439" t="s">
        <v>2114</v>
      </c>
    </row>
    <row r="1440" spans="1:6" x14ac:dyDescent="0.25">
      <c r="A1440" t="s">
        <v>4200</v>
      </c>
      <c r="B1440" t="s">
        <v>2110</v>
      </c>
      <c r="C1440" t="s">
        <v>1669</v>
      </c>
      <c r="D1440" t="str">
        <f>HYPERLINK("http://service.sap.com/sap/support/notes/1729161","1729161")</f>
        <v>1729161</v>
      </c>
      <c r="E1440">
        <v>2</v>
      </c>
      <c r="F1440" t="s">
        <v>2115</v>
      </c>
    </row>
    <row r="1441" spans="1:6" x14ac:dyDescent="0.25">
      <c r="A1441" t="s">
        <v>4200</v>
      </c>
      <c r="B1441" t="s">
        <v>2110</v>
      </c>
      <c r="C1441" t="s">
        <v>1669</v>
      </c>
      <c r="D1441" t="str">
        <f>HYPERLINK("http://service.sap.com/sap/support/notes/1730138","1730138")</f>
        <v>1730138</v>
      </c>
      <c r="E1441">
        <v>2</v>
      </c>
      <c r="F1441" t="s">
        <v>2116</v>
      </c>
    </row>
    <row r="1442" spans="1:6" x14ac:dyDescent="0.25">
      <c r="A1442" t="s">
        <v>4200</v>
      </c>
      <c r="B1442" t="s">
        <v>2110</v>
      </c>
      <c r="C1442" t="s">
        <v>1669</v>
      </c>
      <c r="D1442" t="str">
        <f>HYPERLINK("http://service.sap.com/sap/support/notes/1731375","1731375")</f>
        <v>1731375</v>
      </c>
      <c r="E1442">
        <v>2</v>
      </c>
      <c r="F1442" t="s">
        <v>2117</v>
      </c>
    </row>
    <row r="1443" spans="1:6" x14ac:dyDescent="0.25">
      <c r="A1443" t="s">
        <v>4200</v>
      </c>
      <c r="B1443" t="s">
        <v>2110</v>
      </c>
      <c r="C1443" t="s">
        <v>1669</v>
      </c>
      <c r="D1443" t="str">
        <f>HYPERLINK("http://service.sap.com/sap/support/notes/1732580","1732580")</f>
        <v>1732580</v>
      </c>
      <c r="E1443">
        <v>3</v>
      </c>
      <c r="F1443" t="s">
        <v>2118</v>
      </c>
    </row>
    <row r="1444" spans="1:6" x14ac:dyDescent="0.25">
      <c r="A1444" t="s">
        <v>4200</v>
      </c>
      <c r="B1444" t="s">
        <v>2110</v>
      </c>
      <c r="C1444" t="s">
        <v>1669</v>
      </c>
      <c r="D1444" t="str">
        <f>HYPERLINK("http://service.sap.com/sap/support/notes/1732632","1732632")</f>
        <v>1732632</v>
      </c>
      <c r="E1444">
        <v>1</v>
      </c>
      <c r="F1444" t="s">
        <v>2119</v>
      </c>
    </row>
    <row r="1445" spans="1:6" x14ac:dyDescent="0.25">
      <c r="A1445" t="s">
        <v>4200</v>
      </c>
      <c r="B1445" t="s">
        <v>2110</v>
      </c>
      <c r="C1445" t="s">
        <v>1669</v>
      </c>
      <c r="D1445" t="str">
        <f>HYPERLINK("http://service.sap.com/sap/support/notes/1734345","1734345")</f>
        <v>1734345</v>
      </c>
      <c r="E1445">
        <v>1</v>
      </c>
      <c r="F1445" t="s">
        <v>2120</v>
      </c>
    </row>
    <row r="1446" spans="1:6" x14ac:dyDescent="0.25">
      <c r="A1446" t="s">
        <v>4200</v>
      </c>
      <c r="B1446" t="s">
        <v>2110</v>
      </c>
      <c r="C1446" t="s">
        <v>1669</v>
      </c>
      <c r="D1446" t="str">
        <f>HYPERLINK("http://service.sap.com/sap/support/notes/1734740","1734740")</f>
        <v>1734740</v>
      </c>
      <c r="E1446">
        <v>2</v>
      </c>
      <c r="F1446" t="s">
        <v>2121</v>
      </c>
    </row>
    <row r="1447" spans="1:6" x14ac:dyDescent="0.25">
      <c r="A1447" t="s">
        <v>4200</v>
      </c>
      <c r="B1447" t="s">
        <v>2110</v>
      </c>
      <c r="C1447" t="s">
        <v>1669</v>
      </c>
      <c r="D1447" t="str">
        <f>HYPERLINK("http://service.sap.com/sap/support/notes/1734774","1734774")</f>
        <v>1734774</v>
      </c>
      <c r="E1447">
        <v>1</v>
      </c>
      <c r="F1447" t="s">
        <v>2122</v>
      </c>
    </row>
    <row r="1448" spans="1:6" x14ac:dyDescent="0.25">
      <c r="A1448" t="s">
        <v>4200</v>
      </c>
      <c r="B1448" t="s">
        <v>2110</v>
      </c>
      <c r="C1448" t="s">
        <v>1669</v>
      </c>
      <c r="D1448" t="str">
        <f>HYPERLINK("http://service.sap.com/sap/support/notes/1734828","1734828")</f>
        <v>1734828</v>
      </c>
      <c r="E1448">
        <v>3</v>
      </c>
      <c r="F1448" t="s">
        <v>2123</v>
      </c>
    </row>
    <row r="1449" spans="1:6" x14ac:dyDescent="0.25">
      <c r="A1449" t="s">
        <v>4200</v>
      </c>
      <c r="B1449" t="s">
        <v>2110</v>
      </c>
      <c r="C1449" t="s">
        <v>1669</v>
      </c>
      <c r="D1449" t="str">
        <f>HYPERLINK("http://service.sap.com/sap/support/notes/1735003","1735003")</f>
        <v>1735003</v>
      </c>
      <c r="E1449">
        <v>3</v>
      </c>
      <c r="F1449" t="s">
        <v>2124</v>
      </c>
    </row>
    <row r="1450" spans="1:6" x14ac:dyDescent="0.25">
      <c r="A1450" t="s">
        <v>4200</v>
      </c>
      <c r="B1450" t="s">
        <v>2110</v>
      </c>
      <c r="C1450" t="s">
        <v>1669</v>
      </c>
      <c r="D1450" t="str">
        <f>HYPERLINK("http://service.sap.com/sap/support/notes/1735525","1735525")</f>
        <v>1735525</v>
      </c>
      <c r="E1450">
        <v>1</v>
      </c>
      <c r="F1450" t="s">
        <v>2125</v>
      </c>
    </row>
    <row r="1451" spans="1:6" x14ac:dyDescent="0.25">
      <c r="A1451" t="s">
        <v>4200</v>
      </c>
      <c r="B1451" t="s">
        <v>2110</v>
      </c>
      <c r="C1451" t="s">
        <v>1669</v>
      </c>
      <c r="D1451" t="str">
        <f>HYPERLINK("http://service.sap.com/sap/support/notes/1738529","1738529")</f>
        <v>1738529</v>
      </c>
      <c r="E1451">
        <v>3</v>
      </c>
      <c r="F1451" t="s">
        <v>2126</v>
      </c>
    </row>
    <row r="1452" spans="1:6" x14ac:dyDescent="0.25">
      <c r="A1452" t="s">
        <v>4200</v>
      </c>
      <c r="B1452" t="s">
        <v>2110</v>
      </c>
      <c r="C1452" t="s">
        <v>1669</v>
      </c>
      <c r="D1452" t="str">
        <f>HYPERLINK("http://service.sap.com/sap/support/notes/1738699","1738699")</f>
        <v>1738699</v>
      </c>
      <c r="E1452">
        <v>1</v>
      </c>
      <c r="F1452" t="s">
        <v>2127</v>
      </c>
    </row>
    <row r="1453" spans="1:6" x14ac:dyDescent="0.25">
      <c r="A1453" t="s">
        <v>4200</v>
      </c>
      <c r="B1453" t="s">
        <v>2110</v>
      </c>
      <c r="C1453" t="s">
        <v>1669</v>
      </c>
      <c r="D1453" t="str">
        <f>HYPERLINK("http://service.sap.com/sap/support/notes/1739032","1739032")</f>
        <v>1739032</v>
      </c>
      <c r="E1453">
        <v>1</v>
      </c>
      <c r="F1453" t="s">
        <v>2128</v>
      </c>
    </row>
    <row r="1454" spans="1:6" x14ac:dyDescent="0.25">
      <c r="A1454" t="s">
        <v>4200</v>
      </c>
      <c r="B1454" t="s">
        <v>2110</v>
      </c>
      <c r="C1454" t="s">
        <v>1669</v>
      </c>
      <c r="D1454" t="str">
        <f>HYPERLINK("http://service.sap.com/sap/support/notes/1741535","1741535")</f>
        <v>1741535</v>
      </c>
      <c r="E1454">
        <v>1</v>
      </c>
      <c r="F1454" t="s">
        <v>2129</v>
      </c>
    </row>
    <row r="1455" spans="1:6" x14ac:dyDescent="0.25">
      <c r="A1455" t="s">
        <v>4200</v>
      </c>
      <c r="B1455" t="s">
        <v>2110</v>
      </c>
      <c r="C1455" t="s">
        <v>1669</v>
      </c>
      <c r="D1455" t="str">
        <f>HYPERLINK("http://service.sap.com/sap/support/notes/1742492","1742492")</f>
        <v>1742492</v>
      </c>
      <c r="E1455">
        <v>1</v>
      </c>
      <c r="F1455" t="s">
        <v>2130</v>
      </c>
    </row>
    <row r="1456" spans="1:6" x14ac:dyDescent="0.25">
      <c r="A1456" t="s">
        <v>4200</v>
      </c>
      <c r="B1456" t="s">
        <v>2110</v>
      </c>
      <c r="C1456" t="s">
        <v>1669</v>
      </c>
      <c r="D1456" t="str">
        <f>HYPERLINK("http://service.sap.com/sap/support/notes/1744945","1744945")</f>
        <v>1744945</v>
      </c>
      <c r="E1456">
        <v>1</v>
      </c>
      <c r="F1456" t="s">
        <v>2131</v>
      </c>
    </row>
    <row r="1457" spans="1:6" x14ac:dyDescent="0.25">
      <c r="A1457" t="s">
        <v>4200</v>
      </c>
      <c r="B1457" t="s">
        <v>2110</v>
      </c>
      <c r="C1457" t="s">
        <v>1669</v>
      </c>
      <c r="D1457" t="str">
        <f>HYPERLINK("http://service.sap.com/sap/support/notes/1745065","1745065")</f>
        <v>1745065</v>
      </c>
      <c r="E1457">
        <v>1</v>
      </c>
      <c r="F1457" t="s">
        <v>2132</v>
      </c>
    </row>
    <row r="1458" spans="1:6" x14ac:dyDescent="0.25">
      <c r="A1458" t="s">
        <v>4200</v>
      </c>
      <c r="B1458" t="s">
        <v>2110</v>
      </c>
      <c r="C1458" t="s">
        <v>1669</v>
      </c>
      <c r="D1458" t="str">
        <f>HYPERLINK("http://service.sap.com/sap/support/notes/1745557","1745557")</f>
        <v>1745557</v>
      </c>
      <c r="E1458">
        <v>1</v>
      </c>
      <c r="F1458" t="s">
        <v>2133</v>
      </c>
    </row>
    <row r="1459" spans="1:6" x14ac:dyDescent="0.25">
      <c r="A1459" t="s">
        <v>4200</v>
      </c>
      <c r="B1459" t="s">
        <v>2110</v>
      </c>
      <c r="C1459" t="s">
        <v>1669</v>
      </c>
      <c r="D1459" t="str">
        <f>HYPERLINK("http://service.sap.com/sap/support/notes/1746027","1746027")</f>
        <v>1746027</v>
      </c>
      <c r="E1459">
        <v>2</v>
      </c>
      <c r="F1459" t="s">
        <v>2134</v>
      </c>
    </row>
    <row r="1460" spans="1:6" x14ac:dyDescent="0.25">
      <c r="A1460" t="s">
        <v>4200</v>
      </c>
      <c r="B1460" t="s">
        <v>2110</v>
      </c>
      <c r="C1460" t="s">
        <v>1669</v>
      </c>
      <c r="D1460" t="str">
        <f>HYPERLINK("http://service.sap.com/sap/support/notes/1748812","1748812")</f>
        <v>1748812</v>
      </c>
      <c r="E1460">
        <v>1</v>
      </c>
      <c r="F1460" t="s">
        <v>2135</v>
      </c>
    </row>
    <row r="1461" spans="1:6" x14ac:dyDescent="0.25">
      <c r="A1461" t="s">
        <v>4200</v>
      </c>
      <c r="B1461" t="s">
        <v>2110</v>
      </c>
      <c r="C1461" t="s">
        <v>1669</v>
      </c>
      <c r="D1461" t="str">
        <f>HYPERLINK("http://service.sap.com/sap/support/notes/1752418","1752418")</f>
        <v>1752418</v>
      </c>
      <c r="E1461">
        <v>1</v>
      </c>
      <c r="F1461" t="s">
        <v>2136</v>
      </c>
    </row>
    <row r="1462" spans="1:6" x14ac:dyDescent="0.25">
      <c r="A1462" t="s">
        <v>4200</v>
      </c>
      <c r="B1462" t="s">
        <v>2110</v>
      </c>
      <c r="C1462" t="s">
        <v>1669</v>
      </c>
      <c r="D1462" t="str">
        <f>HYPERLINK("http://service.sap.com/sap/support/notes/1757055","1757055")</f>
        <v>1757055</v>
      </c>
      <c r="E1462">
        <v>1</v>
      </c>
      <c r="F1462" t="s">
        <v>2137</v>
      </c>
    </row>
    <row r="1463" spans="1:6" x14ac:dyDescent="0.25">
      <c r="A1463" t="s">
        <v>4200</v>
      </c>
      <c r="B1463" t="s">
        <v>2110</v>
      </c>
      <c r="C1463" t="s">
        <v>1669</v>
      </c>
      <c r="D1463" t="str">
        <f>HYPERLINK("http://service.sap.com/sap/support/notes/1757663","1757663")</f>
        <v>1757663</v>
      </c>
      <c r="E1463">
        <v>1</v>
      </c>
      <c r="F1463" t="s">
        <v>2138</v>
      </c>
    </row>
    <row r="1464" spans="1:6" x14ac:dyDescent="0.25">
      <c r="A1464" t="s">
        <v>4200</v>
      </c>
      <c r="B1464" t="s">
        <v>2110</v>
      </c>
      <c r="C1464" t="s">
        <v>1669</v>
      </c>
      <c r="D1464" t="str">
        <f>HYPERLINK("http://service.sap.com/sap/support/notes/1762812","1762812")</f>
        <v>1762812</v>
      </c>
      <c r="E1464">
        <v>1</v>
      </c>
      <c r="F1464" t="s">
        <v>2139</v>
      </c>
    </row>
    <row r="1465" spans="1:6" x14ac:dyDescent="0.25">
      <c r="A1465" t="s">
        <v>4200</v>
      </c>
      <c r="B1465" t="s">
        <v>2140</v>
      </c>
      <c r="C1465" t="s">
        <v>2141</v>
      </c>
      <c r="D1465" t="str">
        <f>HYPERLINK("http://service.sap.com/sap/support/notes/1711937","1711937")</f>
        <v>1711937</v>
      </c>
      <c r="E1465">
        <v>2</v>
      </c>
      <c r="F1465" t="s">
        <v>2142</v>
      </c>
    </row>
    <row r="1466" spans="1:6" x14ac:dyDescent="0.25">
      <c r="A1466" t="s">
        <v>4200</v>
      </c>
      <c r="B1466" t="s">
        <v>2143</v>
      </c>
      <c r="C1466" t="s">
        <v>1673</v>
      </c>
      <c r="D1466" t="str">
        <f>HYPERLINK("http://service.sap.com/sap/support/notes/1727613","1727613")</f>
        <v>1727613</v>
      </c>
      <c r="E1466">
        <v>3</v>
      </c>
      <c r="F1466" t="s">
        <v>2144</v>
      </c>
    </row>
    <row r="1467" spans="1:6" x14ac:dyDescent="0.25">
      <c r="A1467" t="s">
        <v>4200</v>
      </c>
      <c r="B1467" t="s">
        <v>2143</v>
      </c>
      <c r="C1467" t="s">
        <v>1673</v>
      </c>
      <c r="D1467" t="str">
        <f>HYPERLINK("http://service.sap.com/sap/support/notes/1732409","1732409")</f>
        <v>1732409</v>
      </c>
      <c r="E1467">
        <v>1</v>
      </c>
      <c r="F1467" t="s">
        <v>2145</v>
      </c>
    </row>
    <row r="1468" spans="1:6" x14ac:dyDescent="0.25">
      <c r="A1468" t="s">
        <v>4200</v>
      </c>
      <c r="B1468" t="s">
        <v>2143</v>
      </c>
      <c r="C1468" t="s">
        <v>1673</v>
      </c>
      <c r="D1468" t="str">
        <f>HYPERLINK("http://service.sap.com/sap/support/notes/1736619","1736619")</f>
        <v>1736619</v>
      </c>
      <c r="E1468">
        <v>1</v>
      </c>
      <c r="F1468" t="s">
        <v>2146</v>
      </c>
    </row>
    <row r="1469" spans="1:6" x14ac:dyDescent="0.25">
      <c r="A1469" t="s">
        <v>4200</v>
      </c>
      <c r="B1469" t="s">
        <v>2147</v>
      </c>
      <c r="C1469" t="s">
        <v>2148</v>
      </c>
      <c r="D1469" t="str">
        <f>HYPERLINK("http://service.sap.com/sap/support/notes/1732076","1732076")</f>
        <v>1732076</v>
      </c>
      <c r="E1469">
        <v>1</v>
      </c>
      <c r="F1469" t="s">
        <v>2149</v>
      </c>
    </row>
    <row r="1470" spans="1:6" x14ac:dyDescent="0.25">
      <c r="A1470" t="s">
        <v>4200</v>
      </c>
      <c r="B1470" t="s">
        <v>2147</v>
      </c>
      <c r="C1470" t="s">
        <v>2148</v>
      </c>
      <c r="D1470" t="str">
        <f>HYPERLINK("http://service.sap.com/sap/support/notes/1747976","1747976")</f>
        <v>1747976</v>
      </c>
      <c r="E1470">
        <v>1</v>
      </c>
      <c r="F1470" t="s">
        <v>2150</v>
      </c>
    </row>
    <row r="1471" spans="1:6" x14ac:dyDescent="0.25">
      <c r="A1471" t="s">
        <v>4200</v>
      </c>
      <c r="B1471" t="s">
        <v>2147</v>
      </c>
      <c r="C1471" t="s">
        <v>2148</v>
      </c>
      <c r="D1471" t="str">
        <f>HYPERLINK("http://service.sap.com/sap/support/notes/1765888","1765888")</f>
        <v>1765888</v>
      </c>
      <c r="E1471">
        <v>1</v>
      </c>
      <c r="F1471" t="s">
        <v>2151</v>
      </c>
    </row>
    <row r="1472" spans="1:6" x14ac:dyDescent="0.25">
      <c r="A1472" t="s">
        <v>4200</v>
      </c>
      <c r="B1472" t="s">
        <v>2152</v>
      </c>
      <c r="C1472" t="s">
        <v>2153</v>
      </c>
      <c r="D1472" t="str">
        <f>HYPERLINK("http://service.sap.com/sap/support/notes/1718458","1718458")</f>
        <v>1718458</v>
      </c>
      <c r="E1472">
        <v>3</v>
      </c>
      <c r="F1472" t="s">
        <v>2154</v>
      </c>
    </row>
    <row r="1473" spans="1:6" x14ac:dyDescent="0.25">
      <c r="A1473" t="s">
        <v>4200</v>
      </c>
      <c r="B1473" t="s">
        <v>2152</v>
      </c>
      <c r="C1473" t="s">
        <v>2153</v>
      </c>
      <c r="D1473" t="str">
        <f>HYPERLINK("http://service.sap.com/sap/support/notes/1723876","1723876")</f>
        <v>1723876</v>
      </c>
      <c r="E1473">
        <v>1</v>
      </c>
      <c r="F1473" t="s">
        <v>2155</v>
      </c>
    </row>
    <row r="1474" spans="1:6" x14ac:dyDescent="0.25">
      <c r="A1474" t="s">
        <v>4200</v>
      </c>
      <c r="B1474" t="s">
        <v>2152</v>
      </c>
      <c r="C1474" t="s">
        <v>2153</v>
      </c>
      <c r="D1474" t="str">
        <f>HYPERLINK("http://service.sap.com/sap/support/notes/1729275","1729275")</f>
        <v>1729275</v>
      </c>
      <c r="E1474">
        <v>1</v>
      </c>
      <c r="F1474" t="s">
        <v>2156</v>
      </c>
    </row>
    <row r="1475" spans="1:6" x14ac:dyDescent="0.25">
      <c r="A1475" t="s">
        <v>4200</v>
      </c>
      <c r="B1475" t="s">
        <v>2152</v>
      </c>
      <c r="C1475" t="s">
        <v>2153</v>
      </c>
      <c r="D1475" t="str">
        <f>HYPERLINK("http://service.sap.com/sap/support/notes/1739044","1739044")</f>
        <v>1739044</v>
      </c>
      <c r="E1475">
        <v>5</v>
      </c>
      <c r="F1475" t="s">
        <v>2157</v>
      </c>
    </row>
    <row r="1476" spans="1:6" x14ac:dyDescent="0.25">
      <c r="A1476" t="s">
        <v>4200</v>
      </c>
      <c r="B1476" t="s">
        <v>2152</v>
      </c>
      <c r="C1476" t="s">
        <v>2153</v>
      </c>
      <c r="D1476" t="str">
        <f>HYPERLINK("http://service.sap.com/sap/support/notes/1750245","1750245")</f>
        <v>1750245</v>
      </c>
      <c r="E1476">
        <v>1</v>
      </c>
      <c r="F1476" t="s">
        <v>2158</v>
      </c>
    </row>
    <row r="1477" spans="1:6" x14ac:dyDescent="0.25">
      <c r="A1477" t="s">
        <v>4200</v>
      </c>
      <c r="B1477" t="s">
        <v>2152</v>
      </c>
      <c r="C1477" t="s">
        <v>2153</v>
      </c>
      <c r="D1477" t="str">
        <f>HYPERLINK("http://service.sap.com/sap/support/notes/1755139","1755139")</f>
        <v>1755139</v>
      </c>
      <c r="E1477">
        <v>2</v>
      </c>
      <c r="F1477" t="s">
        <v>2159</v>
      </c>
    </row>
    <row r="1478" spans="1:6" x14ac:dyDescent="0.25">
      <c r="A1478" t="s">
        <v>4200</v>
      </c>
      <c r="B1478" t="s">
        <v>2160</v>
      </c>
      <c r="C1478" t="s">
        <v>2161</v>
      </c>
      <c r="D1478" t="str">
        <f>HYPERLINK("http://service.sap.com/sap/support/notes/1681227","1681227")</f>
        <v>1681227</v>
      </c>
      <c r="E1478">
        <v>4</v>
      </c>
      <c r="F1478" t="s">
        <v>2162</v>
      </c>
    </row>
    <row r="1479" spans="1:6" x14ac:dyDescent="0.25">
      <c r="A1479" t="s">
        <v>4200</v>
      </c>
      <c r="B1479" t="s">
        <v>2160</v>
      </c>
      <c r="C1479" t="s">
        <v>2161</v>
      </c>
      <c r="D1479" t="str">
        <f>HYPERLINK("http://service.sap.com/sap/support/notes/1685021","1685021")</f>
        <v>1685021</v>
      </c>
      <c r="E1479">
        <v>4</v>
      </c>
      <c r="F1479" t="s">
        <v>2163</v>
      </c>
    </row>
    <row r="1480" spans="1:6" x14ac:dyDescent="0.25">
      <c r="A1480" t="s">
        <v>4200</v>
      </c>
      <c r="B1480" t="s">
        <v>2160</v>
      </c>
      <c r="C1480" t="s">
        <v>2161</v>
      </c>
      <c r="D1480" t="str">
        <f>HYPERLINK("http://service.sap.com/sap/support/notes/1715941","1715941")</f>
        <v>1715941</v>
      </c>
      <c r="E1480">
        <v>4</v>
      </c>
      <c r="F1480" t="s">
        <v>2164</v>
      </c>
    </row>
    <row r="1481" spans="1:6" x14ac:dyDescent="0.25">
      <c r="A1481" t="s">
        <v>4200</v>
      </c>
      <c r="B1481" t="s">
        <v>2160</v>
      </c>
      <c r="C1481" t="s">
        <v>2161</v>
      </c>
      <c r="D1481" t="str">
        <f>HYPERLINK("http://service.sap.com/sap/support/notes/1734211","1734211")</f>
        <v>1734211</v>
      </c>
      <c r="E1481">
        <v>1</v>
      </c>
      <c r="F1481" t="s">
        <v>2165</v>
      </c>
    </row>
    <row r="1482" spans="1:6" x14ac:dyDescent="0.25">
      <c r="A1482" t="s">
        <v>4200</v>
      </c>
      <c r="B1482" t="s">
        <v>2160</v>
      </c>
      <c r="C1482" t="s">
        <v>2161</v>
      </c>
      <c r="D1482" t="str">
        <f>HYPERLINK("http://service.sap.com/sap/support/notes/1740138","1740138")</f>
        <v>1740138</v>
      </c>
      <c r="E1482">
        <v>3</v>
      </c>
      <c r="F1482" t="s">
        <v>2166</v>
      </c>
    </row>
    <row r="1483" spans="1:6" x14ac:dyDescent="0.25">
      <c r="A1483" t="s">
        <v>4200</v>
      </c>
      <c r="B1483" t="s">
        <v>2160</v>
      </c>
      <c r="C1483" t="s">
        <v>2161</v>
      </c>
      <c r="D1483" t="str">
        <f>HYPERLINK("http://service.sap.com/sap/support/notes/1741482","1741482")</f>
        <v>1741482</v>
      </c>
      <c r="E1483">
        <v>1</v>
      </c>
      <c r="F1483" t="s">
        <v>2167</v>
      </c>
    </row>
    <row r="1484" spans="1:6" x14ac:dyDescent="0.25">
      <c r="A1484" t="s">
        <v>4200</v>
      </c>
      <c r="B1484" t="s">
        <v>2160</v>
      </c>
      <c r="C1484" t="s">
        <v>2161</v>
      </c>
      <c r="D1484" t="str">
        <f>HYPERLINK("http://service.sap.com/sap/support/notes/1742769","1742769")</f>
        <v>1742769</v>
      </c>
      <c r="E1484">
        <v>1</v>
      </c>
      <c r="F1484" t="s">
        <v>2168</v>
      </c>
    </row>
    <row r="1485" spans="1:6" x14ac:dyDescent="0.25">
      <c r="A1485" t="s">
        <v>4200</v>
      </c>
      <c r="B1485" t="s">
        <v>2160</v>
      </c>
      <c r="C1485" t="s">
        <v>2161</v>
      </c>
      <c r="D1485" t="str">
        <f>HYPERLINK("http://service.sap.com/sap/support/notes/1744072","1744072")</f>
        <v>1744072</v>
      </c>
      <c r="E1485">
        <v>1</v>
      </c>
      <c r="F1485" t="s">
        <v>2169</v>
      </c>
    </row>
    <row r="1486" spans="1:6" x14ac:dyDescent="0.25">
      <c r="A1486" t="s">
        <v>4200</v>
      </c>
      <c r="B1486" t="s">
        <v>2160</v>
      </c>
      <c r="C1486" t="s">
        <v>2161</v>
      </c>
      <c r="D1486" t="str">
        <f>HYPERLINK("http://service.sap.com/sap/support/notes/1750777","1750777")</f>
        <v>1750777</v>
      </c>
      <c r="E1486">
        <v>1</v>
      </c>
      <c r="F1486" t="s">
        <v>2170</v>
      </c>
    </row>
    <row r="1487" spans="1:6" x14ac:dyDescent="0.25">
      <c r="A1487" t="s">
        <v>4200</v>
      </c>
      <c r="B1487" t="s">
        <v>63</v>
      </c>
      <c r="C1487" t="s">
        <v>2171</v>
      </c>
      <c r="D1487" t="str">
        <f>HYPERLINK("http://service.sap.com/sap/support/notes/1729692","1729692")</f>
        <v>1729692</v>
      </c>
      <c r="E1487">
        <v>2</v>
      </c>
      <c r="F1487" t="s">
        <v>2172</v>
      </c>
    </row>
    <row r="1488" spans="1:6" x14ac:dyDescent="0.25">
      <c r="A1488" t="s">
        <v>4200</v>
      </c>
      <c r="B1488" t="s">
        <v>63</v>
      </c>
      <c r="C1488" t="s">
        <v>2171</v>
      </c>
      <c r="D1488" t="str">
        <f>HYPERLINK("http://service.sap.com/sap/support/notes/1737158","1737158")</f>
        <v>1737158</v>
      </c>
      <c r="E1488">
        <v>1</v>
      </c>
      <c r="F1488" t="s">
        <v>2173</v>
      </c>
    </row>
    <row r="1489" spans="1:6" x14ac:dyDescent="0.25">
      <c r="A1489" t="s">
        <v>4200</v>
      </c>
      <c r="B1489" t="s">
        <v>63</v>
      </c>
      <c r="C1489" t="s">
        <v>2171</v>
      </c>
      <c r="D1489" t="str">
        <f>HYPERLINK("http://service.sap.com/sap/support/notes/1737323","1737323")</f>
        <v>1737323</v>
      </c>
      <c r="E1489">
        <v>2</v>
      </c>
      <c r="F1489" t="s">
        <v>2174</v>
      </c>
    </row>
    <row r="1490" spans="1:6" x14ac:dyDescent="0.25">
      <c r="A1490" t="s">
        <v>4200</v>
      </c>
      <c r="B1490" t="s">
        <v>63</v>
      </c>
      <c r="C1490" t="s">
        <v>2171</v>
      </c>
      <c r="D1490" t="str">
        <f>HYPERLINK("http://service.sap.com/sap/support/notes/1740549","1740549")</f>
        <v>1740549</v>
      </c>
      <c r="E1490">
        <v>2</v>
      </c>
      <c r="F1490" t="s">
        <v>2175</v>
      </c>
    </row>
    <row r="1491" spans="1:6" x14ac:dyDescent="0.25">
      <c r="A1491" t="s">
        <v>4200</v>
      </c>
      <c r="B1491" t="s">
        <v>63</v>
      </c>
      <c r="C1491" t="s">
        <v>2171</v>
      </c>
      <c r="D1491" t="str">
        <f>HYPERLINK("http://service.sap.com/sap/support/notes/1741610","1741610")</f>
        <v>1741610</v>
      </c>
      <c r="E1491">
        <v>1</v>
      </c>
      <c r="F1491" t="s">
        <v>266</v>
      </c>
    </row>
    <row r="1492" spans="1:6" x14ac:dyDescent="0.25">
      <c r="A1492" t="s">
        <v>4200</v>
      </c>
      <c r="B1492" t="s">
        <v>63</v>
      </c>
      <c r="C1492" t="s">
        <v>2171</v>
      </c>
      <c r="D1492" t="str">
        <f>HYPERLINK("http://service.sap.com/sap/support/notes/1744445","1744445")</f>
        <v>1744445</v>
      </c>
      <c r="E1492">
        <v>2</v>
      </c>
      <c r="F1492" t="s">
        <v>2176</v>
      </c>
    </row>
    <row r="1493" spans="1:6" x14ac:dyDescent="0.25">
      <c r="A1493" t="s">
        <v>4200</v>
      </c>
      <c r="B1493" t="s">
        <v>63</v>
      </c>
      <c r="C1493" t="s">
        <v>2171</v>
      </c>
      <c r="D1493" t="str">
        <f>HYPERLINK("http://service.sap.com/sap/support/notes/1746178","1746178")</f>
        <v>1746178</v>
      </c>
      <c r="E1493">
        <v>1</v>
      </c>
      <c r="F1493" t="s">
        <v>2177</v>
      </c>
    </row>
    <row r="1494" spans="1:6" x14ac:dyDescent="0.25">
      <c r="A1494" t="s">
        <v>4200</v>
      </c>
      <c r="B1494" t="s">
        <v>63</v>
      </c>
      <c r="C1494" t="s">
        <v>2171</v>
      </c>
      <c r="D1494" t="str">
        <f>HYPERLINK("http://service.sap.com/sap/support/notes/1755394","1755394")</f>
        <v>1755394</v>
      </c>
      <c r="E1494">
        <v>1</v>
      </c>
      <c r="F1494" t="s">
        <v>2178</v>
      </c>
    </row>
    <row r="1495" spans="1:6" x14ac:dyDescent="0.25">
      <c r="A1495" t="s">
        <v>4200</v>
      </c>
      <c r="B1495" t="s">
        <v>63</v>
      </c>
      <c r="C1495" t="s">
        <v>2171</v>
      </c>
      <c r="D1495" t="str">
        <f>HYPERLINK("http://service.sap.com/sap/support/notes/1755487","1755487")</f>
        <v>1755487</v>
      </c>
      <c r="E1495">
        <v>2</v>
      </c>
      <c r="F1495" t="s">
        <v>2179</v>
      </c>
    </row>
    <row r="1496" spans="1:6" x14ac:dyDescent="0.25">
      <c r="A1496" t="s">
        <v>4200</v>
      </c>
      <c r="B1496" t="s">
        <v>63</v>
      </c>
      <c r="C1496" t="s">
        <v>2171</v>
      </c>
      <c r="D1496" t="str">
        <f>HYPERLINK("http://service.sap.com/sap/support/notes/1758898","1758898")</f>
        <v>1758898</v>
      </c>
      <c r="E1496">
        <v>2</v>
      </c>
      <c r="F1496" t="s">
        <v>2180</v>
      </c>
    </row>
    <row r="1497" spans="1:6" x14ac:dyDescent="0.25">
      <c r="A1497" t="s">
        <v>4200</v>
      </c>
      <c r="B1497" t="s">
        <v>63</v>
      </c>
      <c r="C1497" t="s">
        <v>2171</v>
      </c>
      <c r="D1497" t="str">
        <f>HYPERLINK("http://service.sap.com/sap/support/notes/1759155","1759155")</f>
        <v>1759155</v>
      </c>
      <c r="E1497">
        <v>1</v>
      </c>
      <c r="F1497" t="s">
        <v>2181</v>
      </c>
    </row>
    <row r="1498" spans="1:6" x14ac:dyDescent="0.25">
      <c r="A1498" t="s">
        <v>4200</v>
      </c>
      <c r="B1498" t="s">
        <v>63</v>
      </c>
      <c r="C1498" t="s">
        <v>2171</v>
      </c>
      <c r="D1498" t="str">
        <f>HYPERLINK("http://service.sap.com/sap/support/notes/1763843","1763843")</f>
        <v>1763843</v>
      </c>
      <c r="E1498">
        <v>1</v>
      </c>
      <c r="F1498" t="s">
        <v>2182</v>
      </c>
    </row>
    <row r="1499" spans="1:6" x14ac:dyDescent="0.25">
      <c r="A1499" t="s">
        <v>4200</v>
      </c>
      <c r="B1499" t="s">
        <v>63</v>
      </c>
      <c r="C1499" t="s">
        <v>2171</v>
      </c>
      <c r="D1499" t="str">
        <f>HYPERLINK("http://service.sap.com/sap/support/notes/1766636","1766636")</f>
        <v>1766636</v>
      </c>
      <c r="E1499">
        <v>1</v>
      </c>
      <c r="F1499" t="s">
        <v>2183</v>
      </c>
    </row>
    <row r="1500" spans="1:6" x14ac:dyDescent="0.25">
      <c r="A1500" t="s">
        <v>4200</v>
      </c>
      <c r="B1500" t="s">
        <v>2184</v>
      </c>
      <c r="C1500" t="s">
        <v>2185</v>
      </c>
      <c r="D1500" t="str">
        <f>HYPERLINK("http://service.sap.com/sap/support/notes/1728447","1728447")</f>
        <v>1728447</v>
      </c>
      <c r="E1500">
        <v>2</v>
      </c>
      <c r="F1500" t="s">
        <v>2186</v>
      </c>
    </row>
    <row r="1501" spans="1:6" x14ac:dyDescent="0.25">
      <c r="A1501" t="s">
        <v>4200</v>
      </c>
      <c r="B1501" t="s">
        <v>2184</v>
      </c>
      <c r="C1501" t="s">
        <v>2185</v>
      </c>
      <c r="D1501" t="str">
        <f>HYPERLINK("http://service.sap.com/sap/support/notes/1731342","1731342")</f>
        <v>1731342</v>
      </c>
      <c r="E1501">
        <v>2</v>
      </c>
      <c r="F1501" t="s">
        <v>2187</v>
      </c>
    </row>
    <row r="1502" spans="1:6" x14ac:dyDescent="0.25">
      <c r="A1502" t="s">
        <v>4200</v>
      </c>
      <c r="B1502" t="s">
        <v>2184</v>
      </c>
      <c r="C1502" t="s">
        <v>2185</v>
      </c>
      <c r="D1502" t="str">
        <f>HYPERLINK("http://service.sap.com/sap/support/notes/1732921","1732921")</f>
        <v>1732921</v>
      </c>
      <c r="E1502">
        <v>2</v>
      </c>
      <c r="F1502" t="s">
        <v>2188</v>
      </c>
    </row>
    <row r="1503" spans="1:6" x14ac:dyDescent="0.25">
      <c r="A1503" t="s">
        <v>4200</v>
      </c>
      <c r="B1503" t="s">
        <v>2184</v>
      </c>
      <c r="C1503" t="s">
        <v>2185</v>
      </c>
      <c r="D1503" t="str">
        <f>HYPERLINK("http://service.sap.com/sap/support/notes/1735672","1735672")</f>
        <v>1735672</v>
      </c>
      <c r="E1503">
        <v>2</v>
      </c>
      <c r="F1503" t="s">
        <v>2189</v>
      </c>
    </row>
    <row r="1504" spans="1:6" x14ac:dyDescent="0.25">
      <c r="A1504" t="s">
        <v>4200</v>
      </c>
      <c r="B1504" t="s">
        <v>2190</v>
      </c>
      <c r="C1504" t="s">
        <v>2191</v>
      </c>
      <c r="D1504" t="str">
        <f>HYPERLINK("http://service.sap.com/sap/support/notes/1732591","1732591")</f>
        <v>1732591</v>
      </c>
      <c r="E1504">
        <v>3</v>
      </c>
      <c r="F1504" t="s">
        <v>2192</v>
      </c>
    </row>
    <row r="1505" spans="1:6" x14ac:dyDescent="0.25">
      <c r="A1505" t="s">
        <v>4200</v>
      </c>
      <c r="B1505" t="s">
        <v>2193</v>
      </c>
      <c r="C1505" t="s">
        <v>2194</v>
      </c>
      <c r="D1505" t="str">
        <f>HYPERLINK("http://service.sap.com/sap/support/notes/1745017","1745017")</f>
        <v>1745017</v>
      </c>
      <c r="E1505">
        <v>1</v>
      </c>
      <c r="F1505" t="s">
        <v>2195</v>
      </c>
    </row>
    <row r="1506" spans="1:6" x14ac:dyDescent="0.25">
      <c r="A1506" t="s">
        <v>4200</v>
      </c>
      <c r="B1506" t="s">
        <v>2193</v>
      </c>
      <c r="C1506" t="s">
        <v>2194</v>
      </c>
      <c r="D1506" t="str">
        <f>HYPERLINK("http://service.sap.com/sap/support/notes/1767682","1767682")</f>
        <v>1767682</v>
      </c>
      <c r="E1506">
        <v>1</v>
      </c>
      <c r="F1506" t="s">
        <v>2196</v>
      </c>
    </row>
    <row r="1507" spans="1:6" x14ac:dyDescent="0.25">
      <c r="A1507" t="s">
        <v>4200</v>
      </c>
      <c r="B1507" t="s">
        <v>2197</v>
      </c>
      <c r="C1507" t="s">
        <v>2198</v>
      </c>
    </row>
    <row r="1508" spans="1:6" x14ac:dyDescent="0.25">
      <c r="A1508" t="s">
        <v>4200</v>
      </c>
      <c r="B1508" t="s">
        <v>2199</v>
      </c>
      <c r="C1508" t="s">
        <v>2200</v>
      </c>
    </row>
    <row r="1509" spans="1:6" x14ac:dyDescent="0.25">
      <c r="A1509" t="s">
        <v>4200</v>
      </c>
      <c r="B1509" t="s">
        <v>2201</v>
      </c>
      <c r="C1509" t="s">
        <v>2201</v>
      </c>
      <c r="D1509" t="str">
        <f>HYPERLINK("http://service.sap.com/sap/support/notes/1603163","1603163")</f>
        <v>1603163</v>
      </c>
      <c r="E1509">
        <v>7</v>
      </c>
      <c r="F1509" t="s">
        <v>2202</v>
      </c>
    </row>
    <row r="1510" spans="1:6" x14ac:dyDescent="0.25">
      <c r="A1510" t="s">
        <v>4200</v>
      </c>
      <c r="B1510" t="s">
        <v>2203</v>
      </c>
      <c r="C1510" t="s">
        <v>218</v>
      </c>
    </row>
    <row r="1511" spans="1:6" x14ac:dyDescent="0.25">
      <c r="A1511" t="s">
        <v>4200</v>
      </c>
      <c r="B1511" t="s">
        <v>2204</v>
      </c>
      <c r="C1511" t="s">
        <v>2205</v>
      </c>
    </row>
    <row r="1512" spans="1:6" x14ac:dyDescent="0.25">
      <c r="A1512" t="s">
        <v>4200</v>
      </c>
      <c r="B1512" t="s">
        <v>2206</v>
      </c>
      <c r="C1512" t="s">
        <v>2207</v>
      </c>
      <c r="D1512" t="str">
        <f>HYPERLINK("http://service.sap.com/sap/support/notes/1717468","1717468")</f>
        <v>1717468</v>
      </c>
      <c r="E1512">
        <v>3</v>
      </c>
      <c r="F1512" t="s">
        <v>2208</v>
      </c>
    </row>
    <row r="1513" spans="1:6" x14ac:dyDescent="0.25">
      <c r="A1513" t="s">
        <v>4200</v>
      </c>
      <c r="B1513" t="s">
        <v>2209</v>
      </c>
      <c r="C1513" t="s">
        <v>1635</v>
      </c>
    </row>
    <row r="1514" spans="1:6" x14ac:dyDescent="0.25">
      <c r="A1514" t="s">
        <v>4200</v>
      </c>
      <c r="B1514" t="s">
        <v>2210</v>
      </c>
      <c r="C1514" t="s">
        <v>151</v>
      </c>
    </row>
    <row r="1515" spans="1:6" x14ac:dyDescent="0.25">
      <c r="A1515" t="s">
        <v>4200</v>
      </c>
      <c r="B1515" t="s">
        <v>2211</v>
      </c>
      <c r="C1515" t="s">
        <v>2212</v>
      </c>
      <c r="D1515" t="str">
        <f>HYPERLINK("http://service.sap.com/sap/support/notes/1560025","1560025")</f>
        <v>1560025</v>
      </c>
      <c r="E1515">
        <v>3</v>
      </c>
      <c r="F1515" t="s">
        <v>2213</v>
      </c>
    </row>
    <row r="1516" spans="1:6" x14ac:dyDescent="0.25">
      <c r="A1516" t="s">
        <v>4200</v>
      </c>
      <c r="B1516" t="s">
        <v>2214</v>
      </c>
      <c r="C1516" t="s">
        <v>2215</v>
      </c>
      <c r="D1516" t="str">
        <f>HYPERLINK("http://service.sap.com/sap/support/notes/1765471","1765471")</f>
        <v>1765471</v>
      </c>
      <c r="E1516">
        <v>1</v>
      </c>
      <c r="F1516" t="s">
        <v>2216</v>
      </c>
    </row>
    <row r="1517" spans="1:6" x14ac:dyDescent="0.25">
      <c r="A1517" t="s">
        <v>4200</v>
      </c>
      <c r="B1517" t="s">
        <v>2217</v>
      </c>
      <c r="C1517" t="s">
        <v>2218</v>
      </c>
      <c r="D1517" t="str">
        <f>HYPERLINK("http://service.sap.com/sap/support/notes/1734511","1734511")</f>
        <v>1734511</v>
      </c>
      <c r="E1517">
        <v>2</v>
      </c>
      <c r="F1517" t="s">
        <v>2219</v>
      </c>
    </row>
    <row r="1518" spans="1:6" x14ac:dyDescent="0.25">
      <c r="A1518" t="s">
        <v>4200</v>
      </c>
      <c r="B1518" t="s">
        <v>2217</v>
      </c>
      <c r="C1518" t="s">
        <v>2218</v>
      </c>
      <c r="D1518" t="str">
        <f>HYPERLINK("http://service.sap.com/sap/support/notes/1755675","1755675")</f>
        <v>1755675</v>
      </c>
      <c r="E1518">
        <v>1</v>
      </c>
      <c r="F1518" t="s">
        <v>2220</v>
      </c>
    </row>
    <row r="1519" spans="1:6" x14ac:dyDescent="0.25">
      <c r="A1519" t="s">
        <v>4200</v>
      </c>
      <c r="B1519" t="s">
        <v>2217</v>
      </c>
      <c r="C1519" t="s">
        <v>2218</v>
      </c>
      <c r="D1519" t="str">
        <f>HYPERLINK("http://service.sap.com/sap/support/notes/1760363","1760363")</f>
        <v>1760363</v>
      </c>
      <c r="E1519">
        <v>1</v>
      </c>
      <c r="F1519" t="s">
        <v>2221</v>
      </c>
    </row>
    <row r="1520" spans="1:6" x14ac:dyDescent="0.25">
      <c r="A1520" t="s">
        <v>4200</v>
      </c>
      <c r="B1520" t="s">
        <v>2222</v>
      </c>
      <c r="C1520" t="s">
        <v>2223</v>
      </c>
      <c r="D1520" t="str">
        <f>HYPERLINK("http://service.sap.com/sap/support/notes/1698542","1698542")</f>
        <v>1698542</v>
      </c>
      <c r="E1520">
        <v>2</v>
      </c>
      <c r="F1520" t="s">
        <v>2224</v>
      </c>
    </row>
    <row r="1521" spans="1:6" x14ac:dyDescent="0.25">
      <c r="A1521" t="s">
        <v>4200</v>
      </c>
      <c r="B1521" t="s">
        <v>2222</v>
      </c>
      <c r="C1521" t="s">
        <v>2223</v>
      </c>
      <c r="D1521" t="str">
        <f>HYPERLINK("http://service.sap.com/sap/support/notes/1725036","1725036")</f>
        <v>1725036</v>
      </c>
      <c r="E1521">
        <v>2</v>
      </c>
      <c r="F1521" t="s">
        <v>2225</v>
      </c>
    </row>
    <row r="1522" spans="1:6" x14ac:dyDescent="0.25">
      <c r="A1522" t="s">
        <v>4200</v>
      </c>
      <c r="B1522" t="s">
        <v>2226</v>
      </c>
      <c r="C1522" t="s">
        <v>2227</v>
      </c>
      <c r="D1522" t="str">
        <f>HYPERLINK("http://service.sap.com/sap/support/notes/1693537","1693537")</f>
        <v>1693537</v>
      </c>
      <c r="E1522">
        <v>2</v>
      </c>
      <c r="F1522" t="s">
        <v>2228</v>
      </c>
    </row>
    <row r="1523" spans="1:6" x14ac:dyDescent="0.25">
      <c r="A1523" t="s">
        <v>4200</v>
      </c>
      <c r="B1523" t="s">
        <v>2229</v>
      </c>
      <c r="C1523" t="s">
        <v>2230</v>
      </c>
      <c r="D1523" t="str">
        <f>HYPERLINK("http://service.sap.com/sap/support/notes/1682793","1682793")</f>
        <v>1682793</v>
      </c>
      <c r="E1523">
        <v>4</v>
      </c>
      <c r="F1523" t="s">
        <v>2231</v>
      </c>
    </row>
    <row r="1524" spans="1:6" x14ac:dyDescent="0.25">
      <c r="A1524" t="s">
        <v>4200</v>
      </c>
      <c r="B1524" t="s">
        <v>2232</v>
      </c>
      <c r="C1524" t="s">
        <v>2233</v>
      </c>
      <c r="D1524" t="str">
        <f>HYPERLINK("http://service.sap.com/sap/support/notes/1756236","1756236")</f>
        <v>1756236</v>
      </c>
      <c r="E1524">
        <v>2</v>
      </c>
      <c r="F1524" t="s">
        <v>2234</v>
      </c>
    </row>
    <row r="1525" spans="1:6" x14ac:dyDescent="0.25">
      <c r="A1525" t="s">
        <v>4200</v>
      </c>
      <c r="B1525" t="s">
        <v>2235</v>
      </c>
      <c r="C1525" t="s">
        <v>2236</v>
      </c>
      <c r="D1525" t="str">
        <f>HYPERLINK("http://service.sap.com/sap/support/notes/1681950","1681950")</f>
        <v>1681950</v>
      </c>
      <c r="E1525">
        <v>2</v>
      </c>
      <c r="F1525" t="s">
        <v>2237</v>
      </c>
    </row>
    <row r="1526" spans="1:6" x14ac:dyDescent="0.25">
      <c r="A1526" t="s">
        <v>4200</v>
      </c>
      <c r="B1526" t="s">
        <v>2235</v>
      </c>
      <c r="C1526" t="s">
        <v>2236</v>
      </c>
      <c r="D1526" t="str">
        <f>HYPERLINK("http://service.sap.com/sap/support/notes/1726813","1726813")</f>
        <v>1726813</v>
      </c>
      <c r="E1526">
        <v>2</v>
      </c>
      <c r="F1526" t="s">
        <v>2238</v>
      </c>
    </row>
    <row r="1527" spans="1:6" x14ac:dyDescent="0.25">
      <c r="A1527" t="s">
        <v>4200</v>
      </c>
      <c r="B1527" t="s">
        <v>2235</v>
      </c>
      <c r="C1527" t="s">
        <v>2236</v>
      </c>
      <c r="D1527" t="str">
        <f>HYPERLINK("http://service.sap.com/sap/support/notes/1729132","1729132")</f>
        <v>1729132</v>
      </c>
      <c r="E1527">
        <v>1</v>
      </c>
      <c r="F1527" t="s">
        <v>2239</v>
      </c>
    </row>
    <row r="1528" spans="1:6" x14ac:dyDescent="0.25">
      <c r="A1528" t="s">
        <v>4200</v>
      </c>
      <c r="B1528" t="s">
        <v>2235</v>
      </c>
      <c r="C1528" t="s">
        <v>2236</v>
      </c>
      <c r="D1528" t="str">
        <f>HYPERLINK("http://service.sap.com/sap/support/notes/1742980","1742980")</f>
        <v>1742980</v>
      </c>
      <c r="E1528">
        <v>2</v>
      </c>
      <c r="F1528" t="s">
        <v>2240</v>
      </c>
    </row>
    <row r="1529" spans="1:6" x14ac:dyDescent="0.25">
      <c r="A1529" t="s">
        <v>4200</v>
      </c>
      <c r="B1529" t="s">
        <v>2235</v>
      </c>
      <c r="C1529" t="s">
        <v>2236</v>
      </c>
      <c r="D1529" t="str">
        <f>HYPERLINK("http://service.sap.com/sap/support/notes/1756701","1756701")</f>
        <v>1756701</v>
      </c>
      <c r="E1529">
        <v>2</v>
      </c>
      <c r="F1529" t="s">
        <v>2241</v>
      </c>
    </row>
    <row r="1530" spans="1:6" x14ac:dyDescent="0.25">
      <c r="A1530" t="s">
        <v>4200</v>
      </c>
      <c r="B1530" t="s">
        <v>2235</v>
      </c>
      <c r="C1530" t="s">
        <v>2236</v>
      </c>
      <c r="D1530" t="str">
        <f>HYPERLINK("http://service.sap.com/sap/support/notes/1758595","1758595")</f>
        <v>1758595</v>
      </c>
      <c r="E1530">
        <v>2</v>
      </c>
      <c r="F1530" t="s">
        <v>2242</v>
      </c>
    </row>
    <row r="1531" spans="1:6" x14ac:dyDescent="0.25">
      <c r="A1531" t="s">
        <v>4200</v>
      </c>
      <c r="B1531" t="s">
        <v>2243</v>
      </c>
      <c r="C1531" t="s">
        <v>2244</v>
      </c>
      <c r="D1531" t="str">
        <f>HYPERLINK("http://service.sap.com/sap/support/notes/1730405","1730405")</f>
        <v>1730405</v>
      </c>
      <c r="E1531">
        <v>2</v>
      </c>
      <c r="F1531" t="s">
        <v>2245</v>
      </c>
    </row>
    <row r="1532" spans="1:6" x14ac:dyDescent="0.25">
      <c r="A1532" t="s">
        <v>4200</v>
      </c>
      <c r="B1532" t="s">
        <v>2243</v>
      </c>
      <c r="C1532" t="s">
        <v>2244</v>
      </c>
      <c r="D1532" t="str">
        <f>HYPERLINK("http://service.sap.com/sap/support/notes/1739003","1739003")</f>
        <v>1739003</v>
      </c>
      <c r="E1532">
        <v>2</v>
      </c>
      <c r="F1532" t="s">
        <v>2246</v>
      </c>
    </row>
    <row r="1533" spans="1:6" x14ac:dyDescent="0.25">
      <c r="A1533" t="s">
        <v>4200</v>
      </c>
      <c r="B1533" t="s">
        <v>2243</v>
      </c>
      <c r="C1533" t="s">
        <v>2244</v>
      </c>
      <c r="D1533" t="str">
        <f>HYPERLINK("http://service.sap.com/sap/support/notes/1741537","1741537")</f>
        <v>1741537</v>
      </c>
      <c r="E1533">
        <v>2</v>
      </c>
      <c r="F1533" t="s">
        <v>2247</v>
      </c>
    </row>
    <row r="1534" spans="1:6" x14ac:dyDescent="0.25">
      <c r="A1534" t="s">
        <v>4200</v>
      </c>
      <c r="B1534" t="s">
        <v>2248</v>
      </c>
      <c r="C1534" t="s">
        <v>2249</v>
      </c>
      <c r="D1534" t="str">
        <f>HYPERLINK("http://service.sap.com/sap/support/notes/1758519","1758519")</f>
        <v>1758519</v>
      </c>
      <c r="E1534">
        <v>2</v>
      </c>
      <c r="F1534" t="s">
        <v>2250</v>
      </c>
    </row>
    <row r="1535" spans="1:6" x14ac:dyDescent="0.25">
      <c r="A1535" t="s">
        <v>4200</v>
      </c>
      <c r="B1535" t="s">
        <v>2251</v>
      </c>
      <c r="C1535" t="s">
        <v>2252</v>
      </c>
      <c r="D1535" t="str">
        <f>HYPERLINK("http://service.sap.com/sap/support/notes/1731825","1731825")</f>
        <v>1731825</v>
      </c>
      <c r="E1535">
        <v>3</v>
      </c>
      <c r="F1535" t="s">
        <v>2253</v>
      </c>
    </row>
    <row r="1536" spans="1:6" x14ac:dyDescent="0.25">
      <c r="A1536" t="s">
        <v>4200</v>
      </c>
      <c r="B1536" t="s">
        <v>2254</v>
      </c>
      <c r="C1536" t="s">
        <v>2255</v>
      </c>
      <c r="D1536" t="str">
        <f>HYPERLINK("http://service.sap.com/sap/support/notes/1710819","1710819")</f>
        <v>1710819</v>
      </c>
      <c r="E1536">
        <v>2</v>
      </c>
      <c r="F1536" t="s">
        <v>2256</v>
      </c>
    </row>
    <row r="1537" spans="1:6" x14ac:dyDescent="0.25">
      <c r="A1537" t="s">
        <v>4200</v>
      </c>
      <c r="B1537" t="s">
        <v>2254</v>
      </c>
      <c r="C1537" t="s">
        <v>2255</v>
      </c>
      <c r="D1537" t="str">
        <f>HYPERLINK("http://service.sap.com/sap/support/notes/1735800","1735800")</f>
        <v>1735800</v>
      </c>
      <c r="E1537">
        <v>2</v>
      </c>
      <c r="F1537" t="s">
        <v>2257</v>
      </c>
    </row>
    <row r="1538" spans="1:6" x14ac:dyDescent="0.25">
      <c r="A1538" t="s">
        <v>4200</v>
      </c>
      <c r="B1538" t="s">
        <v>2258</v>
      </c>
      <c r="C1538" t="s">
        <v>2259</v>
      </c>
    </row>
    <row r="1539" spans="1:6" x14ac:dyDescent="0.25">
      <c r="A1539" t="s">
        <v>4200</v>
      </c>
      <c r="B1539" t="s">
        <v>2260</v>
      </c>
      <c r="C1539" t="s">
        <v>2261</v>
      </c>
      <c r="D1539" t="str">
        <f>HYPERLINK("http://service.sap.com/sap/support/notes/1749301","1749301")</f>
        <v>1749301</v>
      </c>
      <c r="E1539">
        <v>1</v>
      </c>
      <c r="F1539" t="s">
        <v>2262</v>
      </c>
    </row>
    <row r="1540" spans="1:6" x14ac:dyDescent="0.25">
      <c r="A1540" t="s">
        <v>4200</v>
      </c>
      <c r="B1540" t="s">
        <v>2263</v>
      </c>
      <c r="C1540" t="s">
        <v>1537</v>
      </c>
    </row>
    <row r="1541" spans="1:6" x14ac:dyDescent="0.25">
      <c r="A1541" t="s">
        <v>4200</v>
      </c>
      <c r="B1541" t="s">
        <v>2264</v>
      </c>
      <c r="C1541" t="s">
        <v>2265</v>
      </c>
      <c r="D1541" t="str">
        <f>HYPERLINK("http://service.sap.com/sap/support/notes/1668613","1668613")</f>
        <v>1668613</v>
      </c>
      <c r="E1541">
        <v>3</v>
      </c>
      <c r="F1541" t="s">
        <v>2266</v>
      </c>
    </row>
    <row r="1542" spans="1:6" x14ac:dyDescent="0.25">
      <c r="A1542" t="s">
        <v>4200</v>
      </c>
      <c r="B1542" t="s">
        <v>2264</v>
      </c>
      <c r="C1542" t="s">
        <v>2265</v>
      </c>
      <c r="D1542" t="str">
        <f>HYPERLINK("http://service.sap.com/sap/support/notes/1721359","1721359")</f>
        <v>1721359</v>
      </c>
      <c r="E1542">
        <v>1</v>
      </c>
      <c r="F1542" t="s">
        <v>2267</v>
      </c>
    </row>
    <row r="1543" spans="1:6" x14ac:dyDescent="0.25">
      <c r="A1543" t="s">
        <v>4200</v>
      </c>
      <c r="B1543" t="s">
        <v>2264</v>
      </c>
      <c r="C1543" t="s">
        <v>2265</v>
      </c>
      <c r="D1543" t="str">
        <f>HYPERLINK("http://service.sap.com/sap/support/notes/1729632","1729632")</f>
        <v>1729632</v>
      </c>
      <c r="E1543">
        <v>1</v>
      </c>
      <c r="F1543" t="s">
        <v>2268</v>
      </c>
    </row>
    <row r="1544" spans="1:6" x14ac:dyDescent="0.25">
      <c r="A1544" t="s">
        <v>4200</v>
      </c>
      <c r="B1544" t="s">
        <v>2264</v>
      </c>
      <c r="C1544" t="s">
        <v>2265</v>
      </c>
      <c r="D1544" t="str">
        <f>HYPERLINK("http://service.sap.com/sap/support/notes/1732266","1732266")</f>
        <v>1732266</v>
      </c>
      <c r="E1544">
        <v>1</v>
      </c>
      <c r="F1544" t="s">
        <v>2269</v>
      </c>
    </row>
    <row r="1545" spans="1:6" x14ac:dyDescent="0.25">
      <c r="A1545" t="s">
        <v>4200</v>
      </c>
      <c r="B1545" t="s">
        <v>2270</v>
      </c>
      <c r="C1545" t="s">
        <v>2265</v>
      </c>
      <c r="D1545" t="str">
        <f>HYPERLINK("http://service.sap.com/sap/support/notes/1727284","1727284")</f>
        <v>1727284</v>
      </c>
      <c r="E1545">
        <v>2</v>
      </c>
      <c r="F1545" t="s">
        <v>2271</v>
      </c>
    </row>
    <row r="1546" spans="1:6" x14ac:dyDescent="0.25">
      <c r="A1546" t="s">
        <v>4200</v>
      </c>
      <c r="B1546" t="s">
        <v>2270</v>
      </c>
      <c r="C1546" t="s">
        <v>2265</v>
      </c>
      <c r="D1546" t="str">
        <f>HYPERLINK("http://service.sap.com/sap/support/notes/1738158","1738158")</f>
        <v>1738158</v>
      </c>
      <c r="E1546">
        <v>2</v>
      </c>
      <c r="F1546" t="s">
        <v>2272</v>
      </c>
    </row>
    <row r="1547" spans="1:6" x14ac:dyDescent="0.25">
      <c r="A1547" t="s">
        <v>4200</v>
      </c>
      <c r="B1547" t="s">
        <v>2270</v>
      </c>
      <c r="C1547" t="s">
        <v>2265</v>
      </c>
      <c r="D1547" t="str">
        <f>HYPERLINK("http://service.sap.com/sap/support/notes/1745626","1745626")</f>
        <v>1745626</v>
      </c>
      <c r="E1547">
        <v>1</v>
      </c>
      <c r="F1547" t="s">
        <v>2273</v>
      </c>
    </row>
    <row r="1548" spans="1:6" x14ac:dyDescent="0.25">
      <c r="A1548" t="s">
        <v>4200</v>
      </c>
      <c r="B1548" t="s">
        <v>2270</v>
      </c>
      <c r="C1548" t="s">
        <v>2265</v>
      </c>
      <c r="D1548" t="str">
        <f>HYPERLINK("http://service.sap.com/sap/support/notes/1759130","1759130")</f>
        <v>1759130</v>
      </c>
      <c r="E1548">
        <v>2</v>
      </c>
      <c r="F1548" t="s">
        <v>2274</v>
      </c>
    </row>
    <row r="1549" spans="1:6" x14ac:dyDescent="0.25">
      <c r="A1549" t="s">
        <v>4200</v>
      </c>
      <c r="B1549" t="s">
        <v>2270</v>
      </c>
      <c r="C1549" t="s">
        <v>2265</v>
      </c>
      <c r="D1549" t="str">
        <f>HYPERLINK("http://service.sap.com/sap/support/notes/1763857","1763857")</f>
        <v>1763857</v>
      </c>
      <c r="E1549">
        <v>1</v>
      </c>
      <c r="F1549" t="s">
        <v>2275</v>
      </c>
    </row>
    <row r="1550" spans="1:6" x14ac:dyDescent="0.25">
      <c r="A1550" t="s">
        <v>4200</v>
      </c>
      <c r="B1550" t="s">
        <v>2276</v>
      </c>
      <c r="C1550" t="s">
        <v>2277</v>
      </c>
      <c r="D1550" t="str">
        <f>HYPERLINK("http://service.sap.com/sap/support/notes/1700444","1700444")</f>
        <v>1700444</v>
      </c>
      <c r="E1550">
        <v>2</v>
      </c>
      <c r="F1550" t="s">
        <v>2278</v>
      </c>
    </row>
    <row r="1551" spans="1:6" x14ac:dyDescent="0.25">
      <c r="A1551" t="s">
        <v>4200</v>
      </c>
      <c r="B1551" t="s">
        <v>2279</v>
      </c>
      <c r="C1551" t="s">
        <v>2280</v>
      </c>
    </row>
    <row r="1552" spans="1:6" x14ac:dyDescent="0.25">
      <c r="A1552" t="s">
        <v>4200</v>
      </c>
      <c r="B1552" t="s">
        <v>2281</v>
      </c>
      <c r="C1552" t="s">
        <v>2282</v>
      </c>
      <c r="D1552" t="str">
        <f>HYPERLINK("http://service.sap.com/sap/support/notes/1742778","1742778")</f>
        <v>1742778</v>
      </c>
      <c r="E1552">
        <v>1</v>
      </c>
      <c r="F1552" t="s">
        <v>2283</v>
      </c>
    </row>
    <row r="1553" spans="1:6" x14ac:dyDescent="0.25">
      <c r="A1553" t="s">
        <v>4200</v>
      </c>
      <c r="B1553" t="s">
        <v>2281</v>
      </c>
      <c r="C1553" t="s">
        <v>2282</v>
      </c>
      <c r="D1553" t="str">
        <f>HYPERLINK("http://service.sap.com/sap/support/notes/1749321","1749321")</f>
        <v>1749321</v>
      </c>
      <c r="E1553">
        <v>1</v>
      </c>
      <c r="F1553" t="s">
        <v>2284</v>
      </c>
    </row>
    <row r="1554" spans="1:6" x14ac:dyDescent="0.25">
      <c r="A1554" t="s">
        <v>4200</v>
      </c>
      <c r="B1554" t="s">
        <v>2285</v>
      </c>
      <c r="C1554" t="s">
        <v>2286</v>
      </c>
      <c r="D1554" t="str">
        <f>HYPERLINK("http://service.sap.com/sap/support/notes/1765340","1765340")</f>
        <v>1765340</v>
      </c>
      <c r="E1554">
        <v>1</v>
      </c>
      <c r="F1554" t="s">
        <v>2287</v>
      </c>
    </row>
    <row r="1555" spans="1:6" x14ac:dyDescent="0.25">
      <c r="A1555" t="s">
        <v>4200</v>
      </c>
      <c r="B1555" t="s">
        <v>2288</v>
      </c>
      <c r="C1555" t="s">
        <v>2289</v>
      </c>
      <c r="D1555" t="str">
        <f>HYPERLINK("http://service.sap.com/sap/support/notes/1741257","1741257")</f>
        <v>1741257</v>
      </c>
      <c r="E1555">
        <v>1</v>
      </c>
      <c r="F1555" t="s">
        <v>2290</v>
      </c>
    </row>
    <row r="1556" spans="1:6" x14ac:dyDescent="0.25">
      <c r="A1556" t="s">
        <v>4200</v>
      </c>
      <c r="B1556" t="s">
        <v>2288</v>
      </c>
      <c r="C1556" t="s">
        <v>2289</v>
      </c>
      <c r="D1556" t="str">
        <f>HYPERLINK("http://service.sap.com/sap/support/notes/1746662","1746662")</f>
        <v>1746662</v>
      </c>
      <c r="E1556">
        <v>2</v>
      </c>
      <c r="F1556" t="s">
        <v>2291</v>
      </c>
    </row>
    <row r="1557" spans="1:6" x14ac:dyDescent="0.25">
      <c r="A1557" t="s">
        <v>4200</v>
      </c>
      <c r="B1557" t="s">
        <v>2292</v>
      </c>
      <c r="C1557" t="s">
        <v>2293</v>
      </c>
    </row>
    <row r="1558" spans="1:6" x14ac:dyDescent="0.25">
      <c r="A1558" t="s">
        <v>4200</v>
      </c>
      <c r="B1558" t="s">
        <v>2294</v>
      </c>
      <c r="C1558" t="s">
        <v>2295</v>
      </c>
      <c r="D1558" t="str">
        <f>HYPERLINK("http://service.sap.com/sap/support/notes/1742905","1742905")</f>
        <v>1742905</v>
      </c>
      <c r="E1558">
        <v>1</v>
      </c>
      <c r="F1558" t="s">
        <v>2296</v>
      </c>
    </row>
    <row r="1559" spans="1:6" x14ac:dyDescent="0.25">
      <c r="A1559" t="s">
        <v>4200</v>
      </c>
      <c r="B1559" t="s">
        <v>2297</v>
      </c>
      <c r="C1559" t="s">
        <v>2298</v>
      </c>
    </row>
    <row r="1560" spans="1:6" x14ac:dyDescent="0.25">
      <c r="A1560" t="s">
        <v>4200</v>
      </c>
      <c r="B1560" t="s">
        <v>2299</v>
      </c>
      <c r="C1560" t="s">
        <v>2300</v>
      </c>
      <c r="D1560" t="str">
        <f>HYPERLINK("http://service.sap.com/sap/support/notes/1710168","1710168")</f>
        <v>1710168</v>
      </c>
      <c r="E1560">
        <v>2</v>
      </c>
      <c r="F1560" t="s">
        <v>2301</v>
      </c>
    </row>
    <row r="1561" spans="1:6" x14ac:dyDescent="0.25">
      <c r="A1561" t="s">
        <v>4200</v>
      </c>
      <c r="B1561" t="s">
        <v>2299</v>
      </c>
      <c r="C1561" t="s">
        <v>2300</v>
      </c>
      <c r="D1561" t="str">
        <f>HYPERLINK("http://service.sap.com/sap/support/notes/1744775","1744775")</f>
        <v>1744775</v>
      </c>
      <c r="E1561">
        <v>2</v>
      </c>
      <c r="F1561" t="s">
        <v>2302</v>
      </c>
    </row>
    <row r="1562" spans="1:6" x14ac:dyDescent="0.25">
      <c r="A1562" t="s">
        <v>4200</v>
      </c>
      <c r="B1562" t="s">
        <v>2299</v>
      </c>
      <c r="C1562" t="s">
        <v>2300</v>
      </c>
      <c r="D1562" t="str">
        <f>HYPERLINK("http://service.sap.com/sap/support/notes/1753917","1753917")</f>
        <v>1753917</v>
      </c>
      <c r="E1562">
        <v>2</v>
      </c>
      <c r="F1562" t="s">
        <v>2303</v>
      </c>
    </row>
    <row r="1563" spans="1:6" x14ac:dyDescent="0.25">
      <c r="A1563" t="s">
        <v>4200</v>
      </c>
      <c r="B1563" t="s">
        <v>2299</v>
      </c>
      <c r="C1563" t="s">
        <v>2300</v>
      </c>
      <c r="D1563" t="str">
        <f>HYPERLINK("http://service.sap.com/sap/support/notes/1760850","1760850")</f>
        <v>1760850</v>
      </c>
      <c r="E1563">
        <v>1</v>
      </c>
      <c r="F1563" t="s">
        <v>2304</v>
      </c>
    </row>
    <row r="1564" spans="1:6" x14ac:dyDescent="0.25">
      <c r="A1564" t="s">
        <v>4200</v>
      </c>
      <c r="B1564" t="s">
        <v>2305</v>
      </c>
      <c r="C1564" t="s">
        <v>2306</v>
      </c>
      <c r="D1564" t="str">
        <f>HYPERLINK("http://service.sap.com/sap/support/notes/1638587","1638587")</f>
        <v>1638587</v>
      </c>
      <c r="E1564">
        <v>1</v>
      </c>
      <c r="F1564" t="s">
        <v>2307</v>
      </c>
    </row>
    <row r="1565" spans="1:6" x14ac:dyDescent="0.25">
      <c r="A1565" t="s">
        <v>4200</v>
      </c>
      <c r="B1565" t="s">
        <v>2305</v>
      </c>
      <c r="C1565" t="s">
        <v>2306</v>
      </c>
      <c r="D1565" t="str">
        <f>HYPERLINK("http://service.sap.com/sap/support/notes/1646791","1646791")</f>
        <v>1646791</v>
      </c>
      <c r="E1565">
        <v>8</v>
      </c>
      <c r="F1565" t="s">
        <v>2308</v>
      </c>
    </row>
    <row r="1566" spans="1:6" x14ac:dyDescent="0.25">
      <c r="A1566" t="s">
        <v>4200</v>
      </c>
      <c r="B1566" t="s">
        <v>2305</v>
      </c>
      <c r="C1566" t="s">
        <v>2306</v>
      </c>
      <c r="D1566" t="str">
        <f>HYPERLINK("http://service.sap.com/sap/support/notes/1671874","1671874")</f>
        <v>1671874</v>
      </c>
      <c r="F1566" t="s">
        <v>2309</v>
      </c>
    </row>
    <row r="1567" spans="1:6" x14ac:dyDescent="0.25">
      <c r="A1567" t="s">
        <v>4200</v>
      </c>
      <c r="B1567" t="s">
        <v>2305</v>
      </c>
      <c r="C1567" t="s">
        <v>2306</v>
      </c>
      <c r="D1567" t="str">
        <f>HYPERLINK("http://service.sap.com/sap/support/notes/1694088","1694088")</f>
        <v>1694088</v>
      </c>
      <c r="F1567" t="s">
        <v>2310</v>
      </c>
    </row>
    <row r="1568" spans="1:6" x14ac:dyDescent="0.25">
      <c r="A1568" t="s">
        <v>4200</v>
      </c>
      <c r="B1568" t="s">
        <v>2305</v>
      </c>
      <c r="C1568" t="s">
        <v>2306</v>
      </c>
      <c r="D1568" t="str">
        <f>HYPERLINK("http://service.sap.com/sap/support/notes/1700176","1700176")</f>
        <v>1700176</v>
      </c>
      <c r="F1568" t="s">
        <v>2311</v>
      </c>
    </row>
    <row r="1569" spans="1:6" x14ac:dyDescent="0.25">
      <c r="A1569" t="s">
        <v>4200</v>
      </c>
      <c r="B1569" t="s">
        <v>2305</v>
      </c>
      <c r="C1569" t="s">
        <v>2306</v>
      </c>
      <c r="D1569" t="str">
        <f>HYPERLINK("http://service.sap.com/sap/support/notes/1716915","1716915")</f>
        <v>1716915</v>
      </c>
      <c r="E1569">
        <v>1</v>
      </c>
      <c r="F1569" t="s">
        <v>2312</v>
      </c>
    </row>
    <row r="1570" spans="1:6" x14ac:dyDescent="0.25">
      <c r="A1570" t="s">
        <v>4200</v>
      </c>
      <c r="B1570" t="s">
        <v>2305</v>
      </c>
      <c r="C1570" t="s">
        <v>2306</v>
      </c>
      <c r="D1570" t="str">
        <f>HYPERLINK("http://service.sap.com/sap/support/notes/1717911","1717911")</f>
        <v>1717911</v>
      </c>
      <c r="F1570" t="s">
        <v>2313</v>
      </c>
    </row>
    <row r="1571" spans="1:6" x14ac:dyDescent="0.25">
      <c r="A1571" t="s">
        <v>4200</v>
      </c>
      <c r="B1571" t="s">
        <v>2305</v>
      </c>
      <c r="C1571" t="s">
        <v>2306</v>
      </c>
      <c r="D1571" t="str">
        <f>HYPERLINK("http://service.sap.com/sap/support/notes/1721456","1721456")</f>
        <v>1721456</v>
      </c>
      <c r="E1571">
        <v>1</v>
      </c>
      <c r="F1571" t="s">
        <v>2314</v>
      </c>
    </row>
    <row r="1572" spans="1:6" x14ac:dyDescent="0.25">
      <c r="A1572" t="s">
        <v>4200</v>
      </c>
      <c r="B1572" t="s">
        <v>2305</v>
      </c>
      <c r="C1572" t="s">
        <v>2306</v>
      </c>
      <c r="D1572" t="str">
        <f>HYPERLINK("http://service.sap.com/sap/support/notes/1723290","1723290")</f>
        <v>1723290</v>
      </c>
      <c r="E1572">
        <v>1</v>
      </c>
      <c r="F1572" t="s">
        <v>2315</v>
      </c>
    </row>
    <row r="1573" spans="1:6" x14ac:dyDescent="0.25">
      <c r="A1573" t="s">
        <v>4200</v>
      </c>
      <c r="B1573" t="s">
        <v>2305</v>
      </c>
      <c r="C1573" t="s">
        <v>2306</v>
      </c>
      <c r="D1573" t="str">
        <f>HYPERLINK("http://service.sap.com/sap/support/notes/1734761","1734761")</f>
        <v>1734761</v>
      </c>
      <c r="E1573">
        <v>3</v>
      </c>
      <c r="F1573" t="s">
        <v>2316</v>
      </c>
    </row>
    <row r="1574" spans="1:6" x14ac:dyDescent="0.25">
      <c r="A1574" t="s">
        <v>4200</v>
      </c>
      <c r="B1574" t="s">
        <v>2305</v>
      </c>
      <c r="C1574" t="s">
        <v>2306</v>
      </c>
      <c r="D1574" t="str">
        <f>HYPERLINK("http://service.sap.com/sap/support/notes/1735514","1735514")</f>
        <v>1735514</v>
      </c>
      <c r="E1574">
        <v>1</v>
      </c>
      <c r="F1574" t="s">
        <v>2317</v>
      </c>
    </row>
    <row r="1575" spans="1:6" x14ac:dyDescent="0.25">
      <c r="A1575" t="s">
        <v>4200</v>
      </c>
      <c r="B1575" t="s">
        <v>2305</v>
      </c>
      <c r="C1575" t="s">
        <v>2306</v>
      </c>
      <c r="D1575" t="str">
        <f>HYPERLINK("http://service.sap.com/sap/support/notes/1738309","1738309")</f>
        <v>1738309</v>
      </c>
      <c r="E1575">
        <v>4</v>
      </c>
      <c r="F1575" t="s">
        <v>2318</v>
      </c>
    </row>
    <row r="1576" spans="1:6" x14ac:dyDescent="0.25">
      <c r="A1576" t="s">
        <v>4200</v>
      </c>
      <c r="B1576" t="s">
        <v>2305</v>
      </c>
      <c r="C1576" t="s">
        <v>2306</v>
      </c>
      <c r="D1576" t="str">
        <f>HYPERLINK("http://service.sap.com/sap/support/notes/1745145","1745145")</f>
        <v>1745145</v>
      </c>
      <c r="E1576">
        <v>1</v>
      </c>
      <c r="F1576" t="s">
        <v>2319</v>
      </c>
    </row>
    <row r="1577" spans="1:6" x14ac:dyDescent="0.25">
      <c r="A1577" t="s">
        <v>4200</v>
      </c>
      <c r="B1577" t="s">
        <v>2320</v>
      </c>
      <c r="C1577" t="s">
        <v>2321</v>
      </c>
    </row>
    <row r="1578" spans="1:6" x14ac:dyDescent="0.25">
      <c r="A1578" t="s">
        <v>4200</v>
      </c>
      <c r="B1578" t="s">
        <v>2322</v>
      </c>
      <c r="C1578" t="s">
        <v>2323</v>
      </c>
      <c r="D1578" t="str">
        <f>HYPERLINK("http://service.sap.com/sap/support/notes/1719572","1719572")</f>
        <v>1719572</v>
      </c>
      <c r="E1578">
        <v>4</v>
      </c>
      <c r="F1578" t="s">
        <v>2324</v>
      </c>
    </row>
    <row r="1579" spans="1:6" x14ac:dyDescent="0.25">
      <c r="A1579" t="s">
        <v>4200</v>
      </c>
      <c r="B1579" t="s">
        <v>2322</v>
      </c>
      <c r="C1579" t="s">
        <v>2323</v>
      </c>
      <c r="D1579" t="str">
        <f>HYPERLINK("http://service.sap.com/sap/support/notes/1740267","1740267")</f>
        <v>1740267</v>
      </c>
      <c r="E1579">
        <v>2</v>
      </c>
      <c r="F1579" t="s">
        <v>2325</v>
      </c>
    </row>
    <row r="1580" spans="1:6" x14ac:dyDescent="0.25">
      <c r="A1580" t="s">
        <v>4200</v>
      </c>
      <c r="B1580" t="s">
        <v>2322</v>
      </c>
      <c r="C1580" t="s">
        <v>2323</v>
      </c>
      <c r="D1580" t="str">
        <f>HYPERLINK("http://service.sap.com/sap/support/notes/1744765","1744765")</f>
        <v>1744765</v>
      </c>
      <c r="E1580">
        <v>1</v>
      </c>
      <c r="F1580" t="s">
        <v>2326</v>
      </c>
    </row>
    <row r="1581" spans="1:6" x14ac:dyDescent="0.25">
      <c r="A1581" t="s">
        <v>4200</v>
      </c>
      <c r="B1581" t="s">
        <v>2327</v>
      </c>
      <c r="C1581" t="s">
        <v>151</v>
      </c>
    </row>
    <row r="1582" spans="1:6" x14ac:dyDescent="0.25">
      <c r="A1582" t="s">
        <v>4200</v>
      </c>
      <c r="B1582" t="s">
        <v>2328</v>
      </c>
      <c r="C1582" t="s">
        <v>2329</v>
      </c>
      <c r="D1582" t="str">
        <f>HYPERLINK("http://service.sap.com/sap/support/notes/1731344","1731344")</f>
        <v>1731344</v>
      </c>
      <c r="E1582">
        <v>1</v>
      </c>
      <c r="F1582" t="s">
        <v>2330</v>
      </c>
    </row>
    <row r="1583" spans="1:6" x14ac:dyDescent="0.25">
      <c r="A1583" t="s">
        <v>4200</v>
      </c>
      <c r="B1583" t="s">
        <v>2331</v>
      </c>
      <c r="C1583" t="s">
        <v>1784</v>
      </c>
    </row>
    <row r="1584" spans="1:6" x14ac:dyDescent="0.25">
      <c r="A1584" t="s">
        <v>4200</v>
      </c>
      <c r="B1584" t="s">
        <v>2332</v>
      </c>
      <c r="C1584" t="s">
        <v>2333</v>
      </c>
      <c r="D1584" t="str">
        <f>HYPERLINK("http://service.sap.com/sap/support/notes/1733833","1733833")</f>
        <v>1733833</v>
      </c>
      <c r="E1584">
        <v>3</v>
      </c>
      <c r="F1584" t="s">
        <v>2334</v>
      </c>
    </row>
    <row r="1585" spans="1:6" x14ac:dyDescent="0.25">
      <c r="A1585" t="s">
        <v>4200</v>
      </c>
      <c r="B1585" t="s">
        <v>2332</v>
      </c>
      <c r="C1585" t="s">
        <v>2333</v>
      </c>
      <c r="D1585" t="str">
        <f>HYPERLINK("http://service.sap.com/sap/support/notes/1734527","1734527")</f>
        <v>1734527</v>
      </c>
      <c r="E1585">
        <v>1</v>
      </c>
      <c r="F1585" t="s">
        <v>2335</v>
      </c>
    </row>
    <row r="1586" spans="1:6" x14ac:dyDescent="0.25">
      <c r="A1586" t="s">
        <v>4200</v>
      </c>
      <c r="B1586" t="s">
        <v>2332</v>
      </c>
      <c r="C1586" t="s">
        <v>2333</v>
      </c>
      <c r="D1586" t="str">
        <f>HYPERLINK("http://service.sap.com/sap/support/notes/1741701","1741701")</f>
        <v>1741701</v>
      </c>
      <c r="E1586">
        <v>1</v>
      </c>
      <c r="F1586" t="s">
        <v>2336</v>
      </c>
    </row>
    <row r="1587" spans="1:6" x14ac:dyDescent="0.25">
      <c r="A1587" t="s">
        <v>4200</v>
      </c>
      <c r="B1587" t="s">
        <v>2337</v>
      </c>
      <c r="C1587" t="s">
        <v>2338</v>
      </c>
      <c r="D1587" t="str">
        <f>HYPERLINK("http://service.sap.com/sap/support/notes/1736816","1736816")</f>
        <v>1736816</v>
      </c>
      <c r="E1587">
        <v>2</v>
      </c>
      <c r="F1587" t="s">
        <v>2339</v>
      </c>
    </row>
    <row r="1588" spans="1:6" x14ac:dyDescent="0.25">
      <c r="A1588" t="s">
        <v>4200</v>
      </c>
      <c r="B1588" t="s">
        <v>2340</v>
      </c>
      <c r="C1588" t="s">
        <v>2341</v>
      </c>
      <c r="D1588" t="str">
        <f>HYPERLINK("http://service.sap.com/sap/support/notes/1735131","1735131")</f>
        <v>1735131</v>
      </c>
      <c r="E1588">
        <v>2</v>
      </c>
      <c r="F1588" t="s">
        <v>2342</v>
      </c>
    </row>
    <row r="1589" spans="1:6" x14ac:dyDescent="0.25">
      <c r="A1589" t="s">
        <v>4200</v>
      </c>
      <c r="B1589" t="s">
        <v>2340</v>
      </c>
      <c r="C1589" t="s">
        <v>2341</v>
      </c>
      <c r="D1589" t="str">
        <f>HYPERLINK("http://service.sap.com/sap/support/notes/1747977","1747977")</f>
        <v>1747977</v>
      </c>
      <c r="E1589">
        <v>1</v>
      </c>
      <c r="F1589" t="s">
        <v>2343</v>
      </c>
    </row>
    <row r="1590" spans="1:6" x14ac:dyDescent="0.25">
      <c r="A1590" t="s">
        <v>4200</v>
      </c>
      <c r="B1590" t="s">
        <v>2344</v>
      </c>
      <c r="C1590" t="s">
        <v>2345</v>
      </c>
      <c r="D1590" t="str">
        <f>HYPERLINK("http://service.sap.com/sap/support/notes/1755674","1755674")</f>
        <v>1755674</v>
      </c>
      <c r="E1590">
        <v>5</v>
      </c>
      <c r="F1590" t="s">
        <v>2346</v>
      </c>
    </row>
    <row r="1591" spans="1:6" x14ac:dyDescent="0.25">
      <c r="A1591" t="s">
        <v>4200</v>
      </c>
      <c r="B1591" t="s">
        <v>2347</v>
      </c>
      <c r="C1591" t="s">
        <v>2348</v>
      </c>
      <c r="D1591" t="str">
        <f>HYPERLINK("http://service.sap.com/sap/support/notes/1731672","1731672")</f>
        <v>1731672</v>
      </c>
      <c r="E1591">
        <v>3</v>
      </c>
      <c r="F1591" t="s">
        <v>2349</v>
      </c>
    </row>
    <row r="1592" spans="1:6" x14ac:dyDescent="0.25">
      <c r="A1592" t="s">
        <v>4200</v>
      </c>
      <c r="B1592" t="s">
        <v>2347</v>
      </c>
      <c r="C1592" t="s">
        <v>2348</v>
      </c>
      <c r="D1592" t="str">
        <f>HYPERLINK("http://service.sap.com/sap/support/notes/1752549","1752549")</f>
        <v>1752549</v>
      </c>
      <c r="E1592">
        <v>2</v>
      </c>
      <c r="F1592" t="s">
        <v>2350</v>
      </c>
    </row>
    <row r="1593" spans="1:6" x14ac:dyDescent="0.25">
      <c r="A1593" t="s">
        <v>4200</v>
      </c>
      <c r="B1593" t="s">
        <v>2351</v>
      </c>
      <c r="C1593" t="s">
        <v>2352</v>
      </c>
      <c r="D1593" t="str">
        <f>HYPERLINK("http://service.sap.com/sap/support/notes/1744242","1744242")</f>
        <v>1744242</v>
      </c>
      <c r="E1593">
        <v>2</v>
      </c>
      <c r="F1593" t="s">
        <v>2353</v>
      </c>
    </row>
    <row r="1594" spans="1:6" x14ac:dyDescent="0.25">
      <c r="A1594" t="s">
        <v>4200</v>
      </c>
      <c r="B1594" t="s">
        <v>2351</v>
      </c>
      <c r="C1594" t="s">
        <v>2352</v>
      </c>
      <c r="D1594" t="str">
        <f>HYPERLINK("http://service.sap.com/sap/support/notes/1750260","1750260")</f>
        <v>1750260</v>
      </c>
      <c r="E1594">
        <v>4</v>
      </c>
      <c r="F1594" t="s">
        <v>2354</v>
      </c>
    </row>
    <row r="1595" spans="1:6" x14ac:dyDescent="0.25">
      <c r="A1595" t="s">
        <v>4200</v>
      </c>
      <c r="B1595" t="s">
        <v>2355</v>
      </c>
      <c r="C1595" t="s">
        <v>2356</v>
      </c>
      <c r="D1595" t="str">
        <f>HYPERLINK("http://service.sap.com/sap/support/notes/1731546","1731546")</f>
        <v>1731546</v>
      </c>
      <c r="E1595">
        <v>2</v>
      </c>
      <c r="F1595" t="s">
        <v>2357</v>
      </c>
    </row>
    <row r="1596" spans="1:6" x14ac:dyDescent="0.25">
      <c r="A1596" t="s">
        <v>4200</v>
      </c>
      <c r="B1596" t="s">
        <v>2358</v>
      </c>
      <c r="C1596" t="s">
        <v>2359</v>
      </c>
      <c r="D1596" t="str">
        <f>HYPERLINK("http://service.sap.com/sap/support/notes/1722517","1722517")</f>
        <v>1722517</v>
      </c>
      <c r="E1596">
        <v>1</v>
      </c>
      <c r="F1596" t="s">
        <v>2360</v>
      </c>
    </row>
    <row r="1597" spans="1:6" x14ac:dyDescent="0.25">
      <c r="A1597" t="s">
        <v>4200</v>
      </c>
      <c r="B1597" t="s">
        <v>2358</v>
      </c>
      <c r="C1597" t="s">
        <v>2359</v>
      </c>
      <c r="D1597" t="str">
        <f>HYPERLINK("http://service.sap.com/sap/support/notes/1734775","1734775")</f>
        <v>1734775</v>
      </c>
      <c r="E1597">
        <v>1</v>
      </c>
      <c r="F1597" t="s">
        <v>2361</v>
      </c>
    </row>
    <row r="1598" spans="1:6" x14ac:dyDescent="0.25">
      <c r="A1598" t="s">
        <v>4200</v>
      </c>
      <c r="B1598" t="s">
        <v>2358</v>
      </c>
      <c r="C1598" t="s">
        <v>2359</v>
      </c>
      <c r="D1598" t="str">
        <f>HYPERLINK("http://service.sap.com/sap/support/notes/1734854","1734854")</f>
        <v>1734854</v>
      </c>
      <c r="E1598">
        <v>1</v>
      </c>
      <c r="F1598" t="s">
        <v>2362</v>
      </c>
    </row>
    <row r="1599" spans="1:6" x14ac:dyDescent="0.25">
      <c r="A1599" t="s">
        <v>4200</v>
      </c>
      <c r="B1599" t="s">
        <v>2358</v>
      </c>
      <c r="C1599" t="s">
        <v>2359</v>
      </c>
      <c r="D1599" t="str">
        <f>HYPERLINK("http://service.sap.com/sap/support/notes/1739987","1739987")</f>
        <v>1739987</v>
      </c>
      <c r="E1599">
        <v>1</v>
      </c>
      <c r="F1599" t="s">
        <v>2363</v>
      </c>
    </row>
    <row r="1600" spans="1:6" x14ac:dyDescent="0.25">
      <c r="A1600" t="s">
        <v>4200</v>
      </c>
      <c r="B1600" t="s">
        <v>2358</v>
      </c>
      <c r="C1600" t="s">
        <v>2359</v>
      </c>
      <c r="D1600" t="str">
        <f>HYPERLINK("http://service.sap.com/sap/support/notes/1740259","1740259")</f>
        <v>1740259</v>
      </c>
      <c r="E1600">
        <v>1</v>
      </c>
      <c r="F1600" t="s">
        <v>2364</v>
      </c>
    </row>
    <row r="1601" spans="1:6" x14ac:dyDescent="0.25">
      <c r="A1601" t="s">
        <v>4200</v>
      </c>
      <c r="B1601" t="s">
        <v>2358</v>
      </c>
      <c r="C1601" t="s">
        <v>2359</v>
      </c>
      <c r="D1601" t="str">
        <f>HYPERLINK("http://service.sap.com/sap/support/notes/1740733","1740733")</f>
        <v>1740733</v>
      </c>
      <c r="E1601">
        <v>2</v>
      </c>
      <c r="F1601" t="s">
        <v>2365</v>
      </c>
    </row>
    <row r="1602" spans="1:6" x14ac:dyDescent="0.25">
      <c r="A1602" t="s">
        <v>4200</v>
      </c>
      <c r="B1602" t="s">
        <v>2358</v>
      </c>
      <c r="C1602" t="s">
        <v>2359</v>
      </c>
      <c r="D1602" t="str">
        <f>HYPERLINK("http://service.sap.com/sap/support/notes/1744361","1744361")</f>
        <v>1744361</v>
      </c>
      <c r="E1602">
        <v>1</v>
      </c>
      <c r="F1602" t="s">
        <v>2366</v>
      </c>
    </row>
    <row r="1603" spans="1:6" x14ac:dyDescent="0.25">
      <c r="A1603" t="s">
        <v>4200</v>
      </c>
      <c r="B1603" t="s">
        <v>2358</v>
      </c>
      <c r="C1603" t="s">
        <v>2359</v>
      </c>
      <c r="D1603" t="str">
        <f>HYPERLINK("http://service.sap.com/sap/support/notes/1744889","1744889")</f>
        <v>1744889</v>
      </c>
      <c r="E1603">
        <v>2</v>
      </c>
      <c r="F1603" t="s">
        <v>2367</v>
      </c>
    </row>
    <row r="1604" spans="1:6" x14ac:dyDescent="0.25">
      <c r="A1604" t="s">
        <v>4200</v>
      </c>
      <c r="B1604" t="s">
        <v>2358</v>
      </c>
      <c r="C1604" t="s">
        <v>2359</v>
      </c>
      <c r="D1604" t="str">
        <f>HYPERLINK("http://service.sap.com/sap/support/notes/1745587","1745587")</f>
        <v>1745587</v>
      </c>
      <c r="E1604">
        <v>2</v>
      </c>
      <c r="F1604" t="s">
        <v>2368</v>
      </c>
    </row>
    <row r="1605" spans="1:6" x14ac:dyDescent="0.25">
      <c r="A1605" t="s">
        <v>4200</v>
      </c>
      <c r="B1605" t="s">
        <v>2358</v>
      </c>
      <c r="C1605" t="s">
        <v>2359</v>
      </c>
      <c r="D1605" t="str">
        <f>HYPERLINK("http://service.sap.com/sap/support/notes/1747269","1747269")</f>
        <v>1747269</v>
      </c>
      <c r="E1605">
        <v>1</v>
      </c>
      <c r="F1605" t="s">
        <v>2369</v>
      </c>
    </row>
    <row r="1606" spans="1:6" x14ac:dyDescent="0.25">
      <c r="A1606" t="s">
        <v>4200</v>
      </c>
      <c r="B1606" t="s">
        <v>2358</v>
      </c>
      <c r="C1606" t="s">
        <v>2359</v>
      </c>
      <c r="D1606" t="str">
        <f>HYPERLINK("http://service.sap.com/sap/support/notes/1748401","1748401")</f>
        <v>1748401</v>
      </c>
      <c r="E1606">
        <v>1</v>
      </c>
      <c r="F1606" t="s">
        <v>2370</v>
      </c>
    </row>
    <row r="1607" spans="1:6" x14ac:dyDescent="0.25">
      <c r="A1607" t="s">
        <v>4200</v>
      </c>
      <c r="B1607" t="s">
        <v>2358</v>
      </c>
      <c r="C1607" t="s">
        <v>2359</v>
      </c>
      <c r="D1607" t="str">
        <f>HYPERLINK("http://service.sap.com/sap/support/notes/1749854","1749854")</f>
        <v>1749854</v>
      </c>
      <c r="E1607">
        <v>1</v>
      </c>
      <c r="F1607" t="s">
        <v>2371</v>
      </c>
    </row>
    <row r="1608" spans="1:6" x14ac:dyDescent="0.25">
      <c r="A1608" t="s">
        <v>4200</v>
      </c>
      <c r="B1608" t="s">
        <v>2358</v>
      </c>
      <c r="C1608" t="s">
        <v>2359</v>
      </c>
      <c r="D1608" t="str">
        <f>HYPERLINK("http://service.sap.com/sap/support/notes/1756583","1756583")</f>
        <v>1756583</v>
      </c>
      <c r="E1608">
        <v>3</v>
      </c>
      <c r="F1608" t="s">
        <v>2372</v>
      </c>
    </row>
    <row r="1609" spans="1:6" x14ac:dyDescent="0.25">
      <c r="A1609" t="s">
        <v>4200</v>
      </c>
      <c r="B1609" t="s">
        <v>2358</v>
      </c>
      <c r="C1609" t="s">
        <v>2359</v>
      </c>
      <c r="D1609" t="str">
        <f>HYPERLINK("http://service.sap.com/sap/support/notes/1760697","1760697")</f>
        <v>1760697</v>
      </c>
      <c r="E1609">
        <v>4</v>
      </c>
      <c r="F1609" t="s">
        <v>2371</v>
      </c>
    </row>
    <row r="1610" spans="1:6" x14ac:dyDescent="0.25">
      <c r="A1610" t="s">
        <v>4200</v>
      </c>
      <c r="B1610" t="s">
        <v>2358</v>
      </c>
      <c r="C1610" t="s">
        <v>2359</v>
      </c>
      <c r="D1610" t="str">
        <f>HYPERLINK("http://service.sap.com/sap/support/notes/1761255","1761255")</f>
        <v>1761255</v>
      </c>
      <c r="E1610">
        <v>3</v>
      </c>
      <c r="F1610" t="s">
        <v>2373</v>
      </c>
    </row>
    <row r="1611" spans="1:6" x14ac:dyDescent="0.25">
      <c r="A1611" t="s">
        <v>4200</v>
      </c>
      <c r="B1611" t="s">
        <v>2358</v>
      </c>
      <c r="C1611" t="s">
        <v>2359</v>
      </c>
      <c r="D1611" t="str">
        <f>HYPERLINK("http://service.sap.com/sap/support/notes/1763728","1763728")</f>
        <v>1763728</v>
      </c>
      <c r="E1611">
        <v>1</v>
      </c>
      <c r="F1611" t="s">
        <v>2374</v>
      </c>
    </row>
    <row r="1612" spans="1:6" x14ac:dyDescent="0.25">
      <c r="A1612" t="s">
        <v>4200</v>
      </c>
      <c r="B1612" t="s">
        <v>2375</v>
      </c>
      <c r="C1612" t="s">
        <v>2376</v>
      </c>
      <c r="D1612" t="str">
        <f>HYPERLINK("http://service.sap.com/sap/support/notes/1722153","1722153")</f>
        <v>1722153</v>
      </c>
      <c r="E1612">
        <v>1</v>
      </c>
      <c r="F1612" t="s">
        <v>2377</v>
      </c>
    </row>
    <row r="1613" spans="1:6" x14ac:dyDescent="0.25">
      <c r="A1613" t="s">
        <v>4200</v>
      </c>
      <c r="B1613" t="s">
        <v>2375</v>
      </c>
      <c r="C1613" t="s">
        <v>2376</v>
      </c>
      <c r="D1613" t="str">
        <f>HYPERLINK("http://service.sap.com/sap/support/notes/1745704","1745704")</f>
        <v>1745704</v>
      </c>
      <c r="E1613">
        <v>2</v>
      </c>
      <c r="F1613" t="s">
        <v>2378</v>
      </c>
    </row>
    <row r="1614" spans="1:6" x14ac:dyDescent="0.25">
      <c r="A1614" t="s">
        <v>4200</v>
      </c>
      <c r="B1614" t="s">
        <v>2379</v>
      </c>
      <c r="C1614" t="s">
        <v>2380</v>
      </c>
      <c r="D1614" t="str">
        <f>HYPERLINK("http://service.sap.com/sap/support/notes/1725346","1725346")</f>
        <v>1725346</v>
      </c>
      <c r="E1614">
        <v>2</v>
      </c>
      <c r="F1614" t="s">
        <v>2381</v>
      </c>
    </row>
    <row r="1615" spans="1:6" x14ac:dyDescent="0.25">
      <c r="A1615" t="s">
        <v>4200</v>
      </c>
      <c r="B1615" t="s">
        <v>2379</v>
      </c>
      <c r="C1615" t="s">
        <v>2380</v>
      </c>
      <c r="D1615" t="str">
        <f>HYPERLINK("http://service.sap.com/sap/support/notes/1737269","1737269")</f>
        <v>1737269</v>
      </c>
      <c r="E1615">
        <v>2</v>
      </c>
      <c r="F1615" t="s">
        <v>2382</v>
      </c>
    </row>
    <row r="1616" spans="1:6" x14ac:dyDescent="0.25">
      <c r="A1616" t="s">
        <v>4200</v>
      </c>
      <c r="B1616" t="s">
        <v>2383</v>
      </c>
      <c r="C1616" t="s">
        <v>1638</v>
      </c>
    </row>
    <row r="1617" spans="1:6" x14ac:dyDescent="0.25">
      <c r="A1617" t="s">
        <v>4200</v>
      </c>
      <c r="B1617" t="s">
        <v>2384</v>
      </c>
      <c r="C1617" t="s">
        <v>2385</v>
      </c>
    </row>
    <row r="1618" spans="1:6" x14ac:dyDescent="0.25">
      <c r="A1618" t="s">
        <v>4200</v>
      </c>
      <c r="B1618" t="s">
        <v>2386</v>
      </c>
      <c r="C1618" t="s">
        <v>2387</v>
      </c>
      <c r="D1618" t="str">
        <f>HYPERLINK("http://service.sap.com/sap/support/notes/1748106","1748106")</f>
        <v>1748106</v>
      </c>
      <c r="E1618">
        <v>2</v>
      </c>
      <c r="F1618" t="s">
        <v>2388</v>
      </c>
    </row>
    <row r="1619" spans="1:6" x14ac:dyDescent="0.25">
      <c r="A1619" t="s">
        <v>4200</v>
      </c>
      <c r="B1619" t="s">
        <v>2389</v>
      </c>
      <c r="C1619" t="s">
        <v>2390</v>
      </c>
      <c r="D1619" t="str">
        <f>HYPERLINK("http://service.sap.com/sap/support/notes/1734184","1734184")</f>
        <v>1734184</v>
      </c>
      <c r="E1619">
        <v>2</v>
      </c>
      <c r="F1619" t="s">
        <v>2391</v>
      </c>
    </row>
    <row r="1620" spans="1:6" x14ac:dyDescent="0.25">
      <c r="A1620" t="s">
        <v>4200</v>
      </c>
      <c r="B1620" t="s">
        <v>2389</v>
      </c>
      <c r="C1620" t="s">
        <v>2390</v>
      </c>
      <c r="D1620" t="str">
        <f>HYPERLINK("http://service.sap.com/sap/support/notes/1737982","1737982")</f>
        <v>1737982</v>
      </c>
      <c r="E1620">
        <v>1</v>
      </c>
      <c r="F1620" t="s">
        <v>2392</v>
      </c>
    </row>
    <row r="1621" spans="1:6" x14ac:dyDescent="0.25">
      <c r="A1621" t="s">
        <v>4200</v>
      </c>
      <c r="B1621" t="s">
        <v>2389</v>
      </c>
      <c r="C1621" t="s">
        <v>2390</v>
      </c>
      <c r="D1621" t="str">
        <f>HYPERLINK("http://service.sap.com/sap/support/notes/1738542","1738542")</f>
        <v>1738542</v>
      </c>
      <c r="E1621">
        <v>1</v>
      </c>
      <c r="F1621" t="s">
        <v>2393</v>
      </c>
    </row>
    <row r="1622" spans="1:6" x14ac:dyDescent="0.25">
      <c r="A1622" t="s">
        <v>4200</v>
      </c>
      <c r="B1622" t="s">
        <v>2389</v>
      </c>
      <c r="C1622" t="s">
        <v>2390</v>
      </c>
      <c r="D1622" t="str">
        <f>HYPERLINK("http://service.sap.com/sap/support/notes/1741928","1741928")</f>
        <v>1741928</v>
      </c>
      <c r="E1622">
        <v>1</v>
      </c>
      <c r="F1622" t="s">
        <v>2394</v>
      </c>
    </row>
    <row r="1623" spans="1:6" x14ac:dyDescent="0.25">
      <c r="A1623" t="s">
        <v>4200</v>
      </c>
      <c r="B1623" t="s">
        <v>2389</v>
      </c>
      <c r="C1623" t="s">
        <v>2390</v>
      </c>
      <c r="D1623" t="str">
        <f>HYPERLINK("http://service.sap.com/sap/support/notes/1742878","1742878")</f>
        <v>1742878</v>
      </c>
      <c r="E1623">
        <v>1</v>
      </c>
      <c r="F1623" t="s">
        <v>2395</v>
      </c>
    </row>
    <row r="1624" spans="1:6" x14ac:dyDescent="0.25">
      <c r="A1624" t="s">
        <v>4200</v>
      </c>
      <c r="B1624" t="s">
        <v>2389</v>
      </c>
      <c r="C1624" t="s">
        <v>2390</v>
      </c>
      <c r="D1624" t="str">
        <f>HYPERLINK("http://service.sap.com/sap/support/notes/1751144","1751144")</f>
        <v>1751144</v>
      </c>
      <c r="E1624">
        <v>2</v>
      </c>
      <c r="F1624" t="s">
        <v>2396</v>
      </c>
    </row>
    <row r="1625" spans="1:6" x14ac:dyDescent="0.25">
      <c r="A1625" t="s">
        <v>4200</v>
      </c>
      <c r="B1625" t="s">
        <v>2397</v>
      </c>
      <c r="C1625" t="s">
        <v>151</v>
      </c>
      <c r="D1625" t="str">
        <f>HYPERLINK("http://service.sap.com/sap/support/notes/1734216","1734216")</f>
        <v>1734216</v>
      </c>
      <c r="E1625">
        <v>1</v>
      </c>
      <c r="F1625" t="s">
        <v>2398</v>
      </c>
    </row>
    <row r="1626" spans="1:6" x14ac:dyDescent="0.25">
      <c r="A1626" t="s">
        <v>4200</v>
      </c>
      <c r="B1626" t="s">
        <v>2399</v>
      </c>
      <c r="C1626" t="s">
        <v>2400</v>
      </c>
      <c r="D1626" t="str">
        <f>HYPERLINK("http://service.sap.com/sap/support/notes/1715746","1715746")</f>
        <v>1715746</v>
      </c>
      <c r="E1626">
        <v>2</v>
      </c>
      <c r="F1626" t="s">
        <v>2401</v>
      </c>
    </row>
    <row r="1627" spans="1:6" x14ac:dyDescent="0.25">
      <c r="A1627" t="s">
        <v>4200</v>
      </c>
      <c r="B1627" t="s">
        <v>2399</v>
      </c>
      <c r="C1627" t="s">
        <v>2400</v>
      </c>
      <c r="D1627" t="str">
        <f>HYPERLINK("http://service.sap.com/sap/support/notes/1730920","1730920")</f>
        <v>1730920</v>
      </c>
      <c r="E1627">
        <v>3</v>
      </c>
      <c r="F1627" t="s">
        <v>2402</v>
      </c>
    </row>
    <row r="1628" spans="1:6" x14ac:dyDescent="0.25">
      <c r="A1628" t="s">
        <v>4200</v>
      </c>
      <c r="B1628" t="s">
        <v>2399</v>
      </c>
      <c r="C1628" t="s">
        <v>2400</v>
      </c>
      <c r="D1628" t="str">
        <f>HYPERLINK("http://service.sap.com/sap/support/notes/1731279","1731279")</f>
        <v>1731279</v>
      </c>
      <c r="E1628">
        <v>3</v>
      </c>
      <c r="F1628" t="s">
        <v>2403</v>
      </c>
    </row>
    <row r="1629" spans="1:6" x14ac:dyDescent="0.25">
      <c r="A1629" t="s">
        <v>4200</v>
      </c>
      <c r="B1629" t="s">
        <v>2399</v>
      </c>
      <c r="C1629" t="s">
        <v>2400</v>
      </c>
      <c r="D1629" t="str">
        <f>HYPERLINK("http://service.sap.com/sap/support/notes/1748221","1748221")</f>
        <v>1748221</v>
      </c>
      <c r="E1629">
        <v>2</v>
      </c>
      <c r="F1629" t="s">
        <v>2404</v>
      </c>
    </row>
    <row r="1630" spans="1:6" x14ac:dyDescent="0.25">
      <c r="A1630" t="s">
        <v>4200</v>
      </c>
      <c r="B1630" t="s">
        <v>2405</v>
      </c>
      <c r="C1630" t="s">
        <v>978</v>
      </c>
      <c r="D1630" t="str">
        <f>HYPERLINK("http://service.sap.com/sap/support/notes/1737669","1737669")</f>
        <v>1737669</v>
      </c>
      <c r="E1630">
        <v>2</v>
      </c>
      <c r="F1630" t="s">
        <v>2406</v>
      </c>
    </row>
    <row r="1631" spans="1:6" x14ac:dyDescent="0.25">
      <c r="A1631" t="s">
        <v>4200</v>
      </c>
      <c r="B1631" t="s">
        <v>2405</v>
      </c>
      <c r="C1631" t="s">
        <v>978</v>
      </c>
      <c r="D1631" t="str">
        <f>HYPERLINK("http://service.sap.com/sap/support/notes/1739348","1739348")</f>
        <v>1739348</v>
      </c>
      <c r="E1631">
        <v>3</v>
      </c>
      <c r="F1631" t="s">
        <v>2407</v>
      </c>
    </row>
    <row r="1632" spans="1:6" x14ac:dyDescent="0.25">
      <c r="A1632" t="s">
        <v>4200</v>
      </c>
      <c r="B1632" t="s">
        <v>2405</v>
      </c>
      <c r="C1632" t="s">
        <v>978</v>
      </c>
      <c r="D1632" t="str">
        <f>HYPERLINK("http://service.sap.com/sap/support/notes/1756088","1756088")</f>
        <v>1756088</v>
      </c>
      <c r="E1632">
        <v>2</v>
      </c>
      <c r="F1632" t="s">
        <v>2408</v>
      </c>
    </row>
    <row r="1633" spans="1:6" x14ac:dyDescent="0.25">
      <c r="A1633" t="s">
        <v>4200</v>
      </c>
      <c r="B1633" t="s">
        <v>2409</v>
      </c>
      <c r="C1633" t="s">
        <v>2410</v>
      </c>
      <c r="D1633" t="str">
        <f>HYPERLINK("http://service.sap.com/sap/support/notes/1330859","1330859")</f>
        <v>1330859</v>
      </c>
      <c r="E1633">
        <v>11</v>
      </c>
      <c r="F1633" t="s">
        <v>2411</v>
      </c>
    </row>
    <row r="1634" spans="1:6" x14ac:dyDescent="0.25">
      <c r="A1634" t="s">
        <v>4200</v>
      </c>
      <c r="B1634" t="s">
        <v>2409</v>
      </c>
      <c r="C1634" t="s">
        <v>2410</v>
      </c>
      <c r="D1634" t="str">
        <f>HYPERLINK("http://service.sap.com/sap/support/notes/1724049","1724049")</f>
        <v>1724049</v>
      </c>
      <c r="E1634">
        <v>4</v>
      </c>
      <c r="F1634" t="s">
        <v>2412</v>
      </c>
    </row>
    <row r="1635" spans="1:6" x14ac:dyDescent="0.25">
      <c r="A1635" t="s">
        <v>4200</v>
      </c>
      <c r="B1635" t="s">
        <v>2409</v>
      </c>
      <c r="C1635" t="s">
        <v>2410</v>
      </c>
      <c r="D1635" t="str">
        <f>HYPERLINK("http://service.sap.com/sap/support/notes/1728630","1728630")</f>
        <v>1728630</v>
      </c>
      <c r="E1635">
        <v>2</v>
      </c>
      <c r="F1635" t="s">
        <v>2413</v>
      </c>
    </row>
    <row r="1636" spans="1:6" x14ac:dyDescent="0.25">
      <c r="A1636" t="s">
        <v>4200</v>
      </c>
      <c r="B1636" t="s">
        <v>2414</v>
      </c>
      <c r="C1636" t="s">
        <v>2415</v>
      </c>
      <c r="D1636" t="str">
        <f>HYPERLINK("http://service.sap.com/sap/support/notes/1747677","1747677")</f>
        <v>1747677</v>
      </c>
      <c r="E1636">
        <v>2</v>
      </c>
      <c r="F1636" t="s">
        <v>2416</v>
      </c>
    </row>
    <row r="1637" spans="1:6" x14ac:dyDescent="0.25">
      <c r="A1637" t="s">
        <v>4200</v>
      </c>
      <c r="B1637" t="s">
        <v>2414</v>
      </c>
      <c r="C1637" t="s">
        <v>2415</v>
      </c>
      <c r="D1637" t="str">
        <f>HYPERLINK("http://service.sap.com/sap/support/notes/1748289","1748289")</f>
        <v>1748289</v>
      </c>
      <c r="E1637">
        <v>3</v>
      </c>
      <c r="F1637" t="s">
        <v>2417</v>
      </c>
    </row>
    <row r="1638" spans="1:6" x14ac:dyDescent="0.25">
      <c r="A1638" t="s">
        <v>4200</v>
      </c>
      <c r="B1638" t="s">
        <v>2418</v>
      </c>
      <c r="C1638" t="s">
        <v>2419</v>
      </c>
      <c r="D1638" t="str">
        <f>HYPERLINK("http://service.sap.com/sap/support/notes/1608546","1608546")</f>
        <v>1608546</v>
      </c>
      <c r="E1638">
        <v>1</v>
      </c>
      <c r="F1638" t="s">
        <v>2420</v>
      </c>
    </row>
    <row r="1639" spans="1:6" x14ac:dyDescent="0.25">
      <c r="A1639" t="s">
        <v>4200</v>
      </c>
      <c r="B1639" t="s">
        <v>2421</v>
      </c>
      <c r="C1639" t="s">
        <v>2422</v>
      </c>
      <c r="D1639" t="str">
        <f>HYPERLINK("http://service.sap.com/sap/support/notes/1724986","1724986")</f>
        <v>1724986</v>
      </c>
      <c r="E1639">
        <v>2</v>
      </c>
      <c r="F1639" t="s">
        <v>2423</v>
      </c>
    </row>
    <row r="1640" spans="1:6" x14ac:dyDescent="0.25">
      <c r="A1640" t="s">
        <v>4200</v>
      </c>
      <c r="B1640" t="s">
        <v>2424</v>
      </c>
      <c r="C1640" t="s">
        <v>2425</v>
      </c>
      <c r="D1640" t="str">
        <f>HYPERLINK("http://service.sap.com/sap/support/notes/1731899","1731899")</f>
        <v>1731899</v>
      </c>
      <c r="E1640">
        <v>2</v>
      </c>
      <c r="F1640" t="s">
        <v>2426</v>
      </c>
    </row>
    <row r="1641" spans="1:6" x14ac:dyDescent="0.25">
      <c r="A1641" t="s">
        <v>4200</v>
      </c>
      <c r="B1641" t="s">
        <v>2424</v>
      </c>
      <c r="C1641" t="s">
        <v>2425</v>
      </c>
      <c r="D1641" t="str">
        <f>HYPERLINK("http://service.sap.com/sap/support/notes/1734729","1734729")</f>
        <v>1734729</v>
      </c>
      <c r="E1641">
        <v>1</v>
      </c>
      <c r="F1641" t="s">
        <v>2427</v>
      </c>
    </row>
    <row r="1642" spans="1:6" x14ac:dyDescent="0.25">
      <c r="A1642" t="s">
        <v>4200</v>
      </c>
      <c r="B1642" t="s">
        <v>2428</v>
      </c>
      <c r="C1642" t="s">
        <v>2429</v>
      </c>
      <c r="D1642" t="str">
        <f>HYPERLINK("http://service.sap.com/sap/support/notes/1721644","1721644")</f>
        <v>1721644</v>
      </c>
      <c r="E1642">
        <v>2</v>
      </c>
      <c r="F1642" t="s">
        <v>2430</v>
      </c>
    </row>
    <row r="1643" spans="1:6" x14ac:dyDescent="0.25">
      <c r="A1643" t="s">
        <v>4200</v>
      </c>
      <c r="B1643" t="s">
        <v>2428</v>
      </c>
      <c r="C1643" t="s">
        <v>2429</v>
      </c>
      <c r="D1643" t="str">
        <f>HYPERLINK("http://service.sap.com/sap/support/notes/1744016","1744016")</f>
        <v>1744016</v>
      </c>
      <c r="E1643">
        <v>1</v>
      </c>
      <c r="F1643" t="s">
        <v>2431</v>
      </c>
    </row>
    <row r="1644" spans="1:6" x14ac:dyDescent="0.25">
      <c r="A1644" t="s">
        <v>4200</v>
      </c>
      <c r="B1644" t="s">
        <v>2428</v>
      </c>
      <c r="C1644" t="s">
        <v>2429</v>
      </c>
      <c r="D1644" t="str">
        <f>HYPERLINK("http://service.sap.com/sap/support/notes/1744550","1744550")</f>
        <v>1744550</v>
      </c>
      <c r="E1644">
        <v>2</v>
      </c>
      <c r="F1644" t="s">
        <v>2432</v>
      </c>
    </row>
    <row r="1645" spans="1:6" x14ac:dyDescent="0.25">
      <c r="A1645" t="s">
        <v>4200</v>
      </c>
      <c r="B1645" t="s">
        <v>2428</v>
      </c>
      <c r="C1645" t="s">
        <v>2429</v>
      </c>
      <c r="D1645" t="str">
        <f>HYPERLINK("http://service.sap.com/sap/support/notes/1756832","1756832")</f>
        <v>1756832</v>
      </c>
      <c r="E1645">
        <v>1</v>
      </c>
      <c r="F1645" t="s">
        <v>2433</v>
      </c>
    </row>
    <row r="1646" spans="1:6" x14ac:dyDescent="0.25">
      <c r="A1646" t="s">
        <v>4200</v>
      </c>
      <c r="B1646" t="s">
        <v>2434</v>
      </c>
      <c r="C1646" t="s">
        <v>2435</v>
      </c>
      <c r="D1646" t="str">
        <f>HYPERLINK("http://service.sap.com/sap/support/notes/1727934","1727934")</f>
        <v>1727934</v>
      </c>
      <c r="E1646">
        <v>2</v>
      </c>
      <c r="F1646" t="s">
        <v>2436</v>
      </c>
    </row>
    <row r="1647" spans="1:6" x14ac:dyDescent="0.25">
      <c r="A1647" t="s">
        <v>4200</v>
      </c>
      <c r="B1647" t="s">
        <v>2434</v>
      </c>
      <c r="C1647" t="s">
        <v>2435</v>
      </c>
      <c r="D1647" t="str">
        <f>HYPERLINK("http://service.sap.com/sap/support/notes/1742741","1742741")</f>
        <v>1742741</v>
      </c>
      <c r="E1647">
        <v>5</v>
      </c>
      <c r="F1647" t="s">
        <v>2437</v>
      </c>
    </row>
    <row r="1648" spans="1:6" x14ac:dyDescent="0.25">
      <c r="A1648" t="s">
        <v>4200</v>
      </c>
      <c r="B1648" t="s">
        <v>2434</v>
      </c>
      <c r="C1648" t="s">
        <v>2435</v>
      </c>
      <c r="D1648" t="str">
        <f>HYPERLINK("http://service.sap.com/sap/support/notes/1753975","1753975")</f>
        <v>1753975</v>
      </c>
      <c r="E1648">
        <v>5</v>
      </c>
      <c r="F1648" t="s">
        <v>2438</v>
      </c>
    </row>
    <row r="1649" spans="1:6" x14ac:dyDescent="0.25">
      <c r="A1649" t="s">
        <v>4200</v>
      </c>
      <c r="B1649" t="s">
        <v>2439</v>
      </c>
      <c r="C1649" t="s">
        <v>1743</v>
      </c>
      <c r="D1649" t="str">
        <f>HYPERLINK("http://service.sap.com/sap/support/notes/1718336","1718336")</f>
        <v>1718336</v>
      </c>
      <c r="E1649">
        <v>1</v>
      </c>
      <c r="F1649" t="s">
        <v>2440</v>
      </c>
    </row>
    <row r="1650" spans="1:6" x14ac:dyDescent="0.25">
      <c r="A1650" t="s">
        <v>4200</v>
      </c>
      <c r="B1650" t="s">
        <v>2439</v>
      </c>
      <c r="C1650" t="s">
        <v>1743</v>
      </c>
      <c r="D1650" t="str">
        <f>HYPERLINK("http://service.sap.com/sap/support/notes/1721738","1721738")</f>
        <v>1721738</v>
      </c>
      <c r="E1650">
        <v>2</v>
      </c>
      <c r="F1650" t="s">
        <v>2441</v>
      </c>
    </row>
    <row r="1651" spans="1:6" x14ac:dyDescent="0.25">
      <c r="A1651" t="s">
        <v>4200</v>
      </c>
      <c r="B1651" t="s">
        <v>2439</v>
      </c>
      <c r="C1651" t="s">
        <v>1743</v>
      </c>
      <c r="D1651" t="str">
        <f>HYPERLINK("http://service.sap.com/sap/support/notes/1723661","1723661")</f>
        <v>1723661</v>
      </c>
      <c r="E1651">
        <v>3</v>
      </c>
      <c r="F1651" t="s">
        <v>2442</v>
      </c>
    </row>
    <row r="1652" spans="1:6" x14ac:dyDescent="0.25">
      <c r="A1652" t="s">
        <v>4200</v>
      </c>
      <c r="B1652" t="s">
        <v>2439</v>
      </c>
      <c r="C1652" t="s">
        <v>1743</v>
      </c>
      <c r="D1652" t="str">
        <f>HYPERLINK("http://service.sap.com/sap/support/notes/1726481","1726481")</f>
        <v>1726481</v>
      </c>
      <c r="E1652">
        <v>3</v>
      </c>
      <c r="F1652" t="s">
        <v>2443</v>
      </c>
    </row>
    <row r="1653" spans="1:6" x14ac:dyDescent="0.25">
      <c r="A1653" t="s">
        <v>4200</v>
      </c>
      <c r="B1653" t="s">
        <v>2439</v>
      </c>
      <c r="C1653" t="s">
        <v>1743</v>
      </c>
      <c r="D1653" t="str">
        <f>HYPERLINK("http://service.sap.com/sap/support/notes/1728815","1728815")</f>
        <v>1728815</v>
      </c>
      <c r="E1653">
        <v>1</v>
      </c>
      <c r="F1653" t="s">
        <v>2444</v>
      </c>
    </row>
    <row r="1654" spans="1:6" x14ac:dyDescent="0.25">
      <c r="A1654" t="s">
        <v>4200</v>
      </c>
      <c r="B1654" t="s">
        <v>2439</v>
      </c>
      <c r="C1654" t="s">
        <v>1743</v>
      </c>
      <c r="D1654" t="str">
        <f>HYPERLINK("http://service.sap.com/sap/support/notes/1728921","1728921")</f>
        <v>1728921</v>
      </c>
      <c r="E1654">
        <v>2</v>
      </c>
      <c r="F1654" t="s">
        <v>2445</v>
      </c>
    </row>
    <row r="1655" spans="1:6" x14ac:dyDescent="0.25">
      <c r="A1655" t="s">
        <v>4200</v>
      </c>
      <c r="B1655" t="s">
        <v>2439</v>
      </c>
      <c r="C1655" t="s">
        <v>1743</v>
      </c>
      <c r="D1655" t="str">
        <f>HYPERLINK("http://service.sap.com/sap/support/notes/1731141","1731141")</f>
        <v>1731141</v>
      </c>
      <c r="E1655">
        <v>2</v>
      </c>
      <c r="F1655" t="s">
        <v>2446</v>
      </c>
    </row>
    <row r="1656" spans="1:6" x14ac:dyDescent="0.25">
      <c r="A1656" t="s">
        <v>4200</v>
      </c>
      <c r="B1656" t="s">
        <v>2439</v>
      </c>
      <c r="C1656" t="s">
        <v>1743</v>
      </c>
      <c r="D1656" t="str">
        <f>HYPERLINK("http://service.sap.com/sap/support/notes/1733421","1733421")</f>
        <v>1733421</v>
      </c>
      <c r="E1656">
        <v>1</v>
      </c>
      <c r="F1656" t="s">
        <v>2447</v>
      </c>
    </row>
    <row r="1657" spans="1:6" x14ac:dyDescent="0.25">
      <c r="A1657" t="s">
        <v>4200</v>
      </c>
      <c r="B1657" t="s">
        <v>2439</v>
      </c>
      <c r="C1657" t="s">
        <v>1743</v>
      </c>
      <c r="D1657" t="str">
        <f>HYPERLINK("http://service.sap.com/sap/support/notes/1733991","1733991")</f>
        <v>1733991</v>
      </c>
      <c r="E1657">
        <v>2</v>
      </c>
      <c r="F1657" t="s">
        <v>2448</v>
      </c>
    </row>
    <row r="1658" spans="1:6" x14ac:dyDescent="0.25">
      <c r="A1658" t="s">
        <v>4200</v>
      </c>
      <c r="B1658" t="s">
        <v>2439</v>
      </c>
      <c r="C1658" t="s">
        <v>1743</v>
      </c>
      <c r="D1658" t="str">
        <f>HYPERLINK("http://service.sap.com/sap/support/notes/1738379","1738379")</f>
        <v>1738379</v>
      </c>
      <c r="E1658">
        <v>3</v>
      </c>
      <c r="F1658" t="s">
        <v>2449</v>
      </c>
    </row>
    <row r="1659" spans="1:6" x14ac:dyDescent="0.25">
      <c r="A1659" t="s">
        <v>4200</v>
      </c>
      <c r="B1659" t="s">
        <v>2439</v>
      </c>
      <c r="C1659" t="s">
        <v>1743</v>
      </c>
      <c r="D1659" t="str">
        <f>HYPERLINK("http://service.sap.com/sap/support/notes/1744887","1744887")</f>
        <v>1744887</v>
      </c>
      <c r="E1659">
        <v>4</v>
      </c>
      <c r="F1659" t="s">
        <v>2450</v>
      </c>
    </row>
    <row r="1660" spans="1:6" x14ac:dyDescent="0.25">
      <c r="A1660" t="s">
        <v>4200</v>
      </c>
      <c r="B1660" t="s">
        <v>2439</v>
      </c>
      <c r="C1660" t="s">
        <v>1743</v>
      </c>
      <c r="D1660" t="str">
        <f>HYPERLINK("http://service.sap.com/sap/support/notes/1748103","1748103")</f>
        <v>1748103</v>
      </c>
      <c r="E1660">
        <v>1</v>
      </c>
      <c r="F1660" t="s">
        <v>2451</v>
      </c>
    </row>
    <row r="1661" spans="1:6" x14ac:dyDescent="0.25">
      <c r="A1661" t="s">
        <v>4200</v>
      </c>
      <c r="B1661" t="s">
        <v>2452</v>
      </c>
      <c r="C1661" t="s">
        <v>2453</v>
      </c>
      <c r="D1661" t="str">
        <f>HYPERLINK("http://service.sap.com/sap/support/notes/1734283","1734283")</f>
        <v>1734283</v>
      </c>
      <c r="E1661">
        <v>2</v>
      </c>
      <c r="F1661" t="s">
        <v>2454</v>
      </c>
    </row>
    <row r="1662" spans="1:6" x14ac:dyDescent="0.25">
      <c r="A1662" t="s">
        <v>4200</v>
      </c>
      <c r="B1662" t="s">
        <v>2452</v>
      </c>
      <c r="C1662" t="s">
        <v>2453</v>
      </c>
      <c r="D1662" t="str">
        <f>HYPERLINK("http://service.sap.com/sap/support/notes/1746721","1746721")</f>
        <v>1746721</v>
      </c>
      <c r="E1662">
        <v>1</v>
      </c>
      <c r="F1662" t="s">
        <v>2455</v>
      </c>
    </row>
    <row r="1663" spans="1:6" x14ac:dyDescent="0.25">
      <c r="A1663" t="s">
        <v>4200</v>
      </c>
      <c r="B1663" t="s">
        <v>2456</v>
      </c>
      <c r="C1663" t="s">
        <v>2457</v>
      </c>
      <c r="D1663" t="str">
        <f>HYPERLINK("http://service.sap.com/sap/support/notes/1728235","1728235")</f>
        <v>1728235</v>
      </c>
      <c r="E1663">
        <v>6</v>
      </c>
      <c r="F1663" t="s">
        <v>2458</v>
      </c>
    </row>
    <row r="1664" spans="1:6" x14ac:dyDescent="0.25">
      <c r="A1664" t="s">
        <v>4200</v>
      </c>
      <c r="B1664" t="s">
        <v>2456</v>
      </c>
      <c r="C1664" t="s">
        <v>2457</v>
      </c>
      <c r="D1664" t="str">
        <f>HYPERLINK("http://service.sap.com/sap/support/notes/1750300","1750300")</f>
        <v>1750300</v>
      </c>
      <c r="E1664">
        <v>1</v>
      </c>
      <c r="F1664" t="s">
        <v>2459</v>
      </c>
    </row>
    <row r="1665" spans="1:6" x14ac:dyDescent="0.25">
      <c r="A1665" t="s">
        <v>4200</v>
      </c>
      <c r="B1665" t="s">
        <v>2460</v>
      </c>
      <c r="C1665" t="s">
        <v>2461</v>
      </c>
      <c r="D1665" t="str">
        <f>HYPERLINK("http://service.sap.com/sap/support/notes/1741650","1741650")</f>
        <v>1741650</v>
      </c>
      <c r="E1665">
        <v>4</v>
      </c>
      <c r="F1665" t="s">
        <v>2462</v>
      </c>
    </row>
    <row r="1666" spans="1:6" x14ac:dyDescent="0.25">
      <c r="A1666" t="s">
        <v>4200</v>
      </c>
      <c r="B1666" t="s">
        <v>2460</v>
      </c>
      <c r="C1666" t="s">
        <v>2461</v>
      </c>
      <c r="D1666" t="str">
        <f>HYPERLINK("http://service.sap.com/sap/support/notes/1748082","1748082")</f>
        <v>1748082</v>
      </c>
      <c r="E1666">
        <v>2</v>
      </c>
      <c r="F1666" t="s">
        <v>2463</v>
      </c>
    </row>
    <row r="1667" spans="1:6" x14ac:dyDescent="0.25">
      <c r="A1667" t="s">
        <v>4200</v>
      </c>
      <c r="B1667" t="s">
        <v>2460</v>
      </c>
      <c r="C1667" t="s">
        <v>2461</v>
      </c>
      <c r="D1667" t="str">
        <f>HYPERLINK("http://service.sap.com/sap/support/notes/1749808","1749808")</f>
        <v>1749808</v>
      </c>
      <c r="E1667">
        <v>2</v>
      </c>
      <c r="F1667" t="s">
        <v>2464</v>
      </c>
    </row>
    <row r="1668" spans="1:6" x14ac:dyDescent="0.25">
      <c r="A1668" t="s">
        <v>4200</v>
      </c>
      <c r="B1668" t="s">
        <v>2465</v>
      </c>
      <c r="C1668" t="s">
        <v>2466</v>
      </c>
      <c r="D1668" t="str">
        <f>HYPERLINK("http://service.sap.com/sap/support/notes/1608547","1608547")</f>
        <v>1608547</v>
      </c>
      <c r="E1668">
        <v>1</v>
      </c>
      <c r="F1668" t="s">
        <v>2467</v>
      </c>
    </row>
    <row r="1669" spans="1:6" x14ac:dyDescent="0.25">
      <c r="A1669" t="s">
        <v>4200</v>
      </c>
      <c r="B1669" t="s">
        <v>2465</v>
      </c>
      <c r="C1669" t="s">
        <v>2466</v>
      </c>
      <c r="D1669" t="str">
        <f>HYPERLINK("http://service.sap.com/sap/support/notes/1608548","1608548")</f>
        <v>1608548</v>
      </c>
      <c r="E1669">
        <v>1</v>
      </c>
      <c r="F1669" t="s">
        <v>2468</v>
      </c>
    </row>
    <row r="1670" spans="1:6" x14ac:dyDescent="0.25">
      <c r="A1670" t="s">
        <v>4200</v>
      </c>
      <c r="B1670" t="s">
        <v>2469</v>
      </c>
      <c r="C1670" t="s">
        <v>2470</v>
      </c>
      <c r="D1670" t="str">
        <f>HYPERLINK("http://service.sap.com/sap/support/notes/1718029","1718029")</f>
        <v>1718029</v>
      </c>
      <c r="E1670">
        <v>7</v>
      </c>
      <c r="F1670" t="s">
        <v>2471</v>
      </c>
    </row>
    <row r="1671" spans="1:6" x14ac:dyDescent="0.25">
      <c r="A1671" t="s">
        <v>4200</v>
      </c>
      <c r="B1671" t="s">
        <v>2472</v>
      </c>
      <c r="C1671" t="s">
        <v>2473</v>
      </c>
      <c r="D1671" t="str">
        <f>HYPERLINK("http://service.sap.com/sap/support/notes/412088","412088")</f>
        <v>412088</v>
      </c>
      <c r="E1671">
        <v>10</v>
      </c>
      <c r="F1671" t="s">
        <v>2474</v>
      </c>
    </row>
    <row r="1672" spans="1:6" x14ac:dyDescent="0.25">
      <c r="A1672" t="s">
        <v>4200</v>
      </c>
      <c r="B1672" t="s">
        <v>2472</v>
      </c>
      <c r="C1672" t="s">
        <v>2473</v>
      </c>
      <c r="D1672" t="str">
        <f>HYPERLINK("http://service.sap.com/sap/support/notes/1454088","1454088")</f>
        <v>1454088</v>
      </c>
      <c r="E1672">
        <v>3</v>
      </c>
      <c r="F1672" t="s">
        <v>2475</v>
      </c>
    </row>
    <row r="1673" spans="1:6" x14ac:dyDescent="0.25">
      <c r="A1673" t="s">
        <v>4200</v>
      </c>
      <c r="B1673" t="s">
        <v>2476</v>
      </c>
      <c r="C1673" t="s">
        <v>2477</v>
      </c>
      <c r="D1673" t="str">
        <f>HYPERLINK("http://service.sap.com/sap/support/notes/1746186","1746186")</f>
        <v>1746186</v>
      </c>
      <c r="E1673">
        <v>1</v>
      </c>
      <c r="F1673" t="s">
        <v>2478</v>
      </c>
    </row>
    <row r="1674" spans="1:6" x14ac:dyDescent="0.25">
      <c r="A1674" t="s">
        <v>4200</v>
      </c>
      <c r="B1674" t="s">
        <v>2476</v>
      </c>
      <c r="C1674" t="s">
        <v>2477</v>
      </c>
      <c r="D1674" t="str">
        <f>HYPERLINK("http://service.sap.com/sap/support/notes/1750276","1750276")</f>
        <v>1750276</v>
      </c>
      <c r="E1674">
        <v>2</v>
      </c>
      <c r="F1674" t="s">
        <v>2479</v>
      </c>
    </row>
    <row r="1675" spans="1:6" x14ac:dyDescent="0.25">
      <c r="A1675" t="s">
        <v>4200</v>
      </c>
      <c r="B1675" t="s">
        <v>2480</v>
      </c>
      <c r="C1675" t="s">
        <v>2481</v>
      </c>
      <c r="D1675" t="str">
        <f>HYPERLINK("http://service.sap.com/sap/support/notes/1743561","1743561")</f>
        <v>1743561</v>
      </c>
      <c r="E1675">
        <v>1</v>
      </c>
      <c r="F1675" t="s">
        <v>2482</v>
      </c>
    </row>
    <row r="1676" spans="1:6" x14ac:dyDescent="0.25">
      <c r="A1676" t="s">
        <v>4200</v>
      </c>
      <c r="B1676" t="s">
        <v>2483</v>
      </c>
      <c r="C1676" t="s">
        <v>2277</v>
      </c>
      <c r="D1676" t="str">
        <f>HYPERLINK("http://service.sap.com/sap/support/notes/1557816","1557816")</f>
        <v>1557816</v>
      </c>
      <c r="E1676">
        <v>8</v>
      </c>
      <c r="F1676" t="s">
        <v>2484</v>
      </c>
    </row>
    <row r="1677" spans="1:6" x14ac:dyDescent="0.25">
      <c r="A1677" t="s">
        <v>4200</v>
      </c>
      <c r="B1677" t="s">
        <v>2483</v>
      </c>
      <c r="C1677" t="s">
        <v>2277</v>
      </c>
      <c r="D1677" t="str">
        <f>HYPERLINK("http://service.sap.com/sap/support/notes/1729650","1729650")</f>
        <v>1729650</v>
      </c>
      <c r="E1677">
        <v>2</v>
      </c>
      <c r="F1677" t="s">
        <v>2485</v>
      </c>
    </row>
    <row r="1678" spans="1:6" x14ac:dyDescent="0.25">
      <c r="A1678" t="s">
        <v>4200</v>
      </c>
      <c r="B1678" t="s">
        <v>2486</v>
      </c>
      <c r="C1678" t="s">
        <v>2487</v>
      </c>
      <c r="D1678" t="str">
        <f>HYPERLINK("http://service.sap.com/sap/support/notes/1706749","1706749")</f>
        <v>1706749</v>
      </c>
      <c r="E1678">
        <v>1</v>
      </c>
      <c r="F1678" t="s">
        <v>2488</v>
      </c>
    </row>
    <row r="1679" spans="1:6" x14ac:dyDescent="0.25">
      <c r="A1679" t="s">
        <v>4200</v>
      </c>
      <c r="B1679" t="s">
        <v>2489</v>
      </c>
      <c r="C1679" t="s">
        <v>2490</v>
      </c>
      <c r="D1679" t="str">
        <f>HYPERLINK("http://service.sap.com/sap/support/notes/1654891","1654891")</f>
        <v>1654891</v>
      </c>
      <c r="E1679">
        <v>2</v>
      </c>
      <c r="F1679" t="s">
        <v>2491</v>
      </c>
    </row>
    <row r="1680" spans="1:6" x14ac:dyDescent="0.25">
      <c r="A1680" t="s">
        <v>4200</v>
      </c>
      <c r="B1680" t="s">
        <v>2489</v>
      </c>
      <c r="C1680" t="s">
        <v>2490</v>
      </c>
      <c r="D1680" t="str">
        <f>HYPERLINK("http://service.sap.com/sap/support/notes/1715055","1715055")</f>
        <v>1715055</v>
      </c>
      <c r="E1680">
        <v>1</v>
      </c>
      <c r="F1680" t="s">
        <v>2492</v>
      </c>
    </row>
    <row r="1681" spans="1:6" x14ac:dyDescent="0.25">
      <c r="A1681" t="s">
        <v>4200</v>
      </c>
      <c r="B1681" t="s">
        <v>2493</v>
      </c>
      <c r="C1681" t="s">
        <v>2494</v>
      </c>
      <c r="D1681" t="str">
        <f>HYPERLINK("http://service.sap.com/sap/support/notes/1734037","1734037")</f>
        <v>1734037</v>
      </c>
      <c r="E1681">
        <v>1</v>
      </c>
      <c r="F1681" t="s">
        <v>2495</v>
      </c>
    </row>
    <row r="1682" spans="1:6" x14ac:dyDescent="0.25">
      <c r="A1682" t="s">
        <v>4200</v>
      </c>
      <c r="B1682" t="s">
        <v>2493</v>
      </c>
      <c r="C1682" t="s">
        <v>2494</v>
      </c>
      <c r="D1682" t="str">
        <f>HYPERLINK("http://service.sap.com/sap/support/notes/1739349","1739349")</f>
        <v>1739349</v>
      </c>
      <c r="E1682">
        <v>2</v>
      </c>
      <c r="F1682" t="s">
        <v>2496</v>
      </c>
    </row>
    <row r="1683" spans="1:6" x14ac:dyDescent="0.25">
      <c r="A1683" t="s">
        <v>4200</v>
      </c>
      <c r="B1683" t="s">
        <v>2493</v>
      </c>
      <c r="C1683" t="s">
        <v>2494</v>
      </c>
      <c r="D1683" t="str">
        <f>HYPERLINK("http://service.sap.com/sap/support/notes/1747545","1747545")</f>
        <v>1747545</v>
      </c>
      <c r="E1683">
        <v>2</v>
      </c>
      <c r="F1683" t="s">
        <v>2497</v>
      </c>
    </row>
    <row r="1684" spans="1:6" x14ac:dyDescent="0.25">
      <c r="A1684" t="s">
        <v>4200</v>
      </c>
      <c r="B1684" t="s">
        <v>2493</v>
      </c>
      <c r="C1684" t="s">
        <v>2494</v>
      </c>
      <c r="D1684" t="str">
        <f>HYPERLINK("http://service.sap.com/sap/support/notes/1747547","1747547")</f>
        <v>1747547</v>
      </c>
      <c r="E1684">
        <v>1</v>
      </c>
      <c r="F1684" t="s">
        <v>2498</v>
      </c>
    </row>
    <row r="1685" spans="1:6" x14ac:dyDescent="0.25">
      <c r="A1685" t="s">
        <v>4200</v>
      </c>
      <c r="B1685" t="s">
        <v>2493</v>
      </c>
      <c r="C1685" t="s">
        <v>2494</v>
      </c>
      <c r="D1685" t="str">
        <f>HYPERLINK("http://service.sap.com/sap/support/notes/1749233","1749233")</f>
        <v>1749233</v>
      </c>
      <c r="E1685">
        <v>2</v>
      </c>
      <c r="F1685" t="s">
        <v>2499</v>
      </c>
    </row>
    <row r="1686" spans="1:6" x14ac:dyDescent="0.25">
      <c r="A1686" t="s">
        <v>4200</v>
      </c>
      <c r="B1686" t="s">
        <v>2500</v>
      </c>
      <c r="C1686" t="s">
        <v>2501</v>
      </c>
      <c r="D1686" t="str">
        <f>HYPERLINK("http://service.sap.com/sap/support/notes/1640404","1640404")</f>
        <v>1640404</v>
      </c>
      <c r="E1686">
        <v>2</v>
      </c>
      <c r="F1686" t="s">
        <v>2502</v>
      </c>
    </row>
    <row r="1687" spans="1:6" x14ac:dyDescent="0.25">
      <c r="A1687" t="s">
        <v>4200</v>
      </c>
      <c r="B1687" t="s">
        <v>2500</v>
      </c>
      <c r="C1687" t="s">
        <v>2501</v>
      </c>
      <c r="D1687" t="str">
        <f>HYPERLINK("http://service.sap.com/sap/support/notes/1683168","1683168")</f>
        <v>1683168</v>
      </c>
      <c r="E1687">
        <v>2</v>
      </c>
      <c r="F1687" t="s">
        <v>2503</v>
      </c>
    </row>
    <row r="1688" spans="1:6" x14ac:dyDescent="0.25">
      <c r="A1688" t="s">
        <v>4200</v>
      </c>
      <c r="B1688" t="s">
        <v>2500</v>
      </c>
      <c r="C1688" t="s">
        <v>2501</v>
      </c>
      <c r="D1688" t="str">
        <f>HYPERLINK("http://service.sap.com/sap/support/notes/1722935","1722935")</f>
        <v>1722935</v>
      </c>
      <c r="E1688">
        <v>1</v>
      </c>
      <c r="F1688" t="s">
        <v>2504</v>
      </c>
    </row>
    <row r="1689" spans="1:6" x14ac:dyDescent="0.25">
      <c r="A1689" t="s">
        <v>4200</v>
      </c>
      <c r="B1689" t="s">
        <v>2500</v>
      </c>
      <c r="C1689" t="s">
        <v>2501</v>
      </c>
      <c r="D1689" t="str">
        <f>HYPERLINK("http://service.sap.com/sap/support/notes/1729652","1729652")</f>
        <v>1729652</v>
      </c>
      <c r="E1689">
        <v>6</v>
      </c>
      <c r="F1689" t="s">
        <v>2505</v>
      </c>
    </row>
    <row r="1690" spans="1:6" x14ac:dyDescent="0.25">
      <c r="A1690" t="s">
        <v>4200</v>
      </c>
      <c r="B1690" t="s">
        <v>2500</v>
      </c>
      <c r="C1690" t="s">
        <v>2501</v>
      </c>
      <c r="D1690" t="str">
        <f>HYPERLINK("http://service.sap.com/sap/support/notes/1730058","1730058")</f>
        <v>1730058</v>
      </c>
      <c r="E1690">
        <v>4</v>
      </c>
      <c r="F1690" t="s">
        <v>2506</v>
      </c>
    </row>
    <row r="1691" spans="1:6" x14ac:dyDescent="0.25">
      <c r="A1691" t="s">
        <v>4200</v>
      </c>
      <c r="B1691" t="s">
        <v>2500</v>
      </c>
      <c r="C1691" t="s">
        <v>2501</v>
      </c>
      <c r="D1691" t="str">
        <f>HYPERLINK("http://service.sap.com/sap/support/notes/1738148","1738148")</f>
        <v>1738148</v>
      </c>
      <c r="E1691">
        <v>1</v>
      </c>
      <c r="F1691" t="s">
        <v>2507</v>
      </c>
    </row>
    <row r="1692" spans="1:6" x14ac:dyDescent="0.25">
      <c r="A1692" t="s">
        <v>4200</v>
      </c>
      <c r="B1692" t="s">
        <v>2500</v>
      </c>
      <c r="C1692" t="s">
        <v>2501</v>
      </c>
      <c r="D1692" t="str">
        <f>HYPERLINK("http://service.sap.com/sap/support/notes/1739329","1739329")</f>
        <v>1739329</v>
      </c>
      <c r="E1692">
        <v>4</v>
      </c>
      <c r="F1692" t="s">
        <v>2508</v>
      </c>
    </row>
    <row r="1693" spans="1:6" x14ac:dyDescent="0.25">
      <c r="A1693" t="s">
        <v>4200</v>
      </c>
      <c r="B1693" t="s">
        <v>2500</v>
      </c>
      <c r="C1693" t="s">
        <v>2501</v>
      </c>
      <c r="D1693" t="str">
        <f>HYPERLINK("http://service.sap.com/sap/support/notes/1740703","1740703")</f>
        <v>1740703</v>
      </c>
      <c r="E1693">
        <v>3</v>
      </c>
      <c r="F1693" t="s">
        <v>2509</v>
      </c>
    </row>
    <row r="1694" spans="1:6" x14ac:dyDescent="0.25">
      <c r="A1694" t="s">
        <v>4200</v>
      </c>
      <c r="B1694" t="s">
        <v>2500</v>
      </c>
      <c r="C1694" t="s">
        <v>2501</v>
      </c>
      <c r="D1694" t="str">
        <f>HYPERLINK("http://service.sap.com/sap/support/notes/1741108","1741108")</f>
        <v>1741108</v>
      </c>
      <c r="E1694">
        <v>1</v>
      </c>
      <c r="F1694" t="s">
        <v>2510</v>
      </c>
    </row>
    <row r="1695" spans="1:6" x14ac:dyDescent="0.25">
      <c r="A1695" t="s">
        <v>4200</v>
      </c>
      <c r="B1695" t="s">
        <v>2511</v>
      </c>
      <c r="C1695" t="s">
        <v>2512</v>
      </c>
      <c r="D1695" t="str">
        <f>HYPERLINK("http://service.sap.com/sap/support/notes/1727782","1727782")</f>
        <v>1727782</v>
      </c>
      <c r="E1695">
        <v>9</v>
      </c>
      <c r="F1695" t="s">
        <v>2513</v>
      </c>
    </row>
    <row r="1696" spans="1:6" x14ac:dyDescent="0.25">
      <c r="A1696" t="s">
        <v>4200</v>
      </c>
      <c r="B1696" t="s">
        <v>2511</v>
      </c>
      <c r="C1696" t="s">
        <v>2512</v>
      </c>
      <c r="D1696" t="str">
        <f>HYPERLINK("http://service.sap.com/sap/support/notes/1729583","1729583")</f>
        <v>1729583</v>
      </c>
      <c r="E1696">
        <v>2</v>
      </c>
      <c r="F1696" t="s">
        <v>2514</v>
      </c>
    </row>
    <row r="1697" spans="1:6" x14ac:dyDescent="0.25">
      <c r="A1697" t="s">
        <v>4200</v>
      </c>
      <c r="B1697" t="s">
        <v>2515</v>
      </c>
      <c r="C1697" t="s">
        <v>2516</v>
      </c>
      <c r="D1697" t="str">
        <f>HYPERLINK("http://service.sap.com/sap/support/notes/1729379","1729379")</f>
        <v>1729379</v>
      </c>
      <c r="E1697">
        <v>4</v>
      </c>
      <c r="F1697" t="s">
        <v>2517</v>
      </c>
    </row>
    <row r="1698" spans="1:6" x14ac:dyDescent="0.25">
      <c r="A1698" t="s">
        <v>4200</v>
      </c>
      <c r="B1698" t="s">
        <v>2518</v>
      </c>
      <c r="C1698" t="s">
        <v>2519</v>
      </c>
      <c r="D1698" t="str">
        <f>HYPERLINK("http://service.sap.com/sap/support/notes/1706051","1706051")</f>
        <v>1706051</v>
      </c>
      <c r="E1698">
        <v>2</v>
      </c>
      <c r="F1698" t="s">
        <v>2520</v>
      </c>
    </row>
    <row r="1699" spans="1:6" x14ac:dyDescent="0.25">
      <c r="A1699" t="s">
        <v>4200</v>
      </c>
      <c r="B1699" t="s">
        <v>2518</v>
      </c>
      <c r="C1699" t="s">
        <v>2519</v>
      </c>
      <c r="D1699" t="str">
        <f>HYPERLINK("http://service.sap.com/sap/support/notes/1713927","1713927")</f>
        <v>1713927</v>
      </c>
      <c r="E1699">
        <v>4</v>
      </c>
      <c r="F1699" t="s">
        <v>2521</v>
      </c>
    </row>
    <row r="1700" spans="1:6" x14ac:dyDescent="0.25">
      <c r="A1700" t="s">
        <v>4200</v>
      </c>
      <c r="B1700" t="s">
        <v>2518</v>
      </c>
      <c r="C1700" t="s">
        <v>2519</v>
      </c>
      <c r="D1700" t="str">
        <f>HYPERLINK("http://service.sap.com/sap/support/notes/1719139","1719139")</f>
        <v>1719139</v>
      </c>
      <c r="E1700">
        <v>1</v>
      </c>
      <c r="F1700" t="s">
        <v>2522</v>
      </c>
    </row>
    <row r="1701" spans="1:6" x14ac:dyDescent="0.25">
      <c r="A1701" t="s">
        <v>4200</v>
      </c>
      <c r="B1701" t="s">
        <v>2518</v>
      </c>
      <c r="C1701" t="s">
        <v>2519</v>
      </c>
      <c r="D1701" t="str">
        <f>HYPERLINK("http://service.sap.com/sap/support/notes/1731050","1731050")</f>
        <v>1731050</v>
      </c>
      <c r="E1701">
        <v>5</v>
      </c>
      <c r="F1701" t="s">
        <v>2523</v>
      </c>
    </row>
    <row r="1702" spans="1:6" x14ac:dyDescent="0.25">
      <c r="A1702" t="s">
        <v>4200</v>
      </c>
      <c r="B1702" t="s">
        <v>2524</v>
      </c>
      <c r="C1702" t="s">
        <v>2525</v>
      </c>
      <c r="D1702" t="str">
        <f>HYPERLINK("http://service.sap.com/sap/support/notes/1654724","1654724")</f>
        <v>1654724</v>
      </c>
      <c r="E1702">
        <v>10</v>
      </c>
      <c r="F1702" t="s">
        <v>2526</v>
      </c>
    </row>
    <row r="1703" spans="1:6" x14ac:dyDescent="0.25">
      <c r="A1703" t="s">
        <v>4200</v>
      </c>
      <c r="B1703" t="s">
        <v>2524</v>
      </c>
      <c r="C1703" t="s">
        <v>2525</v>
      </c>
      <c r="D1703" t="str">
        <f>HYPERLINK("http://service.sap.com/sap/support/notes/1655101","1655101")</f>
        <v>1655101</v>
      </c>
      <c r="E1703">
        <v>5</v>
      </c>
      <c r="F1703" t="s">
        <v>2527</v>
      </c>
    </row>
    <row r="1704" spans="1:6" x14ac:dyDescent="0.25">
      <c r="A1704" t="s">
        <v>4200</v>
      </c>
      <c r="B1704" t="s">
        <v>2524</v>
      </c>
      <c r="C1704" t="s">
        <v>2525</v>
      </c>
      <c r="D1704" t="str">
        <f>HYPERLINK("http://service.sap.com/sap/support/notes/1679517","1679517")</f>
        <v>1679517</v>
      </c>
      <c r="E1704">
        <v>7</v>
      </c>
      <c r="F1704" t="s">
        <v>2528</v>
      </c>
    </row>
    <row r="1705" spans="1:6" x14ac:dyDescent="0.25">
      <c r="A1705" t="s">
        <v>4200</v>
      </c>
      <c r="B1705" t="s">
        <v>2524</v>
      </c>
      <c r="C1705" t="s">
        <v>2525</v>
      </c>
      <c r="D1705" t="str">
        <f>HYPERLINK("http://service.sap.com/sap/support/notes/1690886","1690886")</f>
        <v>1690886</v>
      </c>
      <c r="E1705">
        <v>8</v>
      </c>
      <c r="F1705" t="s">
        <v>2529</v>
      </c>
    </row>
    <row r="1706" spans="1:6" x14ac:dyDescent="0.25">
      <c r="A1706" t="s">
        <v>4200</v>
      </c>
      <c r="B1706" t="s">
        <v>2524</v>
      </c>
      <c r="C1706" t="s">
        <v>2525</v>
      </c>
      <c r="D1706" t="str">
        <f>HYPERLINK("http://service.sap.com/sap/support/notes/1710969","1710969")</f>
        <v>1710969</v>
      </c>
      <c r="E1706">
        <v>2</v>
      </c>
      <c r="F1706" t="s">
        <v>2530</v>
      </c>
    </row>
    <row r="1707" spans="1:6" x14ac:dyDescent="0.25">
      <c r="A1707" t="s">
        <v>4200</v>
      </c>
      <c r="B1707" t="s">
        <v>2524</v>
      </c>
      <c r="C1707" t="s">
        <v>2525</v>
      </c>
      <c r="D1707" t="str">
        <f>HYPERLINK("http://service.sap.com/sap/support/notes/1717979","1717979")</f>
        <v>1717979</v>
      </c>
      <c r="E1707">
        <v>3</v>
      </c>
      <c r="F1707" t="s">
        <v>2531</v>
      </c>
    </row>
    <row r="1708" spans="1:6" x14ac:dyDescent="0.25">
      <c r="A1708" t="s">
        <v>4200</v>
      </c>
      <c r="B1708" t="s">
        <v>2524</v>
      </c>
      <c r="C1708" t="s">
        <v>2525</v>
      </c>
      <c r="D1708" t="str">
        <f>HYPERLINK("http://service.sap.com/sap/support/notes/1719829","1719829")</f>
        <v>1719829</v>
      </c>
      <c r="E1708">
        <v>3</v>
      </c>
      <c r="F1708" t="s">
        <v>2532</v>
      </c>
    </row>
    <row r="1709" spans="1:6" x14ac:dyDescent="0.25">
      <c r="A1709" t="s">
        <v>4200</v>
      </c>
      <c r="B1709" t="s">
        <v>2524</v>
      </c>
      <c r="C1709" t="s">
        <v>2525</v>
      </c>
      <c r="D1709" t="str">
        <f>HYPERLINK("http://service.sap.com/sap/support/notes/1725199","1725199")</f>
        <v>1725199</v>
      </c>
      <c r="E1709">
        <v>4</v>
      </c>
      <c r="F1709" t="s">
        <v>2533</v>
      </c>
    </row>
    <row r="1710" spans="1:6" x14ac:dyDescent="0.25">
      <c r="A1710" t="s">
        <v>4200</v>
      </c>
      <c r="B1710" t="s">
        <v>2524</v>
      </c>
      <c r="C1710" t="s">
        <v>2525</v>
      </c>
      <c r="D1710" t="str">
        <f>HYPERLINK("http://service.sap.com/sap/support/notes/1725588","1725588")</f>
        <v>1725588</v>
      </c>
      <c r="E1710">
        <v>5</v>
      </c>
      <c r="F1710" t="s">
        <v>2534</v>
      </c>
    </row>
    <row r="1711" spans="1:6" x14ac:dyDescent="0.25">
      <c r="A1711" t="s">
        <v>4200</v>
      </c>
      <c r="B1711" t="s">
        <v>2524</v>
      </c>
      <c r="C1711" t="s">
        <v>2525</v>
      </c>
      <c r="D1711" t="str">
        <f>HYPERLINK("http://service.sap.com/sap/support/notes/1728315","1728315")</f>
        <v>1728315</v>
      </c>
      <c r="E1711">
        <v>3</v>
      </c>
      <c r="F1711" t="s">
        <v>2535</v>
      </c>
    </row>
    <row r="1712" spans="1:6" x14ac:dyDescent="0.25">
      <c r="A1712" t="s">
        <v>4200</v>
      </c>
      <c r="B1712" t="s">
        <v>2524</v>
      </c>
      <c r="C1712" t="s">
        <v>2525</v>
      </c>
      <c r="D1712" t="str">
        <f>HYPERLINK("http://service.sap.com/sap/support/notes/1728320","1728320")</f>
        <v>1728320</v>
      </c>
      <c r="E1712">
        <v>5</v>
      </c>
      <c r="F1712" t="s">
        <v>2536</v>
      </c>
    </row>
    <row r="1713" spans="1:6" x14ac:dyDescent="0.25">
      <c r="A1713" t="s">
        <v>4200</v>
      </c>
      <c r="B1713" t="s">
        <v>2524</v>
      </c>
      <c r="C1713" t="s">
        <v>2525</v>
      </c>
      <c r="D1713" t="str">
        <f>HYPERLINK("http://service.sap.com/sap/support/notes/1736712","1736712")</f>
        <v>1736712</v>
      </c>
      <c r="E1713">
        <v>5</v>
      </c>
      <c r="F1713" t="s">
        <v>2537</v>
      </c>
    </row>
    <row r="1714" spans="1:6" x14ac:dyDescent="0.25">
      <c r="A1714" t="s">
        <v>4200</v>
      </c>
      <c r="B1714" t="s">
        <v>2524</v>
      </c>
      <c r="C1714" t="s">
        <v>2525</v>
      </c>
      <c r="D1714" t="str">
        <f>HYPERLINK("http://service.sap.com/sap/support/notes/1736998","1736998")</f>
        <v>1736998</v>
      </c>
      <c r="E1714">
        <v>1</v>
      </c>
      <c r="F1714" t="s">
        <v>2538</v>
      </c>
    </row>
    <row r="1715" spans="1:6" x14ac:dyDescent="0.25">
      <c r="A1715" t="s">
        <v>4200</v>
      </c>
      <c r="B1715" t="s">
        <v>2524</v>
      </c>
      <c r="C1715" t="s">
        <v>2525</v>
      </c>
      <c r="D1715" t="str">
        <f>HYPERLINK("http://service.sap.com/sap/support/notes/1737821","1737821")</f>
        <v>1737821</v>
      </c>
      <c r="E1715">
        <v>1</v>
      </c>
      <c r="F1715" t="s">
        <v>2539</v>
      </c>
    </row>
    <row r="1716" spans="1:6" x14ac:dyDescent="0.25">
      <c r="A1716" t="s">
        <v>4200</v>
      </c>
      <c r="B1716" t="s">
        <v>2524</v>
      </c>
      <c r="C1716" t="s">
        <v>2525</v>
      </c>
      <c r="D1716" t="str">
        <f>HYPERLINK("http://service.sap.com/sap/support/notes/1739250","1739250")</f>
        <v>1739250</v>
      </c>
      <c r="E1716">
        <v>3</v>
      </c>
      <c r="F1716" t="s">
        <v>2540</v>
      </c>
    </row>
    <row r="1717" spans="1:6" x14ac:dyDescent="0.25">
      <c r="A1717" t="s">
        <v>4200</v>
      </c>
      <c r="B1717" t="s">
        <v>2524</v>
      </c>
      <c r="C1717" t="s">
        <v>2525</v>
      </c>
      <c r="D1717" t="str">
        <f>HYPERLINK("http://service.sap.com/sap/support/notes/1739367","1739367")</f>
        <v>1739367</v>
      </c>
      <c r="E1717">
        <v>2</v>
      </c>
      <c r="F1717" t="s">
        <v>2541</v>
      </c>
    </row>
    <row r="1718" spans="1:6" x14ac:dyDescent="0.25">
      <c r="A1718" t="s">
        <v>4200</v>
      </c>
      <c r="B1718" t="s">
        <v>2524</v>
      </c>
      <c r="C1718" t="s">
        <v>2525</v>
      </c>
      <c r="D1718" t="str">
        <f>HYPERLINK("http://service.sap.com/sap/support/notes/1741606","1741606")</f>
        <v>1741606</v>
      </c>
      <c r="E1718">
        <v>1</v>
      </c>
      <c r="F1718" t="s">
        <v>2542</v>
      </c>
    </row>
    <row r="1719" spans="1:6" x14ac:dyDescent="0.25">
      <c r="A1719" t="s">
        <v>4200</v>
      </c>
      <c r="B1719" t="s">
        <v>2524</v>
      </c>
      <c r="C1719" t="s">
        <v>2525</v>
      </c>
      <c r="D1719" t="str">
        <f>HYPERLINK("http://service.sap.com/sap/support/notes/1748577","1748577")</f>
        <v>1748577</v>
      </c>
      <c r="E1719">
        <v>3</v>
      </c>
      <c r="F1719" t="s">
        <v>2543</v>
      </c>
    </row>
    <row r="1720" spans="1:6" x14ac:dyDescent="0.25">
      <c r="A1720" t="s">
        <v>4200</v>
      </c>
      <c r="B1720" t="s">
        <v>2524</v>
      </c>
      <c r="C1720" t="s">
        <v>2525</v>
      </c>
      <c r="D1720" t="str">
        <f>HYPERLINK("http://service.sap.com/sap/support/notes/1757338","1757338")</f>
        <v>1757338</v>
      </c>
      <c r="E1720">
        <v>1</v>
      </c>
      <c r="F1720" t="s">
        <v>2544</v>
      </c>
    </row>
    <row r="1721" spans="1:6" x14ac:dyDescent="0.25">
      <c r="A1721" t="s">
        <v>4200</v>
      </c>
      <c r="B1721" t="s">
        <v>2545</v>
      </c>
      <c r="C1721" t="s">
        <v>2546</v>
      </c>
      <c r="D1721" t="str">
        <f>HYPERLINK("http://service.sap.com/sap/support/notes/1709560","1709560")</f>
        <v>1709560</v>
      </c>
      <c r="E1721">
        <v>4</v>
      </c>
      <c r="F1721" t="s">
        <v>2547</v>
      </c>
    </row>
    <row r="1722" spans="1:6" x14ac:dyDescent="0.25">
      <c r="A1722" t="s">
        <v>4200</v>
      </c>
      <c r="B1722" t="s">
        <v>2545</v>
      </c>
      <c r="C1722" t="s">
        <v>2546</v>
      </c>
      <c r="D1722" t="str">
        <f>HYPERLINK("http://service.sap.com/sap/support/notes/1737570","1737570")</f>
        <v>1737570</v>
      </c>
      <c r="E1722">
        <v>4</v>
      </c>
      <c r="F1722" t="s">
        <v>2548</v>
      </c>
    </row>
    <row r="1723" spans="1:6" x14ac:dyDescent="0.25">
      <c r="A1723" t="s">
        <v>4200</v>
      </c>
      <c r="B1723" t="s">
        <v>2545</v>
      </c>
      <c r="C1723" t="s">
        <v>2546</v>
      </c>
      <c r="D1723" t="str">
        <f>HYPERLINK("http://service.sap.com/sap/support/notes/1739331","1739331")</f>
        <v>1739331</v>
      </c>
      <c r="E1723">
        <v>2</v>
      </c>
      <c r="F1723" t="s">
        <v>2549</v>
      </c>
    </row>
    <row r="1724" spans="1:6" x14ac:dyDescent="0.25">
      <c r="A1724" t="s">
        <v>4200</v>
      </c>
      <c r="B1724" t="s">
        <v>2545</v>
      </c>
      <c r="C1724" t="s">
        <v>2546</v>
      </c>
      <c r="D1724" t="str">
        <f>HYPERLINK("http://service.sap.com/sap/support/notes/1739551","1739551")</f>
        <v>1739551</v>
      </c>
      <c r="E1724">
        <v>1</v>
      </c>
      <c r="F1724" t="s">
        <v>2550</v>
      </c>
    </row>
    <row r="1725" spans="1:6" x14ac:dyDescent="0.25">
      <c r="A1725" t="s">
        <v>4200</v>
      </c>
      <c r="B1725" t="s">
        <v>2545</v>
      </c>
      <c r="C1725" t="s">
        <v>2546</v>
      </c>
      <c r="D1725" t="str">
        <f>HYPERLINK("http://service.sap.com/sap/support/notes/1744960","1744960")</f>
        <v>1744960</v>
      </c>
      <c r="E1725">
        <v>2</v>
      </c>
      <c r="F1725" t="s">
        <v>2551</v>
      </c>
    </row>
    <row r="1726" spans="1:6" x14ac:dyDescent="0.25">
      <c r="A1726" t="s">
        <v>4200</v>
      </c>
      <c r="B1726" t="s">
        <v>2545</v>
      </c>
      <c r="C1726" t="s">
        <v>2546</v>
      </c>
      <c r="D1726" t="str">
        <f>HYPERLINK("http://service.sap.com/sap/support/notes/1755145","1755145")</f>
        <v>1755145</v>
      </c>
      <c r="E1726">
        <v>2</v>
      </c>
      <c r="F1726" t="s">
        <v>2552</v>
      </c>
    </row>
    <row r="1727" spans="1:6" x14ac:dyDescent="0.25">
      <c r="A1727" t="s">
        <v>4200</v>
      </c>
      <c r="B1727" t="s">
        <v>2553</v>
      </c>
      <c r="C1727" t="s">
        <v>2554</v>
      </c>
    </row>
    <row r="1728" spans="1:6" x14ac:dyDescent="0.25">
      <c r="A1728" t="s">
        <v>4200</v>
      </c>
      <c r="B1728" t="s">
        <v>2555</v>
      </c>
      <c r="C1728" t="s">
        <v>2556</v>
      </c>
      <c r="D1728" t="str">
        <f>HYPERLINK("http://service.sap.com/sap/support/notes/1734600","1734600")</f>
        <v>1734600</v>
      </c>
      <c r="E1728">
        <v>2</v>
      </c>
      <c r="F1728" t="s">
        <v>2557</v>
      </c>
    </row>
    <row r="1729" spans="1:6" x14ac:dyDescent="0.25">
      <c r="A1729" t="s">
        <v>4200</v>
      </c>
      <c r="B1729" t="s">
        <v>2555</v>
      </c>
      <c r="C1729" t="s">
        <v>2556</v>
      </c>
      <c r="D1729" t="str">
        <f>HYPERLINK("http://service.sap.com/sap/support/notes/1748182","1748182")</f>
        <v>1748182</v>
      </c>
      <c r="E1729">
        <v>6</v>
      </c>
      <c r="F1729" t="s">
        <v>2558</v>
      </c>
    </row>
    <row r="1730" spans="1:6" x14ac:dyDescent="0.25">
      <c r="A1730" t="s">
        <v>4200</v>
      </c>
      <c r="B1730" t="s">
        <v>2555</v>
      </c>
      <c r="C1730" t="s">
        <v>2556</v>
      </c>
      <c r="D1730" t="str">
        <f>HYPERLINK("http://service.sap.com/sap/support/notes/1750018","1750018")</f>
        <v>1750018</v>
      </c>
      <c r="E1730">
        <v>3</v>
      </c>
      <c r="F1730" t="s">
        <v>2559</v>
      </c>
    </row>
    <row r="1731" spans="1:6" x14ac:dyDescent="0.25">
      <c r="A1731" t="s">
        <v>4200</v>
      </c>
      <c r="B1731" t="s">
        <v>2555</v>
      </c>
      <c r="C1731" t="s">
        <v>2556</v>
      </c>
      <c r="D1731" t="str">
        <f>HYPERLINK("http://service.sap.com/sap/support/notes/1765782","1765782")</f>
        <v>1765782</v>
      </c>
      <c r="E1731">
        <v>2</v>
      </c>
      <c r="F1731" t="s">
        <v>2560</v>
      </c>
    </row>
    <row r="1732" spans="1:6" x14ac:dyDescent="0.25">
      <c r="A1732" t="s">
        <v>4200</v>
      </c>
      <c r="B1732" t="s">
        <v>2555</v>
      </c>
      <c r="C1732" t="s">
        <v>2556</v>
      </c>
      <c r="D1732" t="str">
        <f>HYPERLINK("http://service.sap.com/sap/support/notes/1765860","1765860")</f>
        <v>1765860</v>
      </c>
      <c r="E1732">
        <v>2</v>
      </c>
      <c r="F1732" t="s">
        <v>2561</v>
      </c>
    </row>
    <row r="1733" spans="1:6" x14ac:dyDescent="0.25">
      <c r="A1733" t="s">
        <v>4200</v>
      </c>
      <c r="B1733" t="s">
        <v>2562</v>
      </c>
      <c r="C1733" t="s">
        <v>2563</v>
      </c>
      <c r="D1733" t="str">
        <f>HYPERLINK("http://service.sap.com/sap/support/notes/1725435","1725435")</f>
        <v>1725435</v>
      </c>
      <c r="E1733">
        <v>1</v>
      </c>
      <c r="F1733" t="s">
        <v>2564</v>
      </c>
    </row>
    <row r="1734" spans="1:6" x14ac:dyDescent="0.25">
      <c r="A1734" t="s">
        <v>4200</v>
      </c>
      <c r="B1734" t="s">
        <v>2562</v>
      </c>
      <c r="C1734" t="s">
        <v>2563</v>
      </c>
      <c r="D1734" t="str">
        <f>HYPERLINK("http://service.sap.com/sap/support/notes/1726796","1726796")</f>
        <v>1726796</v>
      </c>
      <c r="E1734">
        <v>4</v>
      </c>
      <c r="F1734" t="s">
        <v>2565</v>
      </c>
    </row>
    <row r="1735" spans="1:6" x14ac:dyDescent="0.25">
      <c r="A1735" t="s">
        <v>4200</v>
      </c>
      <c r="B1735" t="s">
        <v>2566</v>
      </c>
      <c r="C1735" t="s">
        <v>2567</v>
      </c>
      <c r="D1735" t="str">
        <f>HYPERLINK("http://service.sap.com/sap/support/notes/1680406","1680406")</f>
        <v>1680406</v>
      </c>
      <c r="E1735">
        <v>3</v>
      </c>
      <c r="F1735" t="s">
        <v>2568</v>
      </c>
    </row>
    <row r="1736" spans="1:6" x14ac:dyDescent="0.25">
      <c r="A1736" t="s">
        <v>4200</v>
      </c>
      <c r="B1736" t="s">
        <v>2566</v>
      </c>
      <c r="C1736" t="s">
        <v>2567</v>
      </c>
      <c r="D1736" t="str">
        <f>HYPERLINK("http://service.sap.com/sap/support/notes/1747184","1747184")</f>
        <v>1747184</v>
      </c>
      <c r="E1736">
        <v>1</v>
      </c>
      <c r="F1736" t="s">
        <v>2569</v>
      </c>
    </row>
    <row r="1737" spans="1:6" x14ac:dyDescent="0.25">
      <c r="A1737" t="s">
        <v>4200</v>
      </c>
      <c r="B1737" t="s">
        <v>2570</v>
      </c>
      <c r="C1737" t="s">
        <v>2571</v>
      </c>
      <c r="D1737" t="str">
        <f>HYPERLINK("http://service.sap.com/sap/support/notes/1736096","1736096")</f>
        <v>1736096</v>
      </c>
      <c r="E1737">
        <v>1</v>
      </c>
      <c r="F1737" t="s">
        <v>2572</v>
      </c>
    </row>
    <row r="1738" spans="1:6" x14ac:dyDescent="0.25">
      <c r="A1738" t="s">
        <v>4200</v>
      </c>
      <c r="B1738" t="s">
        <v>2573</v>
      </c>
      <c r="C1738" t="s">
        <v>2574</v>
      </c>
      <c r="D1738" t="str">
        <f>HYPERLINK("http://service.sap.com/sap/support/notes/1681272","1681272")</f>
        <v>1681272</v>
      </c>
      <c r="E1738">
        <v>1</v>
      </c>
      <c r="F1738" t="s">
        <v>2575</v>
      </c>
    </row>
    <row r="1739" spans="1:6" x14ac:dyDescent="0.25">
      <c r="A1739" t="s">
        <v>4200</v>
      </c>
      <c r="B1739" t="s">
        <v>2576</v>
      </c>
      <c r="C1739" t="s">
        <v>2577</v>
      </c>
    </row>
    <row r="1740" spans="1:6" x14ac:dyDescent="0.25">
      <c r="A1740" t="s">
        <v>4200</v>
      </c>
      <c r="B1740" t="s">
        <v>2578</v>
      </c>
      <c r="C1740" t="s">
        <v>2579</v>
      </c>
      <c r="D1740" t="str">
        <f>HYPERLINK("http://service.sap.com/sap/support/notes/1685996","1685996")</f>
        <v>1685996</v>
      </c>
      <c r="E1740">
        <v>2</v>
      </c>
      <c r="F1740" t="s">
        <v>2580</v>
      </c>
    </row>
    <row r="1741" spans="1:6" x14ac:dyDescent="0.25">
      <c r="A1741" t="s">
        <v>4200</v>
      </c>
      <c r="B1741" t="s">
        <v>2578</v>
      </c>
      <c r="C1741" t="s">
        <v>2579</v>
      </c>
      <c r="D1741" t="str">
        <f>HYPERLINK("http://service.sap.com/sap/support/notes/1706123","1706123")</f>
        <v>1706123</v>
      </c>
      <c r="E1741">
        <v>1</v>
      </c>
      <c r="F1741" t="s">
        <v>2581</v>
      </c>
    </row>
    <row r="1742" spans="1:6" x14ac:dyDescent="0.25">
      <c r="A1742" t="s">
        <v>4200</v>
      </c>
      <c r="B1742" t="s">
        <v>2578</v>
      </c>
      <c r="C1742" t="s">
        <v>2579</v>
      </c>
      <c r="D1742" t="str">
        <f>HYPERLINK("http://service.sap.com/sap/support/notes/1719704","1719704")</f>
        <v>1719704</v>
      </c>
      <c r="E1742">
        <v>2</v>
      </c>
      <c r="F1742" t="s">
        <v>2582</v>
      </c>
    </row>
    <row r="1743" spans="1:6" x14ac:dyDescent="0.25">
      <c r="A1743" t="s">
        <v>4200</v>
      </c>
      <c r="B1743" t="s">
        <v>2583</v>
      </c>
      <c r="C1743" t="s">
        <v>2584</v>
      </c>
      <c r="D1743" t="str">
        <f>HYPERLINK("http://service.sap.com/sap/support/notes/602492","602492")</f>
        <v>602492</v>
      </c>
      <c r="E1743">
        <v>5</v>
      </c>
      <c r="F1743" t="s">
        <v>2585</v>
      </c>
    </row>
    <row r="1744" spans="1:6" x14ac:dyDescent="0.25">
      <c r="A1744" t="s">
        <v>4200</v>
      </c>
      <c r="B1744" t="s">
        <v>2583</v>
      </c>
      <c r="C1744" t="s">
        <v>2584</v>
      </c>
      <c r="D1744" t="str">
        <f>HYPERLINK("http://service.sap.com/sap/support/notes/1297376","1297376")</f>
        <v>1297376</v>
      </c>
      <c r="E1744">
        <v>3</v>
      </c>
      <c r="F1744" t="s">
        <v>2586</v>
      </c>
    </row>
    <row r="1745" spans="1:6" x14ac:dyDescent="0.25">
      <c r="A1745" t="s">
        <v>4200</v>
      </c>
      <c r="B1745" t="s">
        <v>2583</v>
      </c>
      <c r="C1745" t="s">
        <v>2584</v>
      </c>
      <c r="D1745" t="str">
        <f>HYPERLINK("http://service.sap.com/sap/support/notes/1606682","1606682")</f>
        <v>1606682</v>
      </c>
      <c r="E1745">
        <v>3</v>
      </c>
      <c r="F1745" t="s">
        <v>2587</v>
      </c>
    </row>
    <row r="1746" spans="1:6" x14ac:dyDescent="0.25">
      <c r="A1746" t="s">
        <v>4200</v>
      </c>
      <c r="B1746" t="s">
        <v>2583</v>
      </c>
      <c r="C1746" t="s">
        <v>2584</v>
      </c>
      <c r="D1746" t="str">
        <f>HYPERLINK("http://service.sap.com/sap/support/notes/1672657","1672657")</f>
        <v>1672657</v>
      </c>
      <c r="E1746">
        <v>1</v>
      </c>
      <c r="F1746" t="s">
        <v>2588</v>
      </c>
    </row>
    <row r="1747" spans="1:6" x14ac:dyDescent="0.25">
      <c r="A1747" t="s">
        <v>4200</v>
      </c>
      <c r="B1747" t="s">
        <v>2583</v>
      </c>
      <c r="C1747" t="s">
        <v>2584</v>
      </c>
      <c r="D1747" t="str">
        <f>HYPERLINK("http://service.sap.com/sap/support/notes/1683798","1683798")</f>
        <v>1683798</v>
      </c>
      <c r="E1747">
        <v>2</v>
      </c>
      <c r="F1747" t="s">
        <v>2589</v>
      </c>
    </row>
    <row r="1748" spans="1:6" x14ac:dyDescent="0.25">
      <c r="A1748" t="s">
        <v>4200</v>
      </c>
      <c r="B1748" t="s">
        <v>2583</v>
      </c>
      <c r="C1748" t="s">
        <v>2584</v>
      </c>
      <c r="D1748" t="str">
        <f>HYPERLINK("http://service.sap.com/sap/support/notes/1752950","1752950")</f>
        <v>1752950</v>
      </c>
      <c r="E1748">
        <v>4</v>
      </c>
      <c r="F1748" t="s">
        <v>2590</v>
      </c>
    </row>
    <row r="1749" spans="1:6" x14ac:dyDescent="0.25">
      <c r="A1749" t="s">
        <v>4200</v>
      </c>
      <c r="B1749" t="s">
        <v>2591</v>
      </c>
      <c r="C1749" t="s">
        <v>2592</v>
      </c>
      <c r="D1749" t="str">
        <f>HYPERLINK("http://service.sap.com/sap/support/notes/1711650","1711650")</f>
        <v>1711650</v>
      </c>
      <c r="E1749">
        <v>2</v>
      </c>
      <c r="F1749" t="s">
        <v>2593</v>
      </c>
    </row>
    <row r="1750" spans="1:6" x14ac:dyDescent="0.25">
      <c r="A1750" t="s">
        <v>4200</v>
      </c>
      <c r="B1750" t="s">
        <v>2594</v>
      </c>
      <c r="C1750" t="s">
        <v>1743</v>
      </c>
      <c r="D1750" t="str">
        <f>HYPERLINK("http://service.sap.com/sap/support/notes/1629859","1629859")</f>
        <v>1629859</v>
      </c>
      <c r="E1750">
        <v>2</v>
      </c>
      <c r="F1750" t="s">
        <v>2595</v>
      </c>
    </row>
    <row r="1751" spans="1:6" x14ac:dyDescent="0.25">
      <c r="A1751" t="s">
        <v>4200</v>
      </c>
      <c r="B1751" t="s">
        <v>2594</v>
      </c>
      <c r="C1751" t="s">
        <v>1743</v>
      </c>
      <c r="D1751" t="str">
        <f>HYPERLINK("http://service.sap.com/sap/support/notes/1651341","1651341")</f>
        <v>1651341</v>
      </c>
      <c r="E1751">
        <v>9</v>
      </c>
      <c r="F1751" t="s">
        <v>2596</v>
      </c>
    </row>
    <row r="1752" spans="1:6" x14ac:dyDescent="0.25">
      <c r="A1752" t="s">
        <v>4200</v>
      </c>
      <c r="B1752" t="s">
        <v>2594</v>
      </c>
      <c r="C1752" t="s">
        <v>1743</v>
      </c>
      <c r="D1752" t="str">
        <f>HYPERLINK("http://service.sap.com/sap/support/notes/1683331","1683331")</f>
        <v>1683331</v>
      </c>
      <c r="E1752">
        <v>2</v>
      </c>
      <c r="F1752" t="s">
        <v>2597</v>
      </c>
    </row>
    <row r="1753" spans="1:6" x14ac:dyDescent="0.25">
      <c r="A1753" t="s">
        <v>4200</v>
      </c>
      <c r="B1753" t="s">
        <v>2594</v>
      </c>
      <c r="C1753" t="s">
        <v>1743</v>
      </c>
      <c r="D1753" t="str">
        <f>HYPERLINK("http://service.sap.com/sap/support/notes/1726025","1726025")</f>
        <v>1726025</v>
      </c>
      <c r="E1753">
        <v>3</v>
      </c>
      <c r="F1753" t="s">
        <v>2598</v>
      </c>
    </row>
    <row r="1754" spans="1:6" x14ac:dyDescent="0.25">
      <c r="A1754" t="s">
        <v>4200</v>
      </c>
      <c r="B1754" t="s">
        <v>2594</v>
      </c>
      <c r="C1754" t="s">
        <v>1743</v>
      </c>
      <c r="D1754" t="str">
        <f>HYPERLINK("http://service.sap.com/sap/support/notes/1729590","1729590")</f>
        <v>1729590</v>
      </c>
      <c r="E1754">
        <v>1</v>
      </c>
      <c r="F1754" t="s">
        <v>2599</v>
      </c>
    </row>
    <row r="1755" spans="1:6" x14ac:dyDescent="0.25">
      <c r="A1755" t="s">
        <v>4200</v>
      </c>
      <c r="B1755" t="s">
        <v>2594</v>
      </c>
      <c r="C1755" t="s">
        <v>1743</v>
      </c>
      <c r="D1755" t="str">
        <f>HYPERLINK("http://service.sap.com/sap/support/notes/1745369","1745369")</f>
        <v>1745369</v>
      </c>
      <c r="E1755">
        <v>3</v>
      </c>
      <c r="F1755" t="s">
        <v>2600</v>
      </c>
    </row>
    <row r="1756" spans="1:6" x14ac:dyDescent="0.25">
      <c r="A1756" t="s">
        <v>4200</v>
      </c>
      <c r="B1756" t="s">
        <v>2601</v>
      </c>
      <c r="C1756" t="s">
        <v>151</v>
      </c>
      <c r="D1756" t="str">
        <f>HYPERLINK("http://service.sap.com/sap/support/notes/1751220","1751220")</f>
        <v>1751220</v>
      </c>
      <c r="E1756">
        <v>2</v>
      </c>
      <c r="F1756" t="s">
        <v>2602</v>
      </c>
    </row>
    <row r="1757" spans="1:6" x14ac:dyDescent="0.25">
      <c r="A1757" t="s">
        <v>4200</v>
      </c>
      <c r="B1757" t="s">
        <v>2603</v>
      </c>
      <c r="C1757" t="s">
        <v>233</v>
      </c>
      <c r="D1757" t="str">
        <f>HYPERLINK("http://service.sap.com/sap/support/notes/1738466","1738466")</f>
        <v>1738466</v>
      </c>
      <c r="E1757">
        <v>1</v>
      </c>
      <c r="F1757" t="s">
        <v>2604</v>
      </c>
    </row>
    <row r="1758" spans="1:6" x14ac:dyDescent="0.25">
      <c r="A1758" t="s">
        <v>4200</v>
      </c>
      <c r="B1758" t="s">
        <v>2603</v>
      </c>
      <c r="C1758" t="s">
        <v>233</v>
      </c>
      <c r="D1758" t="str">
        <f>HYPERLINK("http://service.sap.com/sap/support/notes/1751929","1751929")</f>
        <v>1751929</v>
      </c>
      <c r="E1758">
        <v>1</v>
      </c>
      <c r="F1758" t="s">
        <v>2605</v>
      </c>
    </row>
    <row r="1759" spans="1:6" x14ac:dyDescent="0.25">
      <c r="A1759" t="s">
        <v>4200</v>
      </c>
      <c r="B1759" t="s">
        <v>2603</v>
      </c>
      <c r="C1759" t="s">
        <v>233</v>
      </c>
      <c r="D1759" t="str">
        <f>HYPERLINK("http://service.sap.com/sap/support/notes/1757662","1757662")</f>
        <v>1757662</v>
      </c>
      <c r="E1759">
        <v>1</v>
      </c>
      <c r="F1759" t="s">
        <v>2606</v>
      </c>
    </row>
    <row r="1760" spans="1:6" x14ac:dyDescent="0.25">
      <c r="A1760" t="s">
        <v>4200</v>
      </c>
      <c r="B1760" t="s">
        <v>2607</v>
      </c>
      <c r="C1760" t="s">
        <v>2608</v>
      </c>
      <c r="D1760" t="str">
        <f>HYPERLINK("http://service.sap.com/sap/support/notes/1723588","1723588")</f>
        <v>1723588</v>
      </c>
      <c r="E1760">
        <v>5</v>
      </c>
      <c r="F1760" t="s">
        <v>2609</v>
      </c>
    </row>
    <row r="1761" spans="1:6" x14ac:dyDescent="0.25">
      <c r="A1761" t="s">
        <v>4200</v>
      </c>
      <c r="B1761" t="s">
        <v>2610</v>
      </c>
      <c r="C1761" t="s">
        <v>2611</v>
      </c>
      <c r="D1761" t="str">
        <f>HYPERLINK("http://service.sap.com/sap/support/notes/1727307","1727307")</f>
        <v>1727307</v>
      </c>
      <c r="E1761">
        <v>1</v>
      </c>
      <c r="F1761" t="s">
        <v>2612</v>
      </c>
    </row>
    <row r="1762" spans="1:6" x14ac:dyDescent="0.25">
      <c r="A1762" t="s">
        <v>4200</v>
      </c>
      <c r="B1762" t="s">
        <v>2610</v>
      </c>
      <c r="C1762" t="s">
        <v>2611</v>
      </c>
      <c r="D1762" t="str">
        <f>HYPERLINK("http://service.sap.com/sap/support/notes/1735747","1735747")</f>
        <v>1735747</v>
      </c>
      <c r="E1762">
        <v>4</v>
      </c>
      <c r="F1762" t="s">
        <v>2613</v>
      </c>
    </row>
    <row r="1763" spans="1:6" x14ac:dyDescent="0.25">
      <c r="A1763" t="s">
        <v>4200</v>
      </c>
      <c r="B1763" t="s">
        <v>2610</v>
      </c>
      <c r="C1763" t="s">
        <v>2611</v>
      </c>
      <c r="D1763" t="str">
        <f>HYPERLINK("http://service.sap.com/sap/support/notes/1739683","1739683")</f>
        <v>1739683</v>
      </c>
      <c r="E1763">
        <v>1</v>
      </c>
      <c r="F1763" t="s">
        <v>2614</v>
      </c>
    </row>
    <row r="1764" spans="1:6" x14ac:dyDescent="0.25">
      <c r="A1764" t="s">
        <v>4200</v>
      </c>
      <c r="B1764" t="s">
        <v>2610</v>
      </c>
      <c r="C1764" t="s">
        <v>2611</v>
      </c>
      <c r="D1764" t="str">
        <f>HYPERLINK("http://service.sap.com/sap/support/notes/1764914","1764914")</f>
        <v>1764914</v>
      </c>
      <c r="E1764">
        <v>1</v>
      </c>
      <c r="F1764" t="s">
        <v>2615</v>
      </c>
    </row>
    <row r="1765" spans="1:6" x14ac:dyDescent="0.25">
      <c r="A1765" t="s">
        <v>4200</v>
      </c>
      <c r="B1765" t="s">
        <v>2616</v>
      </c>
      <c r="C1765" t="s">
        <v>2617</v>
      </c>
      <c r="D1765" t="str">
        <f>HYPERLINK("http://service.sap.com/sap/support/notes/1755494","1755494")</f>
        <v>1755494</v>
      </c>
      <c r="E1765">
        <v>3</v>
      </c>
      <c r="F1765" t="s">
        <v>2618</v>
      </c>
    </row>
    <row r="1766" spans="1:6" x14ac:dyDescent="0.25">
      <c r="A1766" t="s">
        <v>4200</v>
      </c>
      <c r="B1766" t="s">
        <v>2619</v>
      </c>
      <c r="C1766" t="s">
        <v>2620</v>
      </c>
      <c r="D1766" t="str">
        <f>HYPERLINK("http://service.sap.com/sap/support/notes/1738681","1738681")</f>
        <v>1738681</v>
      </c>
      <c r="E1766">
        <v>1</v>
      </c>
      <c r="F1766" t="s">
        <v>2621</v>
      </c>
    </row>
    <row r="1767" spans="1:6" x14ac:dyDescent="0.25">
      <c r="A1767" t="s">
        <v>4200</v>
      </c>
      <c r="B1767" t="s">
        <v>2622</v>
      </c>
      <c r="C1767" t="s">
        <v>2623</v>
      </c>
    </row>
    <row r="1768" spans="1:6" x14ac:dyDescent="0.25">
      <c r="A1768" t="s">
        <v>4200</v>
      </c>
      <c r="B1768" t="s">
        <v>2624</v>
      </c>
      <c r="C1768" t="s">
        <v>2625</v>
      </c>
      <c r="D1768" t="str">
        <f>HYPERLINK("http://service.sap.com/sap/support/notes/1752262","1752262")</f>
        <v>1752262</v>
      </c>
      <c r="E1768">
        <v>1</v>
      </c>
      <c r="F1768" t="s">
        <v>2626</v>
      </c>
    </row>
    <row r="1769" spans="1:6" x14ac:dyDescent="0.25">
      <c r="A1769" t="s">
        <v>4200</v>
      </c>
      <c r="B1769" t="s">
        <v>2627</v>
      </c>
      <c r="C1769" t="s">
        <v>2628</v>
      </c>
      <c r="D1769" t="str">
        <f>HYPERLINK("http://service.sap.com/sap/support/notes/1711823","1711823")</f>
        <v>1711823</v>
      </c>
      <c r="E1769">
        <v>5</v>
      </c>
      <c r="F1769" t="s">
        <v>2629</v>
      </c>
    </row>
    <row r="1770" spans="1:6" x14ac:dyDescent="0.25">
      <c r="A1770" t="s">
        <v>4200</v>
      </c>
      <c r="B1770" t="s">
        <v>2627</v>
      </c>
      <c r="C1770" t="s">
        <v>2628</v>
      </c>
      <c r="D1770" t="str">
        <f>HYPERLINK("http://service.sap.com/sap/support/notes/1762568","1762568")</f>
        <v>1762568</v>
      </c>
      <c r="E1770">
        <v>1</v>
      </c>
      <c r="F1770" t="s">
        <v>2630</v>
      </c>
    </row>
    <row r="1771" spans="1:6" x14ac:dyDescent="0.25">
      <c r="A1771" t="s">
        <v>4200</v>
      </c>
      <c r="B1771" t="s">
        <v>2631</v>
      </c>
      <c r="C1771" t="s">
        <v>824</v>
      </c>
    </row>
    <row r="1772" spans="1:6" x14ac:dyDescent="0.25">
      <c r="A1772" t="s">
        <v>4200</v>
      </c>
      <c r="B1772" t="s">
        <v>2632</v>
      </c>
      <c r="C1772" t="s">
        <v>2477</v>
      </c>
      <c r="D1772" t="str">
        <f>HYPERLINK("http://service.sap.com/sap/support/notes/1744968","1744968")</f>
        <v>1744968</v>
      </c>
      <c r="E1772">
        <v>2</v>
      </c>
      <c r="F1772" t="s">
        <v>2633</v>
      </c>
    </row>
    <row r="1773" spans="1:6" x14ac:dyDescent="0.25">
      <c r="A1773" t="s">
        <v>4200</v>
      </c>
      <c r="B1773" t="s">
        <v>2634</v>
      </c>
      <c r="C1773" t="s">
        <v>2635</v>
      </c>
    </row>
    <row r="1774" spans="1:6" x14ac:dyDescent="0.25">
      <c r="A1774" t="s">
        <v>4200</v>
      </c>
      <c r="B1774" t="s">
        <v>2636</v>
      </c>
      <c r="C1774" t="s">
        <v>2637</v>
      </c>
      <c r="D1774" t="str">
        <f>HYPERLINK("http://service.sap.com/sap/support/notes/1741514","1741514")</f>
        <v>1741514</v>
      </c>
      <c r="E1774">
        <v>1</v>
      </c>
      <c r="F1774" t="s">
        <v>2638</v>
      </c>
    </row>
    <row r="1775" spans="1:6" x14ac:dyDescent="0.25">
      <c r="A1775" t="s">
        <v>4200</v>
      </c>
      <c r="B1775" t="s">
        <v>2636</v>
      </c>
      <c r="C1775" t="s">
        <v>2637</v>
      </c>
      <c r="D1775" t="str">
        <f>HYPERLINK("http://service.sap.com/sap/support/notes/1750351","1750351")</f>
        <v>1750351</v>
      </c>
      <c r="E1775">
        <v>8</v>
      </c>
      <c r="F1775" t="s">
        <v>2639</v>
      </c>
    </row>
    <row r="1776" spans="1:6" x14ac:dyDescent="0.25">
      <c r="A1776" t="s">
        <v>4200</v>
      </c>
      <c r="B1776" t="s">
        <v>2636</v>
      </c>
      <c r="C1776" t="s">
        <v>2637</v>
      </c>
      <c r="D1776" t="str">
        <f>HYPERLINK("http://service.sap.com/sap/support/notes/1755475","1755475")</f>
        <v>1755475</v>
      </c>
      <c r="E1776">
        <v>2</v>
      </c>
      <c r="F1776" t="s">
        <v>2640</v>
      </c>
    </row>
    <row r="1777" spans="1:6" x14ac:dyDescent="0.25">
      <c r="A1777" t="s">
        <v>4200</v>
      </c>
      <c r="B1777" t="s">
        <v>2636</v>
      </c>
      <c r="C1777" t="s">
        <v>2637</v>
      </c>
      <c r="D1777" t="str">
        <f>HYPERLINK("http://service.sap.com/sap/support/notes/1757087","1757087")</f>
        <v>1757087</v>
      </c>
      <c r="E1777">
        <v>3</v>
      </c>
      <c r="F1777" t="s">
        <v>2641</v>
      </c>
    </row>
    <row r="1778" spans="1:6" x14ac:dyDescent="0.25">
      <c r="A1778" t="s">
        <v>4200</v>
      </c>
      <c r="B1778" t="s">
        <v>2636</v>
      </c>
      <c r="C1778" t="s">
        <v>2637</v>
      </c>
      <c r="D1778" t="str">
        <f>HYPERLINK("http://service.sap.com/sap/support/notes/1763319","1763319")</f>
        <v>1763319</v>
      </c>
      <c r="E1778">
        <v>1</v>
      </c>
      <c r="F1778" t="s">
        <v>2642</v>
      </c>
    </row>
    <row r="1779" spans="1:6" x14ac:dyDescent="0.25">
      <c r="A1779" t="s">
        <v>4200</v>
      </c>
      <c r="B1779" t="s">
        <v>2643</v>
      </c>
      <c r="C1779" t="s">
        <v>2644</v>
      </c>
      <c r="D1779" t="str">
        <f>HYPERLINK("http://service.sap.com/sap/support/notes/1465802","1465802")</f>
        <v>1465802</v>
      </c>
      <c r="E1779">
        <v>2</v>
      </c>
      <c r="F1779" t="s">
        <v>2645</v>
      </c>
    </row>
    <row r="1780" spans="1:6" x14ac:dyDescent="0.25">
      <c r="A1780" t="s">
        <v>4200</v>
      </c>
      <c r="B1780" t="s">
        <v>2643</v>
      </c>
      <c r="C1780" t="s">
        <v>2644</v>
      </c>
      <c r="D1780" t="str">
        <f>HYPERLINK("http://service.sap.com/sap/support/notes/1730640","1730640")</f>
        <v>1730640</v>
      </c>
      <c r="E1780">
        <v>2</v>
      </c>
      <c r="F1780" t="s">
        <v>2646</v>
      </c>
    </row>
    <row r="1781" spans="1:6" x14ac:dyDescent="0.25">
      <c r="A1781" t="s">
        <v>4200</v>
      </c>
      <c r="B1781" t="s">
        <v>2647</v>
      </c>
      <c r="C1781" t="s">
        <v>2648</v>
      </c>
      <c r="D1781" t="str">
        <f>HYPERLINK("http://service.sap.com/sap/support/notes/1739538","1739538")</f>
        <v>1739538</v>
      </c>
      <c r="E1781">
        <v>1</v>
      </c>
      <c r="F1781" t="s">
        <v>2649</v>
      </c>
    </row>
    <row r="1782" spans="1:6" x14ac:dyDescent="0.25">
      <c r="A1782" t="s">
        <v>4200</v>
      </c>
      <c r="B1782" t="s">
        <v>2647</v>
      </c>
      <c r="C1782" t="s">
        <v>2648</v>
      </c>
      <c r="D1782" t="str">
        <f>HYPERLINK("http://service.sap.com/sap/support/notes/1746539","1746539")</f>
        <v>1746539</v>
      </c>
      <c r="E1782">
        <v>1</v>
      </c>
      <c r="F1782" t="s">
        <v>2650</v>
      </c>
    </row>
    <row r="1783" spans="1:6" x14ac:dyDescent="0.25">
      <c r="A1783" t="s">
        <v>4200</v>
      </c>
      <c r="B1783" t="s">
        <v>2647</v>
      </c>
      <c r="C1783" t="s">
        <v>2648</v>
      </c>
      <c r="D1783" t="str">
        <f>HYPERLINK("http://service.sap.com/sap/support/notes/1759689","1759689")</f>
        <v>1759689</v>
      </c>
      <c r="E1783">
        <v>2</v>
      </c>
      <c r="F1783" t="s">
        <v>2651</v>
      </c>
    </row>
    <row r="1784" spans="1:6" x14ac:dyDescent="0.25">
      <c r="A1784" t="s">
        <v>4200</v>
      </c>
      <c r="B1784" t="s">
        <v>2647</v>
      </c>
      <c r="C1784" t="s">
        <v>2648</v>
      </c>
      <c r="D1784" t="str">
        <f>HYPERLINK("http://service.sap.com/sap/support/notes/1763145","1763145")</f>
        <v>1763145</v>
      </c>
      <c r="E1784">
        <v>1</v>
      </c>
      <c r="F1784" t="s">
        <v>2652</v>
      </c>
    </row>
    <row r="1785" spans="1:6" x14ac:dyDescent="0.25">
      <c r="A1785" t="s">
        <v>4200</v>
      </c>
      <c r="B1785" t="s">
        <v>2647</v>
      </c>
      <c r="C1785" t="s">
        <v>2648</v>
      </c>
      <c r="D1785" t="str">
        <f>HYPERLINK("http://service.sap.com/sap/support/notes/1766886","1766886")</f>
        <v>1766886</v>
      </c>
      <c r="E1785">
        <v>1</v>
      </c>
      <c r="F1785" t="s">
        <v>2653</v>
      </c>
    </row>
    <row r="1786" spans="1:6" x14ac:dyDescent="0.25">
      <c r="A1786" t="s">
        <v>4200</v>
      </c>
      <c r="B1786" t="s">
        <v>2654</v>
      </c>
      <c r="C1786" t="s">
        <v>2655</v>
      </c>
      <c r="D1786" t="str">
        <f>HYPERLINK("http://service.sap.com/sap/support/notes/1731736","1731736")</f>
        <v>1731736</v>
      </c>
      <c r="E1786">
        <v>1</v>
      </c>
      <c r="F1786" t="s">
        <v>2656</v>
      </c>
    </row>
    <row r="1787" spans="1:6" x14ac:dyDescent="0.25">
      <c r="A1787" t="s">
        <v>4200</v>
      </c>
      <c r="B1787" t="s">
        <v>2654</v>
      </c>
      <c r="C1787" t="s">
        <v>2655</v>
      </c>
      <c r="D1787" t="str">
        <f>HYPERLINK("http://service.sap.com/sap/support/notes/1742436","1742436")</f>
        <v>1742436</v>
      </c>
      <c r="E1787">
        <v>2</v>
      </c>
      <c r="F1787" t="s">
        <v>2657</v>
      </c>
    </row>
    <row r="1788" spans="1:6" x14ac:dyDescent="0.25">
      <c r="A1788" t="s">
        <v>4200</v>
      </c>
      <c r="B1788" t="s">
        <v>2658</v>
      </c>
      <c r="C1788" t="s">
        <v>2659</v>
      </c>
      <c r="D1788" t="str">
        <f>HYPERLINK("http://service.sap.com/sap/support/notes/1741119","1741119")</f>
        <v>1741119</v>
      </c>
      <c r="E1788">
        <v>3</v>
      </c>
      <c r="F1788" t="s">
        <v>2660</v>
      </c>
    </row>
    <row r="1789" spans="1:6" x14ac:dyDescent="0.25">
      <c r="A1789" t="s">
        <v>4200</v>
      </c>
      <c r="B1789" t="s">
        <v>2661</v>
      </c>
      <c r="C1789" t="s">
        <v>2662</v>
      </c>
      <c r="D1789" t="str">
        <f>HYPERLINK("http://service.sap.com/sap/support/notes/1528634","1528634")</f>
        <v>1528634</v>
      </c>
      <c r="E1789">
        <v>13</v>
      </c>
      <c r="F1789" t="s">
        <v>2663</v>
      </c>
    </row>
    <row r="1790" spans="1:6" x14ac:dyDescent="0.25">
      <c r="A1790" t="s">
        <v>4200</v>
      </c>
      <c r="B1790" t="s">
        <v>2661</v>
      </c>
      <c r="C1790" t="s">
        <v>2662</v>
      </c>
      <c r="D1790" t="str">
        <f>HYPERLINK("http://service.sap.com/sap/support/notes/1651843","1651843")</f>
        <v>1651843</v>
      </c>
      <c r="E1790">
        <v>2</v>
      </c>
      <c r="F1790" t="s">
        <v>2664</v>
      </c>
    </row>
    <row r="1791" spans="1:6" x14ac:dyDescent="0.25">
      <c r="A1791" t="s">
        <v>4200</v>
      </c>
      <c r="B1791" t="s">
        <v>2661</v>
      </c>
      <c r="C1791" t="s">
        <v>2662</v>
      </c>
      <c r="D1791" t="str">
        <f>HYPERLINK("http://service.sap.com/sap/support/notes/1696589","1696589")</f>
        <v>1696589</v>
      </c>
      <c r="E1791">
        <v>2</v>
      </c>
      <c r="F1791" t="s">
        <v>2665</v>
      </c>
    </row>
    <row r="1792" spans="1:6" x14ac:dyDescent="0.25">
      <c r="A1792" t="s">
        <v>4200</v>
      </c>
      <c r="B1792" t="s">
        <v>2666</v>
      </c>
      <c r="C1792" t="s">
        <v>2667</v>
      </c>
      <c r="D1792" t="str">
        <f>HYPERLINK("http://service.sap.com/sap/support/notes/1757383","1757383")</f>
        <v>1757383</v>
      </c>
      <c r="E1792">
        <v>1</v>
      </c>
      <c r="F1792" t="s">
        <v>2668</v>
      </c>
    </row>
    <row r="1793" spans="1:6" x14ac:dyDescent="0.25">
      <c r="A1793" t="s">
        <v>4200</v>
      </c>
      <c r="B1793" t="s">
        <v>2669</v>
      </c>
      <c r="C1793" t="s">
        <v>2670</v>
      </c>
      <c r="D1793" t="str">
        <f>HYPERLINK("http://service.sap.com/sap/support/notes/1697623","1697623")</f>
        <v>1697623</v>
      </c>
      <c r="E1793">
        <v>1</v>
      </c>
      <c r="F1793" t="s">
        <v>2671</v>
      </c>
    </row>
    <row r="1794" spans="1:6" x14ac:dyDescent="0.25">
      <c r="A1794" t="s">
        <v>4200</v>
      </c>
      <c r="B1794" t="s">
        <v>2669</v>
      </c>
      <c r="C1794" t="s">
        <v>2670</v>
      </c>
      <c r="D1794" t="str">
        <f>HYPERLINK("http://service.sap.com/sap/support/notes/1727069","1727069")</f>
        <v>1727069</v>
      </c>
      <c r="E1794">
        <v>2</v>
      </c>
      <c r="F1794" t="s">
        <v>2672</v>
      </c>
    </row>
    <row r="1795" spans="1:6" x14ac:dyDescent="0.25">
      <c r="A1795" t="s">
        <v>4200</v>
      </c>
      <c r="B1795" t="s">
        <v>2669</v>
      </c>
      <c r="C1795" t="s">
        <v>2670</v>
      </c>
      <c r="D1795" t="str">
        <f>HYPERLINK("http://service.sap.com/sap/support/notes/1735943","1735943")</f>
        <v>1735943</v>
      </c>
      <c r="E1795">
        <v>2</v>
      </c>
      <c r="F1795" t="s">
        <v>2673</v>
      </c>
    </row>
    <row r="1796" spans="1:6" x14ac:dyDescent="0.25">
      <c r="A1796" t="s">
        <v>4200</v>
      </c>
      <c r="B1796" t="s">
        <v>2669</v>
      </c>
      <c r="C1796" t="s">
        <v>2670</v>
      </c>
      <c r="D1796" t="str">
        <f>HYPERLINK("http://service.sap.com/sap/support/notes/1748345","1748345")</f>
        <v>1748345</v>
      </c>
      <c r="E1796">
        <v>2</v>
      </c>
      <c r="F1796" t="s">
        <v>2674</v>
      </c>
    </row>
    <row r="1797" spans="1:6" x14ac:dyDescent="0.25">
      <c r="A1797" t="s">
        <v>4200</v>
      </c>
      <c r="B1797" t="s">
        <v>2669</v>
      </c>
      <c r="C1797" t="s">
        <v>2670</v>
      </c>
      <c r="D1797" t="str">
        <f>HYPERLINK("http://service.sap.com/sap/support/notes/1749775","1749775")</f>
        <v>1749775</v>
      </c>
      <c r="E1797">
        <v>2</v>
      </c>
      <c r="F1797" t="s">
        <v>2675</v>
      </c>
    </row>
    <row r="1798" spans="1:6" x14ac:dyDescent="0.25">
      <c r="A1798" t="s">
        <v>4200</v>
      </c>
      <c r="B1798" t="s">
        <v>2669</v>
      </c>
      <c r="C1798" t="s">
        <v>2670</v>
      </c>
      <c r="D1798" t="str">
        <f>HYPERLINK("http://service.sap.com/sap/support/notes/1752714","1752714")</f>
        <v>1752714</v>
      </c>
      <c r="E1798">
        <v>1</v>
      </c>
      <c r="F1798" t="s">
        <v>2676</v>
      </c>
    </row>
    <row r="1799" spans="1:6" x14ac:dyDescent="0.25">
      <c r="A1799" t="s">
        <v>4200</v>
      </c>
      <c r="B1799" t="s">
        <v>2669</v>
      </c>
      <c r="C1799" t="s">
        <v>2670</v>
      </c>
      <c r="D1799" t="str">
        <f>HYPERLINK("http://service.sap.com/sap/support/notes/1756952","1756952")</f>
        <v>1756952</v>
      </c>
      <c r="E1799">
        <v>2</v>
      </c>
      <c r="F1799" t="s">
        <v>2677</v>
      </c>
    </row>
    <row r="1800" spans="1:6" x14ac:dyDescent="0.25">
      <c r="A1800" t="s">
        <v>4200</v>
      </c>
      <c r="B1800" t="s">
        <v>2669</v>
      </c>
      <c r="C1800" t="s">
        <v>2670</v>
      </c>
      <c r="D1800" t="str">
        <f>HYPERLINK("http://service.sap.com/sap/support/notes/1760317","1760317")</f>
        <v>1760317</v>
      </c>
      <c r="E1800">
        <v>1</v>
      </c>
      <c r="F1800" t="s">
        <v>2678</v>
      </c>
    </row>
    <row r="1801" spans="1:6" x14ac:dyDescent="0.25">
      <c r="A1801" t="s">
        <v>4200</v>
      </c>
      <c r="B1801" t="s">
        <v>2669</v>
      </c>
      <c r="C1801" t="s">
        <v>2670</v>
      </c>
      <c r="D1801" t="str">
        <f>HYPERLINK("http://service.sap.com/sap/support/notes/1761326","1761326")</f>
        <v>1761326</v>
      </c>
      <c r="E1801">
        <v>1</v>
      </c>
      <c r="F1801" t="s">
        <v>2679</v>
      </c>
    </row>
    <row r="1802" spans="1:6" x14ac:dyDescent="0.25">
      <c r="A1802" t="s">
        <v>4200</v>
      </c>
      <c r="B1802" t="s">
        <v>2680</v>
      </c>
      <c r="C1802" t="s">
        <v>2681</v>
      </c>
      <c r="D1802" t="str">
        <f>HYPERLINK("http://service.sap.com/sap/support/notes/1749805","1749805")</f>
        <v>1749805</v>
      </c>
      <c r="E1802">
        <v>1</v>
      </c>
      <c r="F1802" t="s">
        <v>2682</v>
      </c>
    </row>
    <row r="1803" spans="1:6" x14ac:dyDescent="0.25">
      <c r="A1803" t="s">
        <v>4200</v>
      </c>
      <c r="B1803" t="s">
        <v>2680</v>
      </c>
      <c r="C1803" t="s">
        <v>2681</v>
      </c>
      <c r="D1803" t="str">
        <f>HYPERLINK("http://service.sap.com/sap/support/notes/1750185","1750185")</f>
        <v>1750185</v>
      </c>
      <c r="E1803">
        <v>2</v>
      </c>
      <c r="F1803" t="s">
        <v>2683</v>
      </c>
    </row>
    <row r="1804" spans="1:6" x14ac:dyDescent="0.25">
      <c r="A1804" t="s">
        <v>4200</v>
      </c>
      <c r="B1804" t="s">
        <v>2684</v>
      </c>
      <c r="C1804" t="s">
        <v>2685</v>
      </c>
      <c r="D1804" t="str">
        <f>HYPERLINK("http://service.sap.com/sap/support/notes/1582096","1582096")</f>
        <v>1582096</v>
      </c>
      <c r="E1804">
        <v>3</v>
      </c>
      <c r="F1804" t="s">
        <v>2686</v>
      </c>
    </row>
    <row r="1805" spans="1:6" x14ac:dyDescent="0.25">
      <c r="A1805" t="s">
        <v>4200</v>
      </c>
      <c r="B1805" t="s">
        <v>2684</v>
      </c>
      <c r="C1805" t="s">
        <v>2685</v>
      </c>
      <c r="D1805" t="str">
        <f>HYPERLINK("http://service.sap.com/sap/support/notes/1692364","1692364")</f>
        <v>1692364</v>
      </c>
      <c r="E1805">
        <v>2</v>
      </c>
      <c r="F1805" t="s">
        <v>2687</v>
      </c>
    </row>
    <row r="1806" spans="1:6" x14ac:dyDescent="0.25">
      <c r="A1806" t="s">
        <v>4200</v>
      </c>
      <c r="B1806" t="s">
        <v>2684</v>
      </c>
      <c r="C1806" t="s">
        <v>2685</v>
      </c>
      <c r="D1806" t="str">
        <f>HYPERLINK("http://service.sap.com/sap/support/notes/1694621","1694621")</f>
        <v>1694621</v>
      </c>
      <c r="E1806">
        <v>3</v>
      </c>
      <c r="F1806" t="s">
        <v>2688</v>
      </c>
    </row>
    <row r="1807" spans="1:6" x14ac:dyDescent="0.25">
      <c r="A1807" t="s">
        <v>4200</v>
      </c>
      <c r="B1807" t="s">
        <v>2684</v>
      </c>
      <c r="C1807" t="s">
        <v>2685</v>
      </c>
      <c r="D1807" t="str">
        <f>HYPERLINK("http://service.sap.com/sap/support/notes/1699420","1699420")</f>
        <v>1699420</v>
      </c>
      <c r="E1807">
        <v>2</v>
      </c>
      <c r="F1807" t="s">
        <v>2689</v>
      </c>
    </row>
    <row r="1808" spans="1:6" x14ac:dyDescent="0.25">
      <c r="A1808" t="s">
        <v>4200</v>
      </c>
      <c r="B1808" t="s">
        <v>2684</v>
      </c>
      <c r="C1808" t="s">
        <v>2685</v>
      </c>
      <c r="D1808" t="str">
        <f>HYPERLINK("http://service.sap.com/sap/support/notes/1704722","1704722")</f>
        <v>1704722</v>
      </c>
      <c r="E1808">
        <v>7</v>
      </c>
      <c r="F1808" t="s">
        <v>2690</v>
      </c>
    </row>
    <row r="1809" spans="1:6" x14ac:dyDescent="0.25">
      <c r="A1809" t="s">
        <v>4200</v>
      </c>
      <c r="B1809" t="s">
        <v>2684</v>
      </c>
      <c r="C1809" t="s">
        <v>2685</v>
      </c>
      <c r="D1809" t="str">
        <f>HYPERLINK("http://service.sap.com/sap/support/notes/1705553","1705553")</f>
        <v>1705553</v>
      </c>
      <c r="E1809">
        <v>4</v>
      </c>
      <c r="F1809" t="s">
        <v>2691</v>
      </c>
    </row>
    <row r="1810" spans="1:6" x14ac:dyDescent="0.25">
      <c r="A1810" t="s">
        <v>4200</v>
      </c>
      <c r="B1810" t="s">
        <v>2684</v>
      </c>
      <c r="C1810" t="s">
        <v>2685</v>
      </c>
      <c r="D1810" t="str">
        <f>HYPERLINK("http://service.sap.com/sap/support/notes/1707441","1707441")</f>
        <v>1707441</v>
      </c>
      <c r="E1810">
        <v>2</v>
      </c>
      <c r="F1810" t="s">
        <v>2692</v>
      </c>
    </row>
    <row r="1811" spans="1:6" x14ac:dyDescent="0.25">
      <c r="A1811" t="s">
        <v>4200</v>
      </c>
      <c r="B1811" t="s">
        <v>2684</v>
      </c>
      <c r="C1811" t="s">
        <v>2685</v>
      </c>
      <c r="D1811" t="str">
        <f>HYPERLINK("http://service.sap.com/sap/support/notes/1713296","1713296")</f>
        <v>1713296</v>
      </c>
      <c r="E1811">
        <v>3</v>
      </c>
      <c r="F1811" t="s">
        <v>2693</v>
      </c>
    </row>
    <row r="1812" spans="1:6" x14ac:dyDescent="0.25">
      <c r="A1812" t="s">
        <v>4200</v>
      </c>
      <c r="B1812" t="s">
        <v>2684</v>
      </c>
      <c r="C1812" t="s">
        <v>2685</v>
      </c>
      <c r="D1812" t="str">
        <f>HYPERLINK("http://service.sap.com/sap/support/notes/1727184","1727184")</f>
        <v>1727184</v>
      </c>
      <c r="E1812">
        <v>1</v>
      </c>
      <c r="F1812" t="s">
        <v>2694</v>
      </c>
    </row>
    <row r="1813" spans="1:6" x14ac:dyDescent="0.25">
      <c r="A1813" t="s">
        <v>4200</v>
      </c>
      <c r="B1813" t="s">
        <v>2684</v>
      </c>
      <c r="C1813" t="s">
        <v>2685</v>
      </c>
      <c r="D1813" t="str">
        <f>HYPERLINK("http://service.sap.com/sap/support/notes/1733447","1733447")</f>
        <v>1733447</v>
      </c>
      <c r="E1813">
        <v>1</v>
      </c>
      <c r="F1813" t="s">
        <v>2695</v>
      </c>
    </row>
    <row r="1814" spans="1:6" x14ac:dyDescent="0.25">
      <c r="A1814" t="s">
        <v>4200</v>
      </c>
      <c r="B1814" t="s">
        <v>2684</v>
      </c>
      <c r="C1814" t="s">
        <v>2685</v>
      </c>
      <c r="D1814" t="str">
        <f>HYPERLINK("http://service.sap.com/sap/support/notes/1733631","1733631")</f>
        <v>1733631</v>
      </c>
      <c r="E1814">
        <v>3</v>
      </c>
      <c r="F1814" t="s">
        <v>2696</v>
      </c>
    </row>
    <row r="1815" spans="1:6" x14ac:dyDescent="0.25">
      <c r="A1815" t="s">
        <v>4200</v>
      </c>
      <c r="B1815" t="s">
        <v>2684</v>
      </c>
      <c r="C1815" t="s">
        <v>2685</v>
      </c>
      <c r="D1815" t="str">
        <f>HYPERLINK("http://service.sap.com/sap/support/notes/1734395","1734395")</f>
        <v>1734395</v>
      </c>
      <c r="E1815">
        <v>1</v>
      </c>
      <c r="F1815" t="s">
        <v>2697</v>
      </c>
    </row>
    <row r="1816" spans="1:6" x14ac:dyDescent="0.25">
      <c r="A1816" t="s">
        <v>4200</v>
      </c>
      <c r="B1816" t="s">
        <v>2684</v>
      </c>
      <c r="C1816" t="s">
        <v>2685</v>
      </c>
      <c r="D1816" t="str">
        <f>HYPERLINK("http://service.sap.com/sap/support/notes/1738752","1738752")</f>
        <v>1738752</v>
      </c>
      <c r="E1816">
        <v>2</v>
      </c>
      <c r="F1816" t="s">
        <v>2698</v>
      </c>
    </row>
    <row r="1817" spans="1:6" x14ac:dyDescent="0.25">
      <c r="A1817" t="s">
        <v>4200</v>
      </c>
      <c r="B1817" t="s">
        <v>2684</v>
      </c>
      <c r="C1817" t="s">
        <v>2685</v>
      </c>
      <c r="D1817" t="str">
        <f>HYPERLINK("http://service.sap.com/sap/support/notes/1741668","1741668")</f>
        <v>1741668</v>
      </c>
      <c r="E1817">
        <v>1</v>
      </c>
      <c r="F1817" t="s">
        <v>2699</v>
      </c>
    </row>
    <row r="1818" spans="1:6" x14ac:dyDescent="0.25">
      <c r="A1818" t="s">
        <v>4200</v>
      </c>
      <c r="B1818" t="s">
        <v>2684</v>
      </c>
      <c r="C1818" t="s">
        <v>2685</v>
      </c>
      <c r="D1818" t="str">
        <f>HYPERLINK("http://service.sap.com/sap/support/notes/1741723","1741723")</f>
        <v>1741723</v>
      </c>
      <c r="E1818">
        <v>1</v>
      </c>
      <c r="F1818" t="s">
        <v>2700</v>
      </c>
    </row>
    <row r="1819" spans="1:6" x14ac:dyDescent="0.25">
      <c r="A1819" t="s">
        <v>4200</v>
      </c>
      <c r="B1819" t="s">
        <v>2684</v>
      </c>
      <c r="C1819" t="s">
        <v>2685</v>
      </c>
      <c r="D1819" t="str">
        <f>HYPERLINK("http://service.sap.com/sap/support/notes/1742149","1742149")</f>
        <v>1742149</v>
      </c>
      <c r="E1819">
        <v>1</v>
      </c>
      <c r="F1819" t="s">
        <v>2701</v>
      </c>
    </row>
    <row r="1820" spans="1:6" x14ac:dyDescent="0.25">
      <c r="A1820" t="s">
        <v>4200</v>
      </c>
      <c r="B1820" t="s">
        <v>2684</v>
      </c>
      <c r="C1820" t="s">
        <v>2685</v>
      </c>
      <c r="D1820" t="str">
        <f>HYPERLINK("http://service.sap.com/sap/support/notes/1742543","1742543")</f>
        <v>1742543</v>
      </c>
      <c r="E1820">
        <v>2</v>
      </c>
      <c r="F1820" t="s">
        <v>2702</v>
      </c>
    </row>
    <row r="1821" spans="1:6" x14ac:dyDescent="0.25">
      <c r="A1821" t="s">
        <v>4200</v>
      </c>
      <c r="B1821" t="s">
        <v>2684</v>
      </c>
      <c r="C1821" t="s">
        <v>2685</v>
      </c>
      <c r="D1821" t="str">
        <f>HYPERLINK("http://service.sap.com/sap/support/notes/1743402","1743402")</f>
        <v>1743402</v>
      </c>
      <c r="E1821">
        <v>1</v>
      </c>
      <c r="F1821" t="s">
        <v>2703</v>
      </c>
    </row>
    <row r="1822" spans="1:6" x14ac:dyDescent="0.25">
      <c r="A1822" t="s">
        <v>4200</v>
      </c>
      <c r="B1822" t="s">
        <v>2684</v>
      </c>
      <c r="C1822" t="s">
        <v>2685</v>
      </c>
      <c r="D1822" t="str">
        <f>HYPERLINK("http://service.sap.com/sap/support/notes/1743439","1743439")</f>
        <v>1743439</v>
      </c>
      <c r="E1822">
        <v>1</v>
      </c>
      <c r="F1822" t="s">
        <v>2704</v>
      </c>
    </row>
    <row r="1823" spans="1:6" x14ac:dyDescent="0.25">
      <c r="A1823" t="s">
        <v>4200</v>
      </c>
      <c r="B1823" t="s">
        <v>2684</v>
      </c>
      <c r="C1823" t="s">
        <v>2685</v>
      </c>
      <c r="D1823" t="str">
        <f>HYPERLINK("http://service.sap.com/sap/support/notes/1744721","1744721")</f>
        <v>1744721</v>
      </c>
      <c r="E1823">
        <v>1</v>
      </c>
      <c r="F1823" t="s">
        <v>2705</v>
      </c>
    </row>
    <row r="1824" spans="1:6" x14ac:dyDescent="0.25">
      <c r="A1824" t="s">
        <v>4200</v>
      </c>
      <c r="B1824" t="s">
        <v>2684</v>
      </c>
      <c r="C1824" t="s">
        <v>2685</v>
      </c>
      <c r="D1824" t="str">
        <f>HYPERLINK("http://service.sap.com/sap/support/notes/1747826","1747826")</f>
        <v>1747826</v>
      </c>
      <c r="E1824">
        <v>1</v>
      </c>
      <c r="F1824" t="s">
        <v>2706</v>
      </c>
    </row>
    <row r="1825" spans="1:6" x14ac:dyDescent="0.25">
      <c r="A1825" t="s">
        <v>4200</v>
      </c>
      <c r="B1825" t="s">
        <v>2684</v>
      </c>
      <c r="C1825" t="s">
        <v>2685</v>
      </c>
      <c r="D1825" t="str">
        <f>HYPERLINK("http://service.sap.com/sap/support/notes/1747953","1747953")</f>
        <v>1747953</v>
      </c>
      <c r="E1825">
        <v>3</v>
      </c>
      <c r="F1825" t="s">
        <v>2707</v>
      </c>
    </row>
    <row r="1826" spans="1:6" x14ac:dyDescent="0.25">
      <c r="A1826" t="s">
        <v>4200</v>
      </c>
      <c r="B1826" t="s">
        <v>2684</v>
      </c>
      <c r="C1826" t="s">
        <v>2685</v>
      </c>
      <c r="D1826" t="str">
        <f>HYPERLINK("http://service.sap.com/sap/support/notes/1748328","1748328")</f>
        <v>1748328</v>
      </c>
      <c r="E1826">
        <v>1</v>
      </c>
      <c r="F1826" t="s">
        <v>2708</v>
      </c>
    </row>
    <row r="1827" spans="1:6" x14ac:dyDescent="0.25">
      <c r="A1827" t="s">
        <v>4200</v>
      </c>
      <c r="B1827" t="s">
        <v>2684</v>
      </c>
      <c r="C1827" t="s">
        <v>2685</v>
      </c>
      <c r="D1827" t="str">
        <f>HYPERLINK("http://service.sap.com/sap/support/notes/1750242","1750242")</f>
        <v>1750242</v>
      </c>
      <c r="E1827">
        <v>2</v>
      </c>
      <c r="F1827" t="s">
        <v>2709</v>
      </c>
    </row>
    <row r="1828" spans="1:6" x14ac:dyDescent="0.25">
      <c r="A1828" t="s">
        <v>4200</v>
      </c>
      <c r="B1828" t="s">
        <v>2684</v>
      </c>
      <c r="C1828" t="s">
        <v>2685</v>
      </c>
      <c r="D1828" t="str">
        <f>HYPERLINK("http://service.sap.com/sap/support/notes/1753084","1753084")</f>
        <v>1753084</v>
      </c>
      <c r="E1828">
        <v>6</v>
      </c>
      <c r="F1828" t="s">
        <v>2710</v>
      </c>
    </row>
    <row r="1829" spans="1:6" x14ac:dyDescent="0.25">
      <c r="A1829" t="s">
        <v>4200</v>
      </c>
      <c r="B1829" t="s">
        <v>2684</v>
      </c>
      <c r="C1829" t="s">
        <v>2685</v>
      </c>
      <c r="D1829" t="str">
        <f>HYPERLINK("http://service.sap.com/sap/support/notes/1755559","1755559")</f>
        <v>1755559</v>
      </c>
      <c r="E1829">
        <v>1</v>
      </c>
      <c r="F1829" t="s">
        <v>2711</v>
      </c>
    </row>
    <row r="1830" spans="1:6" x14ac:dyDescent="0.25">
      <c r="A1830" t="s">
        <v>4200</v>
      </c>
      <c r="B1830" t="s">
        <v>2684</v>
      </c>
      <c r="C1830" t="s">
        <v>2685</v>
      </c>
      <c r="D1830" t="str">
        <f>HYPERLINK("http://service.sap.com/sap/support/notes/1757692","1757692")</f>
        <v>1757692</v>
      </c>
      <c r="E1830">
        <v>1</v>
      </c>
      <c r="F1830" t="s">
        <v>2712</v>
      </c>
    </row>
    <row r="1831" spans="1:6" x14ac:dyDescent="0.25">
      <c r="A1831" t="s">
        <v>4200</v>
      </c>
      <c r="B1831" t="s">
        <v>2684</v>
      </c>
      <c r="C1831" t="s">
        <v>2685</v>
      </c>
      <c r="D1831" t="str">
        <f>HYPERLINK("http://service.sap.com/sap/support/notes/1761609","1761609")</f>
        <v>1761609</v>
      </c>
      <c r="E1831">
        <v>1</v>
      </c>
      <c r="F1831" t="s">
        <v>2713</v>
      </c>
    </row>
    <row r="1832" spans="1:6" x14ac:dyDescent="0.25">
      <c r="A1832" t="s">
        <v>4200</v>
      </c>
      <c r="B1832" t="s">
        <v>2684</v>
      </c>
      <c r="C1832" t="s">
        <v>2685</v>
      </c>
      <c r="D1832" t="str">
        <f>HYPERLINK("http://service.sap.com/sap/support/notes/1763214","1763214")</f>
        <v>1763214</v>
      </c>
      <c r="E1832">
        <v>1</v>
      </c>
      <c r="F1832" t="s">
        <v>2714</v>
      </c>
    </row>
    <row r="1833" spans="1:6" x14ac:dyDescent="0.25">
      <c r="A1833" t="s">
        <v>4200</v>
      </c>
      <c r="B1833" t="s">
        <v>2684</v>
      </c>
      <c r="C1833" t="s">
        <v>2685</v>
      </c>
      <c r="D1833" t="str">
        <f>HYPERLINK("http://service.sap.com/sap/support/notes/1765133","1765133")</f>
        <v>1765133</v>
      </c>
      <c r="E1833">
        <v>1</v>
      </c>
      <c r="F1833" t="s">
        <v>2715</v>
      </c>
    </row>
    <row r="1834" spans="1:6" x14ac:dyDescent="0.25">
      <c r="A1834" t="s">
        <v>4200</v>
      </c>
      <c r="B1834" t="s">
        <v>2716</v>
      </c>
      <c r="C1834" t="s">
        <v>183</v>
      </c>
      <c r="D1834" t="str">
        <f>HYPERLINK("http://service.sap.com/sap/support/notes/1752254","1752254")</f>
        <v>1752254</v>
      </c>
      <c r="E1834">
        <v>1</v>
      </c>
      <c r="F1834" t="s">
        <v>2717</v>
      </c>
    </row>
    <row r="1835" spans="1:6" x14ac:dyDescent="0.25">
      <c r="A1835" t="s">
        <v>4200</v>
      </c>
      <c r="B1835" t="s">
        <v>2716</v>
      </c>
      <c r="C1835" t="s">
        <v>183</v>
      </c>
      <c r="D1835" t="str">
        <f>HYPERLINK("http://service.sap.com/sap/support/notes/1755546","1755546")</f>
        <v>1755546</v>
      </c>
      <c r="E1835">
        <v>1</v>
      </c>
      <c r="F1835" t="s">
        <v>2718</v>
      </c>
    </row>
    <row r="1836" spans="1:6" x14ac:dyDescent="0.25">
      <c r="A1836" t="s">
        <v>4200</v>
      </c>
      <c r="B1836" t="s">
        <v>2719</v>
      </c>
      <c r="C1836" t="s">
        <v>978</v>
      </c>
      <c r="D1836" t="str">
        <f>HYPERLINK("http://service.sap.com/sap/support/notes/1736540","1736540")</f>
        <v>1736540</v>
      </c>
      <c r="E1836">
        <v>3</v>
      </c>
      <c r="F1836" t="s">
        <v>2720</v>
      </c>
    </row>
    <row r="1837" spans="1:6" x14ac:dyDescent="0.25">
      <c r="A1837" t="s">
        <v>4200</v>
      </c>
      <c r="B1837" t="s">
        <v>2719</v>
      </c>
      <c r="C1837" t="s">
        <v>978</v>
      </c>
      <c r="D1837" t="str">
        <f>HYPERLINK("http://service.sap.com/sap/support/notes/1742752","1742752")</f>
        <v>1742752</v>
      </c>
      <c r="E1837">
        <v>2</v>
      </c>
      <c r="F1837" t="s">
        <v>2721</v>
      </c>
    </row>
    <row r="1838" spans="1:6" x14ac:dyDescent="0.25">
      <c r="A1838" t="s">
        <v>4200</v>
      </c>
      <c r="B1838" t="s">
        <v>2722</v>
      </c>
      <c r="C1838" t="s">
        <v>2723</v>
      </c>
      <c r="D1838" t="str">
        <f>HYPERLINK("http://service.sap.com/sap/support/notes/1713910","1713910")</f>
        <v>1713910</v>
      </c>
      <c r="E1838">
        <v>1</v>
      </c>
      <c r="F1838" t="s">
        <v>2724</v>
      </c>
    </row>
    <row r="1839" spans="1:6" x14ac:dyDescent="0.25">
      <c r="A1839" t="s">
        <v>4200</v>
      </c>
      <c r="B1839" t="s">
        <v>2725</v>
      </c>
      <c r="C1839" t="s">
        <v>2726</v>
      </c>
      <c r="D1839" t="str">
        <f>HYPERLINK("http://service.sap.com/sap/support/notes/1765478","1765478")</f>
        <v>1765478</v>
      </c>
      <c r="E1839">
        <v>2</v>
      </c>
      <c r="F1839" t="s">
        <v>2727</v>
      </c>
    </row>
    <row r="1840" spans="1:6" x14ac:dyDescent="0.25">
      <c r="A1840" t="s">
        <v>4200</v>
      </c>
      <c r="B1840" t="s">
        <v>2728</v>
      </c>
      <c r="C1840" t="s">
        <v>2729</v>
      </c>
      <c r="D1840" t="str">
        <f>HYPERLINK("http://service.sap.com/sap/support/notes/1730832","1730832")</f>
        <v>1730832</v>
      </c>
      <c r="E1840">
        <v>3</v>
      </c>
      <c r="F1840" t="s">
        <v>2730</v>
      </c>
    </row>
    <row r="1841" spans="1:6" x14ac:dyDescent="0.25">
      <c r="A1841" t="s">
        <v>4200</v>
      </c>
      <c r="B1841" t="s">
        <v>2728</v>
      </c>
      <c r="C1841" t="s">
        <v>2729</v>
      </c>
      <c r="D1841" t="str">
        <f>HYPERLINK("http://service.sap.com/sap/support/notes/1734955","1734955")</f>
        <v>1734955</v>
      </c>
      <c r="E1841">
        <v>1</v>
      </c>
      <c r="F1841" t="s">
        <v>2731</v>
      </c>
    </row>
    <row r="1842" spans="1:6" x14ac:dyDescent="0.25">
      <c r="A1842" t="s">
        <v>4200</v>
      </c>
      <c r="B1842" t="s">
        <v>2728</v>
      </c>
      <c r="C1842" t="s">
        <v>2729</v>
      </c>
      <c r="D1842" t="str">
        <f>HYPERLINK("http://service.sap.com/sap/support/notes/1745196","1745196")</f>
        <v>1745196</v>
      </c>
      <c r="E1842">
        <v>1</v>
      </c>
      <c r="F1842" t="s">
        <v>2732</v>
      </c>
    </row>
    <row r="1843" spans="1:6" x14ac:dyDescent="0.25">
      <c r="A1843" t="s">
        <v>4200</v>
      </c>
      <c r="B1843" t="s">
        <v>2728</v>
      </c>
      <c r="C1843" t="s">
        <v>2729</v>
      </c>
      <c r="D1843" t="str">
        <f>HYPERLINK("http://service.sap.com/sap/support/notes/1751581","1751581")</f>
        <v>1751581</v>
      </c>
      <c r="E1843">
        <v>1</v>
      </c>
      <c r="F1843" t="s">
        <v>2733</v>
      </c>
    </row>
    <row r="1844" spans="1:6" x14ac:dyDescent="0.25">
      <c r="A1844" t="s">
        <v>4200</v>
      </c>
      <c r="B1844" t="s">
        <v>2728</v>
      </c>
      <c r="C1844" t="s">
        <v>2729</v>
      </c>
      <c r="D1844" t="str">
        <f>HYPERLINK("http://service.sap.com/sap/support/notes/1754657","1754657")</f>
        <v>1754657</v>
      </c>
      <c r="E1844">
        <v>1</v>
      </c>
      <c r="F1844" t="s">
        <v>2734</v>
      </c>
    </row>
    <row r="1845" spans="1:6" x14ac:dyDescent="0.25">
      <c r="A1845" t="s">
        <v>4200</v>
      </c>
      <c r="B1845" t="s">
        <v>2728</v>
      </c>
      <c r="C1845" t="s">
        <v>2729</v>
      </c>
      <c r="D1845" t="str">
        <f>HYPERLINK("http://service.sap.com/sap/support/notes/1756023","1756023")</f>
        <v>1756023</v>
      </c>
      <c r="E1845">
        <v>3</v>
      </c>
      <c r="F1845" t="s">
        <v>2735</v>
      </c>
    </row>
    <row r="1846" spans="1:6" x14ac:dyDescent="0.25">
      <c r="A1846" t="s">
        <v>4200</v>
      </c>
      <c r="B1846" t="s">
        <v>2728</v>
      </c>
      <c r="C1846" t="s">
        <v>2729</v>
      </c>
      <c r="D1846" t="str">
        <f>HYPERLINK("http://service.sap.com/sap/support/notes/1764984","1764984")</f>
        <v>1764984</v>
      </c>
      <c r="E1846">
        <v>1</v>
      </c>
      <c r="F1846" t="s">
        <v>2736</v>
      </c>
    </row>
    <row r="1847" spans="1:6" x14ac:dyDescent="0.25">
      <c r="A1847" t="s">
        <v>4200</v>
      </c>
      <c r="B1847" t="s">
        <v>2737</v>
      </c>
      <c r="C1847" t="s">
        <v>2738</v>
      </c>
      <c r="D1847" t="str">
        <f>HYPERLINK("http://service.sap.com/sap/support/notes/1723538","1723538")</f>
        <v>1723538</v>
      </c>
      <c r="E1847">
        <v>2</v>
      </c>
      <c r="F1847" t="s">
        <v>2739</v>
      </c>
    </row>
    <row r="1848" spans="1:6" x14ac:dyDescent="0.25">
      <c r="A1848" t="s">
        <v>4200</v>
      </c>
      <c r="B1848" t="s">
        <v>2740</v>
      </c>
      <c r="C1848" t="s">
        <v>2741</v>
      </c>
      <c r="D1848" t="str">
        <f>HYPERLINK("http://service.sap.com/sap/support/notes/1696895","1696895")</f>
        <v>1696895</v>
      </c>
      <c r="E1848">
        <v>2</v>
      </c>
      <c r="F1848" t="s">
        <v>2742</v>
      </c>
    </row>
    <row r="1849" spans="1:6" x14ac:dyDescent="0.25">
      <c r="A1849" t="s">
        <v>4200</v>
      </c>
      <c r="B1849" t="s">
        <v>2743</v>
      </c>
      <c r="C1849" t="s">
        <v>2744</v>
      </c>
      <c r="D1849" t="str">
        <f>HYPERLINK("http://service.sap.com/sap/support/notes/1739102","1739102")</f>
        <v>1739102</v>
      </c>
      <c r="E1849">
        <v>1</v>
      </c>
      <c r="F1849" t="s">
        <v>2745</v>
      </c>
    </row>
    <row r="1850" spans="1:6" x14ac:dyDescent="0.25">
      <c r="A1850" t="s">
        <v>4200</v>
      </c>
      <c r="B1850" t="s">
        <v>2743</v>
      </c>
      <c r="C1850" t="s">
        <v>2744</v>
      </c>
      <c r="D1850" t="str">
        <f>HYPERLINK("http://service.sap.com/sap/support/notes/1747096","1747096")</f>
        <v>1747096</v>
      </c>
      <c r="E1850">
        <v>1</v>
      </c>
      <c r="F1850" t="s">
        <v>2746</v>
      </c>
    </row>
    <row r="1851" spans="1:6" x14ac:dyDescent="0.25">
      <c r="A1851" t="s">
        <v>4200</v>
      </c>
      <c r="B1851" t="s">
        <v>2743</v>
      </c>
      <c r="C1851" t="s">
        <v>2744</v>
      </c>
      <c r="D1851" t="str">
        <f>HYPERLINK("http://service.sap.com/sap/support/notes/1751209","1751209")</f>
        <v>1751209</v>
      </c>
      <c r="E1851">
        <v>1</v>
      </c>
      <c r="F1851" t="s">
        <v>2747</v>
      </c>
    </row>
    <row r="1852" spans="1:6" x14ac:dyDescent="0.25">
      <c r="A1852" t="s">
        <v>4200</v>
      </c>
      <c r="B1852" t="s">
        <v>2748</v>
      </c>
      <c r="C1852" t="s">
        <v>238</v>
      </c>
    </row>
    <row r="1853" spans="1:6" x14ac:dyDescent="0.25">
      <c r="A1853" t="s">
        <v>4200</v>
      </c>
      <c r="B1853" t="s">
        <v>2749</v>
      </c>
      <c r="C1853" t="s">
        <v>1588</v>
      </c>
    </row>
    <row r="1854" spans="1:6" x14ac:dyDescent="0.25">
      <c r="A1854" t="s">
        <v>4200</v>
      </c>
      <c r="B1854" t="s">
        <v>2750</v>
      </c>
      <c r="C1854" t="s">
        <v>2751</v>
      </c>
      <c r="D1854" t="str">
        <f>HYPERLINK("http://service.sap.com/sap/support/notes/1713302","1713302")</f>
        <v>1713302</v>
      </c>
      <c r="E1854">
        <v>1</v>
      </c>
      <c r="F1854" t="s">
        <v>2752</v>
      </c>
    </row>
    <row r="1855" spans="1:6" x14ac:dyDescent="0.25">
      <c r="A1855" t="s">
        <v>4200</v>
      </c>
      <c r="B1855" t="s">
        <v>2750</v>
      </c>
      <c r="C1855" t="s">
        <v>2751</v>
      </c>
      <c r="D1855" t="str">
        <f>HYPERLINK("http://service.sap.com/sap/support/notes/1721894","1721894")</f>
        <v>1721894</v>
      </c>
      <c r="E1855">
        <v>2</v>
      </c>
      <c r="F1855" t="s">
        <v>2753</v>
      </c>
    </row>
    <row r="1856" spans="1:6" x14ac:dyDescent="0.25">
      <c r="A1856" t="s">
        <v>4200</v>
      </c>
      <c r="B1856" t="s">
        <v>2750</v>
      </c>
      <c r="C1856" t="s">
        <v>2751</v>
      </c>
      <c r="D1856" t="str">
        <f>HYPERLINK("http://service.sap.com/sap/support/notes/1722671","1722671")</f>
        <v>1722671</v>
      </c>
      <c r="E1856">
        <v>1</v>
      </c>
      <c r="F1856" t="s">
        <v>2754</v>
      </c>
    </row>
    <row r="1857" spans="1:6" x14ac:dyDescent="0.25">
      <c r="A1857" t="s">
        <v>4200</v>
      </c>
      <c r="B1857" t="s">
        <v>2755</v>
      </c>
      <c r="C1857" t="s">
        <v>2756</v>
      </c>
      <c r="D1857" t="str">
        <f>HYPERLINK("http://service.sap.com/sap/support/notes/1748097","1748097")</f>
        <v>1748097</v>
      </c>
      <c r="E1857">
        <v>2</v>
      </c>
      <c r="F1857" t="s">
        <v>2757</v>
      </c>
    </row>
    <row r="1858" spans="1:6" x14ac:dyDescent="0.25">
      <c r="A1858" t="s">
        <v>4200</v>
      </c>
      <c r="B1858" t="s">
        <v>2758</v>
      </c>
      <c r="C1858" t="s">
        <v>2759</v>
      </c>
    </row>
    <row r="1859" spans="1:6" x14ac:dyDescent="0.25">
      <c r="A1859" t="s">
        <v>4200</v>
      </c>
      <c r="B1859" t="s">
        <v>2760</v>
      </c>
      <c r="C1859" t="s">
        <v>2761</v>
      </c>
      <c r="D1859" t="str">
        <f>HYPERLINK("http://service.sap.com/sap/support/notes/1707773","1707773")</f>
        <v>1707773</v>
      </c>
      <c r="E1859">
        <v>1</v>
      </c>
      <c r="F1859" t="s">
        <v>2762</v>
      </c>
    </row>
    <row r="1860" spans="1:6" x14ac:dyDescent="0.25">
      <c r="A1860" t="s">
        <v>4200</v>
      </c>
      <c r="B1860" t="s">
        <v>2763</v>
      </c>
      <c r="C1860" t="s">
        <v>2764</v>
      </c>
      <c r="D1860" t="str">
        <f>HYPERLINK("http://service.sap.com/sap/support/notes/1559842","1559842")</f>
        <v>1559842</v>
      </c>
      <c r="E1860">
        <v>2</v>
      </c>
      <c r="F1860" t="s">
        <v>2765</v>
      </c>
    </row>
    <row r="1861" spans="1:6" x14ac:dyDescent="0.25">
      <c r="A1861" t="s">
        <v>4200</v>
      </c>
      <c r="B1861" t="s">
        <v>2763</v>
      </c>
      <c r="C1861" t="s">
        <v>2764</v>
      </c>
      <c r="D1861" t="str">
        <f>HYPERLINK("http://service.sap.com/sap/support/notes/1738038","1738038")</f>
        <v>1738038</v>
      </c>
      <c r="E1861">
        <v>1</v>
      </c>
      <c r="F1861" t="s">
        <v>2766</v>
      </c>
    </row>
    <row r="1862" spans="1:6" x14ac:dyDescent="0.25">
      <c r="A1862" t="s">
        <v>4200</v>
      </c>
      <c r="B1862" t="s">
        <v>2767</v>
      </c>
      <c r="C1862" t="s">
        <v>2768</v>
      </c>
      <c r="D1862" t="str">
        <f>HYPERLINK("http://service.sap.com/sap/support/notes/1480983","1480983")</f>
        <v>1480983</v>
      </c>
      <c r="E1862">
        <v>1</v>
      </c>
      <c r="F1862" t="s">
        <v>2769</v>
      </c>
    </row>
    <row r="1863" spans="1:6" x14ac:dyDescent="0.25">
      <c r="A1863" t="s">
        <v>4200</v>
      </c>
      <c r="B1863" t="s">
        <v>2770</v>
      </c>
      <c r="C1863" t="s">
        <v>2771</v>
      </c>
      <c r="D1863" t="str">
        <f>HYPERLINK("http://service.sap.com/sap/support/notes/1761525","1761525")</f>
        <v>1761525</v>
      </c>
      <c r="E1863">
        <v>1</v>
      </c>
      <c r="F1863" t="s">
        <v>2772</v>
      </c>
    </row>
    <row r="1864" spans="1:6" x14ac:dyDescent="0.25">
      <c r="A1864" t="s">
        <v>4200</v>
      </c>
      <c r="B1864" t="s">
        <v>2773</v>
      </c>
      <c r="C1864" t="s">
        <v>2774</v>
      </c>
      <c r="D1864" t="str">
        <f>HYPERLINK("http://service.sap.com/sap/support/notes/1752037","1752037")</f>
        <v>1752037</v>
      </c>
      <c r="E1864">
        <v>1</v>
      </c>
      <c r="F1864" t="s">
        <v>2775</v>
      </c>
    </row>
    <row r="1865" spans="1:6" x14ac:dyDescent="0.25">
      <c r="A1865" t="s">
        <v>4200</v>
      </c>
      <c r="B1865" t="s">
        <v>2776</v>
      </c>
      <c r="C1865" t="s">
        <v>2777</v>
      </c>
      <c r="D1865" t="str">
        <f>HYPERLINK("http://service.sap.com/sap/support/notes/1757631","1757631")</f>
        <v>1757631</v>
      </c>
      <c r="E1865">
        <v>1</v>
      </c>
      <c r="F1865" t="s">
        <v>2778</v>
      </c>
    </row>
    <row r="1866" spans="1:6" x14ac:dyDescent="0.25">
      <c r="A1866" t="s">
        <v>4200</v>
      </c>
      <c r="B1866" t="s">
        <v>2779</v>
      </c>
      <c r="C1866" t="s">
        <v>2780</v>
      </c>
      <c r="D1866" t="str">
        <f>HYPERLINK("http://service.sap.com/sap/support/notes/1670267","1670267")</f>
        <v>1670267</v>
      </c>
      <c r="E1866">
        <v>3</v>
      </c>
      <c r="F1866" t="s">
        <v>2781</v>
      </c>
    </row>
    <row r="1867" spans="1:6" x14ac:dyDescent="0.25">
      <c r="A1867" t="s">
        <v>4200</v>
      </c>
      <c r="B1867" t="s">
        <v>2779</v>
      </c>
      <c r="C1867" t="s">
        <v>2780</v>
      </c>
      <c r="D1867" t="str">
        <f>HYPERLINK("http://service.sap.com/sap/support/notes/1673737","1673737")</f>
        <v>1673737</v>
      </c>
      <c r="E1867">
        <v>4</v>
      </c>
      <c r="F1867" t="s">
        <v>2782</v>
      </c>
    </row>
    <row r="1868" spans="1:6" x14ac:dyDescent="0.25">
      <c r="A1868" t="s">
        <v>4200</v>
      </c>
      <c r="B1868" t="s">
        <v>2779</v>
      </c>
      <c r="C1868" t="s">
        <v>2780</v>
      </c>
      <c r="D1868" t="str">
        <f>HYPERLINK("http://service.sap.com/sap/support/notes/1679204","1679204")</f>
        <v>1679204</v>
      </c>
      <c r="F1868" t="s">
        <v>2783</v>
      </c>
    </row>
    <row r="1869" spans="1:6" x14ac:dyDescent="0.25">
      <c r="A1869" t="s">
        <v>4200</v>
      </c>
      <c r="B1869" t="s">
        <v>2779</v>
      </c>
      <c r="C1869" t="s">
        <v>2780</v>
      </c>
      <c r="D1869" t="str">
        <f>HYPERLINK("http://service.sap.com/sap/support/notes/1736330","1736330")</f>
        <v>1736330</v>
      </c>
      <c r="E1869">
        <v>1</v>
      </c>
      <c r="F1869" t="s">
        <v>2784</v>
      </c>
    </row>
    <row r="1870" spans="1:6" x14ac:dyDescent="0.25">
      <c r="A1870" t="s">
        <v>4200</v>
      </c>
      <c r="B1870" t="s">
        <v>2779</v>
      </c>
      <c r="C1870" t="s">
        <v>2780</v>
      </c>
      <c r="D1870" t="str">
        <f>HYPERLINK("http://service.sap.com/sap/support/notes/1736404","1736404")</f>
        <v>1736404</v>
      </c>
      <c r="E1870">
        <v>1</v>
      </c>
      <c r="F1870" t="s">
        <v>2785</v>
      </c>
    </row>
    <row r="1871" spans="1:6" x14ac:dyDescent="0.25">
      <c r="A1871" t="s">
        <v>4200</v>
      </c>
      <c r="B1871" t="s">
        <v>2779</v>
      </c>
      <c r="C1871" t="s">
        <v>2780</v>
      </c>
      <c r="D1871" t="str">
        <f>HYPERLINK("http://service.sap.com/sap/support/notes/1743303","1743303")</f>
        <v>1743303</v>
      </c>
      <c r="E1871">
        <v>1</v>
      </c>
      <c r="F1871" t="s">
        <v>2786</v>
      </c>
    </row>
    <row r="1872" spans="1:6" x14ac:dyDescent="0.25">
      <c r="A1872" t="s">
        <v>4200</v>
      </c>
      <c r="B1872" t="s">
        <v>2779</v>
      </c>
      <c r="C1872" t="s">
        <v>2780</v>
      </c>
      <c r="D1872" t="str">
        <f>HYPERLINK("http://service.sap.com/sap/support/notes/1752239","1752239")</f>
        <v>1752239</v>
      </c>
      <c r="E1872">
        <v>1</v>
      </c>
      <c r="F1872" t="s">
        <v>2787</v>
      </c>
    </row>
    <row r="1873" spans="1:6" x14ac:dyDescent="0.25">
      <c r="A1873" t="s">
        <v>4200</v>
      </c>
      <c r="B1873" t="s">
        <v>2779</v>
      </c>
      <c r="C1873" t="s">
        <v>2780</v>
      </c>
      <c r="D1873" t="str">
        <f>HYPERLINK("http://service.sap.com/sap/support/notes/1759001","1759001")</f>
        <v>1759001</v>
      </c>
      <c r="E1873">
        <v>1</v>
      </c>
      <c r="F1873" t="s">
        <v>2788</v>
      </c>
    </row>
    <row r="1874" spans="1:6" x14ac:dyDescent="0.25">
      <c r="A1874" t="s">
        <v>4200</v>
      </c>
      <c r="B1874" t="s">
        <v>2789</v>
      </c>
      <c r="C1874" t="s">
        <v>2790</v>
      </c>
    </row>
    <row r="1875" spans="1:6" x14ac:dyDescent="0.25">
      <c r="A1875" t="s">
        <v>4200</v>
      </c>
      <c r="B1875" t="s">
        <v>2791</v>
      </c>
      <c r="C1875" t="s">
        <v>2792</v>
      </c>
      <c r="D1875" t="str">
        <f>HYPERLINK("http://service.sap.com/sap/support/notes/1711051","1711051")</f>
        <v>1711051</v>
      </c>
      <c r="E1875">
        <v>3</v>
      </c>
      <c r="F1875" t="s">
        <v>2793</v>
      </c>
    </row>
    <row r="1876" spans="1:6" x14ac:dyDescent="0.25">
      <c r="A1876" t="s">
        <v>4200</v>
      </c>
      <c r="B1876" t="s">
        <v>2794</v>
      </c>
      <c r="C1876" t="s">
        <v>2795</v>
      </c>
      <c r="D1876" t="str">
        <f>HYPERLINK("http://service.sap.com/sap/support/notes/1743638","1743638")</f>
        <v>1743638</v>
      </c>
      <c r="E1876">
        <v>2</v>
      </c>
      <c r="F1876" t="s">
        <v>2796</v>
      </c>
    </row>
    <row r="1877" spans="1:6" x14ac:dyDescent="0.25">
      <c r="A1877" t="s">
        <v>4200</v>
      </c>
      <c r="B1877" t="s">
        <v>2797</v>
      </c>
      <c r="C1877" t="s">
        <v>2798</v>
      </c>
      <c r="D1877" t="str">
        <f>HYPERLINK("http://service.sap.com/sap/support/notes/788845","788845")</f>
        <v>788845</v>
      </c>
      <c r="E1877">
        <v>6</v>
      </c>
      <c r="F1877" t="s">
        <v>2799</v>
      </c>
    </row>
    <row r="1878" spans="1:6" x14ac:dyDescent="0.25">
      <c r="A1878" t="s">
        <v>4200</v>
      </c>
      <c r="B1878" t="s">
        <v>2800</v>
      </c>
      <c r="C1878" t="s">
        <v>2801</v>
      </c>
      <c r="D1878" t="str">
        <f>HYPERLINK("http://service.sap.com/sap/support/notes/695324","695324")</f>
        <v>695324</v>
      </c>
      <c r="E1878">
        <v>3</v>
      </c>
      <c r="F1878" t="s">
        <v>2802</v>
      </c>
    </row>
    <row r="1879" spans="1:6" x14ac:dyDescent="0.25">
      <c r="A1879" t="s">
        <v>4200</v>
      </c>
      <c r="B1879" t="s">
        <v>2800</v>
      </c>
      <c r="C1879" t="s">
        <v>2801</v>
      </c>
      <c r="D1879" t="str">
        <f>HYPERLINK("http://service.sap.com/sap/support/notes/1698959","1698959")</f>
        <v>1698959</v>
      </c>
      <c r="E1879">
        <v>1</v>
      </c>
      <c r="F1879" t="s">
        <v>2803</v>
      </c>
    </row>
    <row r="1880" spans="1:6" x14ac:dyDescent="0.25">
      <c r="A1880" t="s">
        <v>4200</v>
      </c>
      <c r="B1880" t="s">
        <v>2800</v>
      </c>
      <c r="C1880" t="s">
        <v>2801</v>
      </c>
      <c r="D1880" t="str">
        <f>HYPERLINK("http://service.sap.com/sap/support/notes/1728485","1728485")</f>
        <v>1728485</v>
      </c>
      <c r="E1880">
        <v>1</v>
      </c>
      <c r="F1880" t="s">
        <v>2804</v>
      </c>
    </row>
    <row r="1881" spans="1:6" x14ac:dyDescent="0.25">
      <c r="A1881" t="s">
        <v>4200</v>
      </c>
      <c r="B1881" t="s">
        <v>2800</v>
      </c>
      <c r="C1881" t="s">
        <v>2801</v>
      </c>
      <c r="D1881" t="str">
        <f>HYPERLINK("http://service.sap.com/sap/support/notes/1759645","1759645")</f>
        <v>1759645</v>
      </c>
      <c r="E1881">
        <v>3</v>
      </c>
      <c r="F1881" t="s">
        <v>2805</v>
      </c>
    </row>
    <row r="1882" spans="1:6" x14ac:dyDescent="0.25">
      <c r="A1882" t="s">
        <v>4200</v>
      </c>
      <c r="B1882" t="s">
        <v>2806</v>
      </c>
      <c r="C1882" t="s">
        <v>1588</v>
      </c>
      <c r="D1882" t="str">
        <f>HYPERLINK("http://service.sap.com/sap/support/notes/1072541","1072541")</f>
        <v>1072541</v>
      </c>
      <c r="E1882">
        <v>1</v>
      </c>
      <c r="F1882" t="s">
        <v>2807</v>
      </c>
    </row>
    <row r="1883" spans="1:6" x14ac:dyDescent="0.25">
      <c r="A1883" t="s">
        <v>4200</v>
      </c>
      <c r="B1883" t="s">
        <v>2806</v>
      </c>
      <c r="C1883" t="s">
        <v>1588</v>
      </c>
      <c r="D1883" t="str">
        <f>HYPERLINK("http://service.sap.com/sap/support/notes/1722240","1722240")</f>
        <v>1722240</v>
      </c>
      <c r="E1883">
        <v>3</v>
      </c>
      <c r="F1883" t="s">
        <v>2808</v>
      </c>
    </row>
    <row r="1884" spans="1:6" x14ac:dyDescent="0.25">
      <c r="A1884" t="s">
        <v>4200</v>
      </c>
      <c r="B1884" t="s">
        <v>2806</v>
      </c>
      <c r="C1884" t="s">
        <v>1588</v>
      </c>
      <c r="D1884" t="str">
        <f>HYPERLINK("http://service.sap.com/sap/support/notes/1745278","1745278")</f>
        <v>1745278</v>
      </c>
      <c r="E1884">
        <v>2</v>
      </c>
      <c r="F1884" t="s">
        <v>2809</v>
      </c>
    </row>
    <row r="1885" spans="1:6" x14ac:dyDescent="0.25">
      <c r="A1885" t="s">
        <v>4200</v>
      </c>
      <c r="B1885" t="s">
        <v>2810</v>
      </c>
      <c r="C1885" t="s">
        <v>2811</v>
      </c>
      <c r="D1885" t="str">
        <f>HYPERLINK("http://service.sap.com/sap/support/notes/1723019","1723019")</f>
        <v>1723019</v>
      </c>
      <c r="E1885">
        <v>1</v>
      </c>
      <c r="F1885" t="s">
        <v>2812</v>
      </c>
    </row>
    <row r="1886" spans="1:6" x14ac:dyDescent="0.25">
      <c r="A1886" t="s">
        <v>4200</v>
      </c>
      <c r="B1886" t="s">
        <v>2810</v>
      </c>
      <c r="C1886" t="s">
        <v>2811</v>
      </c>
      <c r="D1886" t="str">
        <f>HYPERLINK("http://service.sap.com/sap/support/notes/1726582","1726582")</f>
        <v>1726582</v>
      </c>
      <c r="E1886">
        <v>1</v>
      </c>
      <c r="F1886" t="s">
        <v>2813</v>
      </c>
    </row>
    <row r="1887" spans="1:6" x14ac:dyDescent="0.25">
      <c r="A1887" t="s">
        <v>4200</v>
      </c>
      <c r="B1887" t="s">
        <v>2810</v>
      </c>
      <c r="C1887" t="s">
        <v>2811</v>
      </c>
      <c r="D1887" t="str">
        <f>HYPERLINK("http://service.sap.com/sap/support/notes/1734362","1734362")</f>
        <v>1734362</v>
      </c>
      <c r="E1887">
        <v>1</v>
      </c>
      <c r="F1887" t="s">
        <v>2814</v>
      </c>
    </row>
    <row r="1888" spans="1:6" x14ac:dyDescent="0.25">
      <c r="A1888" t="s">
        <v>4200</v>
      </c>
      <c r="B1888" t="s">
        <v>2810</v>
      </c>
      <c r="C1888" t="s">
        <v>2811</v>
      </c>
      <c r="D1888" t="str">
        <f>HYPERLINK("http://service.sap.com/sap/support/notes/1740449","1740449")</f>
        <v>1740449</v>
      </c>
      <c r="E1888">
        <v>1</v>
      </c>
      <c r="F1888" t="s">
        <v>2815</v>
      </c>
    </row>
    <row r="1889" spans="1:6" x14ac:dyDescent="0.25">
      <c r="A1889" t="s">
        <v>4200</v>
      </c>
      <c r="B1889" t="s">
        <v>2810</v>
      </c>
      <c r="C1889" t="s">
        <v>2811</v>
      </c>
      <c r="D1889" t="str">
        <f>HYPERLINK("http://service.sap.com/sap/support/notes/1752386","1752386")</f>
        <v>1752386</v>
      </c>
      <c r="E1889">
        <v>1</v>
      </c>
      <c r="F1889" t="s">
        <v>2816</v>
      </c>
    </row>
    <row r="1890" spans="1:6" x14ac:dyDescent="0.25">
      <c r="A1890" t="s">
        <v>4200</v>
      </c>
      <c r="B1890" t="s">
        <v>2810</v>
      </c>
      <c r="C1890" t="s">
        <v>2811</v>
      </c>
      <c r="D1890" t="str">
        <f>HYPERLINK("http://service.sap.com/sap/support/notes/1759484","1759484")</f>
        <v>1759484</v>
      </c>
      <c r="E1890">
        <v>2</v>
      </c>
      <c r="F1890" t="s">
        <v>2817</v>
      </c>
    </row>
    <row r="1891" spans="1:6" x14ac:dyDescent="0.25">
      <c r="A1891" t="s">
        <v>4200</v>
      </c>
      <c r="B1891" t="s">
        <v>2818</v>
      </c>
      <c r="C1891" t="s">
        <v>2819</v>
      </c>
      <c r="D1891" t="str">
        <f>HYPERLINK("http://service.sap.com/sap/support/notes/1733282","1733282")</f>
        <v>1733282</v>
      </c>
      <c r="E1891">
        <v>1</v>
      </c>
      <c r="F1891" t="s">
        <v>2820</v>
      </c>
    </row>
    <row r="1892" spans="1:6" x14ac:dyDescent="0.25">
      <c r="A1892" t="s">
        <v>4200</v>
      </c>
      <c r="B1892" t="s">
        <v>2821</v>
      </c>
      <c r="C1892" t="s">
        <v>2822</v>
      </c>
      <c r="D1892" t="str">
        <f>HYPERLINK("http://service.sap.com/sap/support/notes/1733454","1733454")</f>
        <v>1733454</v>
      </c>
      <c r="E1892">
        <v>1</v>
      </c>
      <c r="F1892" t="s">
        <v>2823</v>
      </c>
    </row>
    <row r="1893" spans="1:6" x14ac:dyDescent="0.25">
      <c r="A1893" t="s">
        <v>4200</v>
      </c>
      <c r="B1893" t="s">
        <v>2824</v>
      </c>
      <c r="C1893" t="s">
        <v>2825</v>
      </c>
    </row>
    <row r="1894" spans="1:6" x14ac:dyDescent="0.25">
      <c r="A1894" t="s">
        <v>4200</v>
      </c>
      <c r="B1894" t="s">
        <v>2826</v>
      </c>
      <c r="C1894" t="s">
        <v>2827</v>
      </c>
      <c r="D1894" t="str">
        <f>HYPERLINK("http://service.sap.com/sap/support/notes/1733441","1733441")</f>
        <v>1733441</v>
      </c>
      <c r="E1894">
        <v>2</v>
      </c>
      <c r="F1894" t="s">
        <v>2828</v>
      </c>
    </row>
    <row r="1895" spans="1:6" x14ac:dyDescent="0.25">
      <c r="A1895" t="s">
        <v>4200</v>
      </c>
      <c r="B1895" t="s">
        <v>2826</v>
      </c>
      <c r="C1895" t="s">
        <v>2827</v>
      </c>
      <c r="D1895" t="str">
        <f>HYPERLINK("http://service.sap.com/sap/support/notes/1751100","1751100")</f>
        <v>1751100</v>
      </c>
      <c r="E1895">
        <v>2</v>
      </c>
      <c r="F1895" t="s">
        <v>2829</v>
      </c>
    </row>
    <row r="1896" spans="1:6" x14ac:dyDescent="0.25">
      <c r="A1896" t="s">
        <v>4200</v>
      </c>
      <c r="B1896" t="s">
        <v>2826</v>
      </c>
      <c r="C1896" t="s">
        <v>2827</v>
      </c>
      <c r="D1896" t="str">
        <f>HYPERLINK("http://service.sap.com/sap/support/notes/1759598","1759598")</f>
        <v>1759598</v>
      </c>
      <c r="E1896">
        <v>2</v>
      </c>
      <c r="F1896" t="s">
        <v>2830</v>
      </c>
    </row>
    <row r="1897" spans="1:6" x14ac:dyDescent="0.25">
      <c r="A1897" t="s">
        <v>4200</v>
      </c>
      <c r="B1897" t="s">
        <v>2826</v>
      </c>
      <c r="C1897" t="s">
        <v>2827</v>
      </c>
      <c r="D1897" t="str">
        <f>HYPERLINK("http://service.sap.com/sap/support/notes/1765547","1765547")</f>
        <v>1765547</v>
      </c>
      <c r="E1897">
        <v>1</v>
      </c>
      <c r="F1897" t="s">
        <v>2831</v>
      </c>
    </row>
    <row r="1898" spans="1:6" x14ac:dyDescent="0.25">
      <c r="A1898" t="s">
        <v>4200</v>
      </c>
      <c r="B1898" t="s">
        <v>2832</v>
      </c>
      <c r="C1898" t="s">
        <v>1588</v>
      </c>
    </row>
    <row r="1899" spans="1:6" x14ac:dyDescent="0.25">
      <c r="A1899" t="s">
        <v>4200</v>
      </c>
      <c r="B1899" t="s">
        <v>2833</v>
      </c>
      <c r="C1899" t="s">
        <v>2834</v>
      </c>
      <c r="D1899" t="str">
        <f>HYPERLINK("http://service.sap.com/sap/support/notes/1691547","1691547")</f>
        <v>1691547</v>
      </c>
      <c r="E1899">
        <v>1</v>
      </c>
      <c r="F1899" t="s">
        <v>2835</v>
      </c>
    </row>
    <row r="1900" spans="1:6" x14ac:dyDescent="0.25">
      <c r="A1900" t="s">
        <v>4200</v>
      </c>
      <c r="B1900" t="s">
        <v>2833</v>
      </c>
      <c r="C1900" t="s">
        <v>2834</v>
      </c>
      <c r="D1900" t="str">
        <f>HYPERLINK("http://service.sap.com/sap/support/notes/1723565","1723565")</f>
        <v>1723565</v>
      </c>
      <c r="E1900">
        <v>1</v>
      </c>
      <c r="F1900" t="s">
        <v>2836</v>
      </c>
    </row>
    <row r="1901" spans="1:6" x14ac:dyDescent="0.25">
      <c r="A1901" t="s">
        <v>4200</v>
      </c>
      <c r="B1901" t="s">
        <v>2833</v>
      </c>
      <c r="C1901" t="s">
        <v>2834</v>
      </c>
      <c r="D1901" t="str">
        <f>HYPERLINK("http://service.sap.com/sap/support/notes/1762034","1762034")</f>
        <v>1762034</v>
      </c>
      <c r="E1901">
        <v>1</v>
      </c>
      <c r="F1901" t="s">
        <v>2837</v>
      </c>
    </row>
    <row r="1902" spans="1:6" x14ac:dyDescent="0.25">
      <c r="A1902" t="s">
        <v>4200</v>
      </c>
      <c r="B1902" t="s">
        <v>2838</v>
      </c>
      <c r="C1902" t="s">
        <v>2839</v>
      </c>
    </row>
    <row r="1903" spans="1:6" x14ac:dyDescent="0.25">
      <c r="A1903" t="s">
        <v>4200</v>
      </c>
      <c r="B1903" t="s">
        <v>2840</v>
      </c>
      <c r="C1903" t="s">
        <v>2841</v>
      </c>
      <c r="D1903" t="str">
        <f>HYPERLINK("http://service.sap.com/sap/support/notes/1710629","1710629")</f>
        <v>1710629</v>
      </c>
      <c r="E1903">
        <v>1</v>
      </c>
      <c r="F1903" t="s">
        <v>2842</v>
      </c>
    </row>
    <row r="1904" spans="1:6" x14ac:dyDescent="0.25">
      <c r="A1904" t="s">
        <v>4200</v>
      </c>
      <c r="B1904" t="s">
        <v>2843</v>
      </c>
      <c r="C1904" t="s">
        <v>2844</v>
      </c>
      <c r="D1904" t="str">
        <f>HYPERLINK("http://service.sap.com/sap/support/notes/1089353","1089353")</f>
        <v>1089353</v>
      </c>
      <c r="E1904">
        <v>3</v>
      </c>
      <c r="F1904" t="s">
        <v>2845</v>
      </c>
    </row>
    <row r="1905" spans="1:6" x14ac:dyDescent="0.25">
      <c r="A1905" t="s">
        <v>4200</v>
      </c>
      <c r="B1905" t="s">
        <v>2843</v>
      </c>
      <c r="C1905" t="s">
        <v>2844</v>
      </c>
      <c r="D1905" t="str">
        <f>HYPERLINK("http://service.sap.com/sap/support/notes/1121814","1121814")</f>
        <v>1121814</v>
      </c>
      <c r="E1905">
        <v>3</v>
      </c>
      <c r="F1905" t="s">
        <v>2846</v>
      </c>
    </row>
    <row r="1906" spans="1:6" x14ac:dyDescent="0.25">
      <c r="A1906" t="s">
        <v>4200</v>
      </c>
      <c r="B1906" t="s">
        <v>2847</v>
      </c>
      <c r="C1906" t="s">
        <v>2848</v>
      </c>
      <c r="D1906" t="str">
        <f>HYPERLINK("http://service.sap.com/sap/support/notes/1738372","1738372")</f>
        <v>1738372</v>
      </c>
      <c r="E1906">
        <v>3</v>
      </c>
      <c r="F1906" t="s">
        <v>2849</v>
      </c>
    </row>
    <row r="1907" spans="1:6" x14ac:dyDescent="0.25">
      <c r="A1907" t="s">
        <v>4200</v>
      </c>
      <c r="B1907" t="s">
        <v>2850</v>
      </c>
      <c r="C1907" t="s">
        <v>2851</v>
      </c>
      <c r="D1907" t="str">
        <f>HYPERLINK("http://service.sap.com/sap/support/notes/1730156","1730156")</f>
        <v>1730156</v>
      </c>
      <c r="E1907">
        <v>1</v>
      </c>
      <c r="F1907" t="s">
        <v>2852</v>
      </c>
    </row>
    <row r="1908" spans="1:6" x14ac:dyDescent="0.25">
      <c r="A1908" t="s">
        <v>4200</v>
      </c>
      <c r="B1908" t="s">
        <v>2850</v>
      </c>
      <c r="C1908" t="s">
        <v>2851</v>
      </c>
      <c r="D1908" t="str">
        <f>HYPERLINK("http://service.sap.com/sap/support/notes/1735108","1735108")</f>
        <v>1735108</v>
      </c>
      <c r="E1908">
        <v>1</v>
      </c>
      <c r="F1908" t="s">
        <v>2853</v>
      </c>
    </row>
    <row r="1909" spans="1:6" x14ac:dyDescent="0.25">
      <c r="A1909" t="s">
        <v>4200</v>
      </c>
      <c r="B1909" t="s">
        <v>2850</v>
      </c>
      <c r="C1909" t="s">
        <v>2851</v>
      </c>
      <c r="D1909" t="str">
        <f>HYPERLINK("http://service.sap.com/sap/support/notes/1738014","1738014")</f>
        <v>1738014</v>
      </c>
      <c r="E1909">
        <v>2</v>
      </c>
      <c r="F1909" t="s">
        <v>2854</v>
      </c>
    </row>
    <row r="1910" spans="1:6" x14ac:dyDescent="0.25">
      <c r="A1910" t="s">
        <v>4200</v>
      </c>
      <c r="B1910" t="s">
        <v>2850</v>
      </c>
      <c r="C1910" t="s">
        <v>2851</v>
      </c>
      <c r="D1910" t="str">
        <f>HYPERLINK("http://service.sap.com/sap/support/notes/1738484","1738484")</f>
        <v>1738484</v>
      </c>
      <c r="E1910">
        <v>1</v>
      </c>
      <c r="F1910" t="s">
        <v>2855</v>
      </c>
    </row>
    <row r="1911" spans="1:6" x14ac:dyDescent="0.25">
      <c r="A1911" t="s">
        <v>4200</v>
      </c>
      <c r="B1911" t="s">
        <v>2850</v>
      </c>
      <c r="C1911" t="s">
        <v>2851</v>
      </c>
      <c r="D1911" t="str">
        <f>HYPERLINK("http://service.sap.com/sap/support/notes/1750518","1750518")</f>
        <v>1750518</v>
      </c>
      <c r="E1911">
        <v>1</v>
      </c>
      <c r="F1911" t="s">
        <v>2856</v>
      </c>
    </row>
    <row r="1912" spans="1:6" x14ac:dyDescent="0.25">
      <c r="A1912" t="s">
        <v>4200</v>
      </c>
      <c r="B1912" t="s">
        <v>2850</v>
      </c>
      <c r="C1912" t="s">
        <v>2851</v>
      </c>
      <c r="D1912" t="str">
        <f>HYPERLINK("http://service.sap.com/sap/support/notes/1756374","1756374")</f>
        <v>1756374</v>
      </c>
      <c r="E1912">
        <v>1</v>
      </c>
      <c r="F1912" t="s">
        <v>2857</v>
      </c>
    </row>
    <row r="1913" spans="1:6" x14ac:dyDescent="0.25">
      <c r="A1913" t="s">
        <v>4200</v>
      </c>
      <c r="B1913" t="s">
        <v>2850</v>
      </c>
      <c r="C1913" t="s">
        <v>2851</v>
      </c>
      <c r="D1913" t="str">
        <f>HYPERLINK("http://service.sap.com/sap/support/notes/1757826","1757826")</f>
        <v>1757826</v>
      </c>
      <c r="E1913">
        <v>1</v>
      </c>
      <c r="F1913" t="s">
        <v>2858</v>
      </c>
    </row>
    <row r="1914" spans="1:6" x14ac:dyDescent="0.25">
      <c r="A1914" t="s">
        <v>4200</v>
      </c>
      <c r="B1914" t="s">
        <v>2850</v>
      </c>
      <c r="C1914" t="s">
        <v>2851</v>
      </c>
      <c r="D1914" t="str">
        <f>HYPERLINK("http://service.sap.com/sap/support/notes/1761112","1761112")</f>
        <v>1761112</v>
      </c>
      <c r="E1914">
        <v>1</v>
      </c>
      <c r="F1914" t="s">
        <v>2859</v>
      </c>
    </row>
    <row r="1915" spans="1:6" x14ac:dyDescent="0.25">
      <c r="A1915" t="s">
        <v>4200</v>
      </c>
      <c r="B1915" t="s">
        <v>2850</v>
      </c>
      <c r="C1915" t="s">
        <v>2851</v>
      </c>
      <c r="D1915" t="str">
        <f>HYPERLINK("http://service.sap.com/sap/support/notes/1763770","1763770")</f>
        <v>1763770</v>
      </c>
      <c r="E1915">
        <v>1</v>
      </c>
      <c r="F1915" t="s">
        <v>2860</v>
      </c>
    </row>
    <row r="1916" spans="1:6" x14ac:dyDescent="0.25">
      <c r="A1916" t="s">
        <v>4200</v>
      </c>
      <c r="B1916" t="s">
        <v>2850</v>
      </c>
      <c r="C1916" t="s">
        <v>2851</v>
      </c>
      <c r="D1916" t="str">
        <f>HYPERLINK("http://service.sap.com/sap/support/notes/1765763","1765763")</f>
        <v>1765763</v>
      </c>
      <c r="E1916">
        <v>1</v>
      </c>
      <c r="F1916" t="s">
        <v>2861</v>
      </c>
    </row>
    <row r="1917" spans="1:6" x14ac:dyDescent="0.25">
      <c r="A1917" t="s">
        <v>4200</v>
      </c>
      <c r="B1917" t="s">
        <v>2862</v>
      </c>
      <c r="C1917" t="s">
        <v>2863</v>
      </c>
      <c r="D1917" t="str">
        <f>HYPERLINK("http://service.sap.com/sap/support/notes/1764305","1764305")</f>
        <v>1764305</v>
      </c>
      <c r="E1917">
        <v>1</v>
      </c>
      <c r="F1917" t="s">
        <v>2864</v>
      </c>
    </row>
    <row r="1918" spans="1:6" x14ac:dyDescent="0.25">
      <c r="A1918" t="s">
        <v>4200</v>
      </c>
      <c r="B1918" t="s">
        <v>2865</v>
      </c>
      <c r="C1918" t="s">
        <v>2866</v>
      </c>
      <c r="D1918" t="str">
        <f>HYPERLINK("http://service.sap.com/sap/support/notes/1721361","1721361")</f>
        <v>1721361</v>
      </c>
      <c r="E1918">
        <v>1</v>
      </c>
      <c r="F1918" t="s">
        <v>2867</v>
      </c>
    </row>
    <row r="1919" spans="1:6" x14ac:dyDescent="0.25">
      <c r="A1919" t="s">
        <v>4200</v>
      </c>
      <c r="B1919" t="s">
        <v>2865</v>
      </c>
      <c r="C1919" t="s">
        <v>2866</v>
      </c>
      <c r="D1919" t="str">
        <f>HYPERLINK("http://service.sap.com/sap/support/notes/1729545","1729545")</f>
        <v>1729545</v>
      </c>
      <c r="E1919">
        <v>2</v>
      </c>
      <c r="F1919" t="s">
        <v>2868</v>
      </c>
    </row>
    <row r="1920" spans="1:6" x14ac:dyDescent="0.25">
      <c r="A1920" t="s">
        <v>4200</v>
      </c>
      <c r="B1920" t="s">
        <v>2869</v>
      </c>
      <c r="C1920" t="s">
        <v>2870</v>
      </c>
      <c r="D1920" t="str">
        <f>HYPERLINK("http://service.sap.com/sap/support/notes/1729268","1729268")</f>
        <v>1729268</v>
      </c>
      <c r="E1920">
        <v>3</v>
      </c>
      <c r="F1920" t="s">
        <v>2871</v>
      </c>
    </row>
    <row r="1921" spans="1:6" x14ac:dyDescent="0.25">
      <c r="A1921" t="s">
        <v>4200</v>
      </c>
      <c r="B1921" t="s">
        <v>2872</v>
      </c>
      <c r="C1921" t="s">
        <v>2873</v>
      </c>
    </row>
    <row r="1922" spans="1:6" x14ac:dyDescent="0.25">
      <c r="A1922" t="s">
        <v>4200</v>
      </c>
      <c r="B1922" t="s">
        <v>2874</v>
      </c>
      <c r="C1922" t="s">
        <v>2875</v>
      </c>
      <c r="D1922" t="str">
        <f>HYPERLINK("http://service.sap.com/sap/support/notes/1764735","1764735")</f>
        <v>1764735</v>
      </c>
      <c r="E1922">
        <v>2</v>
      </c>
      <c r="F1922" t="s">
        <v>2876</v>
      </c>
    </row>
    <row r="1923" spans="1:6" x14ac:dyDescent="0.25">
      <c r="A1923" t="s">
        <v>4200</v>
      </c>
      <c r="B1923" t="s">
        <v>2877</v>
      </c>
      <c r="C1923" t="s">
        <v>2878</v>
      </c>
      <c r="D1923" t="str">
        <f>HYPERLINK("http://service.sap.com/sap/support/notes/1732670","1732670")</f>
        <v>1732670</v>
      </c>
      <c r="E1923">
        <v>1</v>
      </c>
      <c r="F1923" t="s">
        <v>2879</v>
      </c>
    </row>
    <row r="1924" spans="1:6" x14ac:dyDescent="0.25">
      <c r="A1924" t="s">
        <v>4200</v>
      </c>
      <c r="B1924" t="s">
        <v>2877</v>
      </c>
      <c r="C1924" t="s">
        <v>2878</v>
      </c>
      <c r="D1924" t="str">
        <f>HYPERLINK("http://service.sap.com/sap/support/notes/1738075","1738075")</f>
        <v>1738075</v>
      </c>
      <c r="E1924">
        <v>4</v>
      </c>
      <c r="F1924" t="s">
        <v>2880</v>
      </c>
    </row>
    <row r="1925" spans="1:6" x14ac:dyDescent="0.25">
      <c r="A1925" t="s">
        <v>4200</v>
      </c>
      <c r="B1925" t="s">
        <v>2877</v>
      </c>
      <c r="C1925" t="s">
        <v>2878</v>
      </c>
      <c r="D1925" t="str">
        <f>HYPERLINK("http://service.sap.com/sap/support/notes/1753114","1753114")</f>
        <v>1753114</v>
      </c>
      <c r="E1925">
        <v>2</v>
      </c>
      <c r="F1925" t="s">
        <v>2881</v>
      </c>
    </row>
    <row r="1926" spans="1:6" x14ac:dyDescent="0.25">
      <c r="A1926" t="s">
        <v>4200</v>
      </c>
      <c r="B1926" t="s">
        <v>2877</v>
      </c>
      <c r="C1926" t="s">
        <v>2878</v>
      </c>
      <c r="D1926" t="str">
        <f>HYPERLINK("http://service.sap.com/sap/support/notes/1761918","1761918")</f>
        <v>1761918</v>
      </c>
      <c r="E1926">
        <v>1</v>
      </c>
      <c r="F1926" t="s">
        <v>2882</v>
      </c>
    </row>
    <row r="1927" spans="1:6" x14ac:dyDescent="0.25">
      <c r="A1927" t="s">
        <v>4200</v>
      </c>
      <c r="B1927" t="s">
        <v>2883</v>
      </c>
      <c r="C1927" t="s">
        <v>2884</v>
      </c>
      <c r="D1927" t="str">
        <f>HYPERLINK("http://service.sap.com/sap/support/notes/1744188","1744188")</f>
        <v>1744188</v>
      </c>
      <c r="E1927">
        <v>1</v>
      </c>
      <c r="F1927" t="s">
        <v>2885</v>
      </c>
    </row>
    <row r="1928" spans="1:6" x14ac:dyDescent="0.25">
      <c r="A1928" t="s">
        <v>4200</v>
      </c>
      <c r="B1928" t="s">
        <v>2886</v>
      </c>
      <c r="C1928" t="s">
        <v>2887</v>
      </c>
      <c r="D1928" t="str">
        <f>HYPERLINK("http://service.sap.com/sap/support/notes/1508978","1508978")</f>
        <v>1508978</v>
      </c>
      <c r="E1928">
        <v>3</v>
      </c>
      <c r="F1928" t="s">
        <v>2888</v>
      </c>
    </row>
    <row r="1929" spans="1:6" x14ac:dyDescent="0.25">
      <c r="A1929" t="s">
        <v>4200</v>
      </c>
      <c r="B1929" t="s">
        <v>2886</v>
      </c>
      <c r="C1929" t="s">
        <v>2887</v>
      </c>
      <c r="D1929" t="str">
        <f>HYPERLINK("http://service.sap.com/sap/support/notes/1720571","1720571")</f>
        <v>1720571</v>
      </c>
      <c r="E1929">
        <v>2</v>
      </c>
      <c r="F1929" t="s">
        <v>2889</v>
      </c>
    </row>
    <row r="1930" spans="1:6" x14ac:dyDescent="0.25">
      <c r="A1930" t="s">
        <v>4200</v>
      </c>
      <c r="B1930" t="s">
        <v>2886</v>
      </c>
      <c r="C1930" t="s">
        <v>2887</v>
      </c>
      <c r="D1930" t="str">
        <f>HYPERLINK("http://service.sap.com/sap/support/notes/1728535","1728535")</f>
        <v>1728535</v>
      </c>
      <c r="E1930">
        <v>1</v>
      </c>
      <c r="F1930" t="s">
        <v>2890</v>
      </c>
    </row>
    <row r="1931" spans="1:6" x14ac:dyDescent="0.25">
      <c r="A1931" t="s">
        <v>4200</v>
      </c>
      <c r="B1931" t="s">
        <v>2886</v>
      </c>
      <c r="C1931" t="s">
        <v>2887</v>
      </c>
      <c r="D1931" t="str">
        <f>HYPERLINK("http://service.sap.com/sap/support/notes/1730560","1730560")</f>
        <v>1730560</v>
      </c>
      <c r="E1931">
        <v>1</v>
      </c>
      <c r="F1931" t="s">
        <v>2891</v>
      </c>
    </row>
    <row r="1932" spans="1:6" x14ac:dyDescent="0.25">
      <c r="A1932" t="s">
        <v>4200</v>
      </c>
      <c r="B1932" t="s">
        <v>2886</v>
      </c>
      <c r="C1932" t="s">
        <v>2887</v>
      </c>
      <c r="D1932" t="str">
        <f>HYPERLINK("http://service.sap.com/sap/support/notes/1751337","1751337")</f>
        <v>1751337</v>
      </c>
      <c r="E1932">
        <v>2</v>
      </c>
      <c r="F1932" t="s">
        <v>2892</v>
      </c>
    </row>
    <row r="1933" spans="1:6" x14ac:dyDescent="0.25">
      <c r="A1933" t="s">
        <v>4200</v>
      </c>
      <c r="B1933" t="s">
        <v>2886</v>
      </c>
      <c r="C1933" t="s">
        <v>2887</v>
      </c>
      <c r="D1933" t="str">
        <f>HYPERLINK("http://service.sap.com/sap/support/notes/1753285","1753285")</f>
        <v>1753285</v>
      </c>
      <c r="E1933">
        <v>2</v>
      </c>
      <c r="F1933" t="s">
        <v>2893</v>
      </c>
    </row>
    <row r="1934" spans="1:6" x14ac:dyDescent="0.25">
      <c r="A1934" t="s">
        <v>4200</v>
      </c>
      <c r="B1934" t="s">
        <v>2886</v>
      </c>
      <c r="C1934" t="s">
        <v>2887</v>
      </c>
      <c r="D1934" t="str">
        <f>HYPERLINK("http://service.sap.com/sap/support/notes/1754119","1754119")</f>
        <v>1754119</v>
      </c>
      <c r="E1934">
        <v>1</v>
      </c>
      <c r="F1934" t="s">
        <v>2894</v>
      </c>
    </row>
    <row r="1935" spans="1:6" x14ac:dyDescent="0.25">
      <c r="A1935" t="s">
        <v>4200</v>
      </c>
      <c r="B1935" t="s">
        <v>2886</v>
      </c>
      <c r="C1935" t="s">
        <v>2887</v>
      </c>
      <c r="D1935" t="str">
        <f>HYPERLINK("http://service.sap.com/sap/support/notes/1759049","1759049")</f>
        <v>1759049</v>
      </c>
      <c r="E1935">
        <v>1</v>
      </c>
      <c r="F1935" t="s">
        <v>2895</v>
      </c>
    </row>
    <row r="1936" spans="1:6" x14ac:dyDescent="0.25">
      <c r="A1936" t="s">
        <v>4200</v>
      </c>
      <c r="B1936" t="s">
        <v>2886</v>
      </c>
      <c r="C1936" t="s">
        <v>2887</v>
      </c>
      <c r="D1936" t="str">
        <f>HYPERLINK("http://service.sap.com/sap/support/notes/1759169","1759169")</f>
        <v>1759169</v>
      </c>
      <c r="E1936">
        <v>1</v>
      </c>
      <c r="F1936" t="s">
        <v>2896</v>
      </c>
    </row>
    <row r="1937" spans="1:6" x14ac:dyDescent="0.25">
      <c r="A1937" t="s">
        <v>4200</v>
      </c>
      <c r="B1937" t="s">
        <v>2886</v>
      </c>
      <c r="C1937" t="s">
        <v>2887</v>
      </c>
      <c r="D1937" t="str">
        <f>HYPERLINK("http://service.sap.com/sap/support/notes/1766248","1766248")</f>
        <v>1766248</v>
      </c>
      <c r="E1937">
        <v>1</v>
      </c>
      <c r="F1937" t="s">
        <v>2897</v>
      </c>
    </row>
    <row r="1938" spans="1:6" x14ac:dyDescent="0.25">
      <c r="A1938" t="s">
        <v>4200</v>
      </c>
      <c r="B1938" t="s">
        <v>2898</v>
      </c>
      <c r="C1938" t="s">
        <v>2899</v>
      </c>
      <c r="D1938" t="str">
        <f>HYPERLINK("http://service.sap.com/sap/support/notes/1739789","1739789")</f>
        <v>1739789</v>
      </c>
      <c r="E1938">
        <v>1</v>
      </c>
      <c r="F1938" t="s">
        <v>2900</v>
      </c>
    </row>
    <row r="1939" spans="1:6" x14ac:dyDescent="0.25">
      <c r="A1939" t="s">
        <v>4200</v>
      </c>
      <c r="B1939" t="s">
        <v>2898</v>
      </c>
      <c r="C1939" t="s">
        <v>2899</v>
      </c>
      <c r="D1939" t="str">
        <f>HYPERLINK("http://service.sap.com/sap/support/notes/1748927","1748927")</f>
        <v>1748927</v>
      </c>
      <c r="E1939">
        <v>2</v>
      </c>
      <c r="F1939" t="s">
        <v>2901</v>
      </c>
    </row>
    <row r="1940" spans="1:6" x14ac:dyDescent="0.25">
      <c r="A1940" t="s">
        <v>4200</v>
      </c>
      <c r="B1940" t="s">
        <v>2898</v>
      </c>
      <c r="C1940" t="s">
        <v>2899</v>
      </c>
      <c r="D1940" t="str">
        <f>HYPERLINK("http://service.sap.com/sap/support/notes/1752122","1752122")</f>
        <v>1752122</v>
      </c>
      <c r="E1940">
        <v>3</v>
      </c>
      <c r="F1940" t="s">
        <v>2902</v>
      </c>
    </row>
    <row r="1941" spans="1:6" x14ac:dyDescent="0.25">
      <c r="A1941" t="s">
        <v>4200</v>
      </c>
      <c r="B1941" t="s">
        <v>2903</v>
      </c>
      <c r="C1941" t="s">
        <v>2904</v>
      </c>
      <c r="D1941" t="str">
        <f>HYPERLINK("http://service.sap.com/sap/support/notes/1735327","1735327")</f>
        <v>1735327</v>
      </c>
      <c r="E1941">
        <v>2</v>
      </c>
      <c r="F1941" t="s">
        <v>2905</v>
      </c>
    </row>
    <row r="1942" spans="1:6" x14ac:dyDescent="0.25">
      <c r="A1942" t="s">
        <v>4200</v>
      </c>
      <c r="B1942" t="s">
        <v>2903</v>
      </c>
      <c r="C1942" t="s">
        <v>2904</v>
      </c>
      <c r="D1942" t="str">
        <f>HYPERLINK("http://service.sap.com/sap/support/notes/1757556","1757556")</f>
        <v>1757556</v>
      </c>
      <c r="E1942">
        <v>3</v>
      </c>
      <c r="F1942" t="s">
        <v>2906</v>
      </c>
    </row>
    <row r="1943" spans="1:6" x14ac:dyDescent="0.25">
      <c r="A1943" t="s">
        <v>4200</v>
      </c>
      <c r="B1943" t="s">
        <v>2907</v>
      </c>
      <c r="C1943" t="s">
        <v>824</v>
      </c>
      <c r="D1943" t="str">
        <f>HYPERLINK("http://service.sap.com/sap/support/notes/1744643","1744643")</f>
        <v>1744643</v>
      </c>
      <c r="E1943">
        <v>3</v>
      </c>
      <c r="F1943" t="s">
        <v>2908</v>
      </c>
    </row>
    <row r="1944" spans="1:6" x14ac:dyDescent="0.25">
      <c r="A1944" t="s">
        <v>4200</v>
      </c>
      <c r="B1944" t="s">
        <v>2909</v>
      </c>
      <c r="C1944" t="s">
        <v>2910</v>
      </c>
      <c r="D1944" t="str">
        <f>HYPERLINK("http://service.sap.com/sap/support/notes/1754967","1754967")</f>
        <v>1754967</v>
      </c>
      <c r="E1944">
        <v>1</v>
      </c>
      <c r="F1944" t="s">
        <v>2911</v>
      </c>
    </row>
    <row r="1945" spans="1:6" x14ac:dyDescent="0.25">
      <c r="A1945" t="s">
        <v>4200</v>
      </c>
      <c r="B1945" t="s">
        <v>2912</v>
      </c>
      <c r="C1945" t="s">
        <v>2913</v>
      </c>
      <c r="D1945" t="str">
        <f>HYPERLINK("http://service.sap.com/sap/support/notes/1176365","1176365")</f>
        <v>1176365</v>
      </c>
      <c r="E1945">
        <v>3</v>
      </c>
      <c r="F1945" t="s">
        <v>2914</v>
      </c>
    </row>
    <row r="1946" spans="1:6" x14ac:dyDescent="0.25">
      <c r="A1946" t="s">
        <v>4200</v>
      </c>
      <c r="B1946" t="s">
        <v>2912</v>
      </c>
      <c r="C1946" t="s">
        <v>2913</v>
      </c>
      <c r="D1946" t="str">
        <f>HYPERLINK("http://service.sap.com/sap/support/notes/1280381","1280381")</f>
        <v>1280381</v>
      </c>
      <c r="E1946">
        <v>4</v>
      </c>
      <c r="F1946" t="s">
        <v>2915</v>
      </c>
    </row>
    <row r="1947" spans="1:6" x14ac:dyDescent="0.25">
      <c r="A1947" t="s">
        <v>4200</v>
      </c>
      <c r="B1947" t="s">
        <v>2912</v>
      </c>
      <c r="C1947" t="s">
        <v>2913</v>
      </c>
      <c r="D1947" t="str">
        <f>HYPERLINK("http://service.sap.com/sap/support/notes/1283752","1283752")</f>
        <v>1283752</v>
      </c>
      <c r="E1947">
        <v>4</v>
      </c>
      <c r="F1947" t="s">
        <v>2916</v>
      </c>
    </row>
    <row r="1948" spans="1:6" x14ac:dyDescent="0.25">
      <c r="A1948" t="s">
        <v>4200</v>
      </c>
      <c r="B1948" t="s">
        <v>2912</v>
      </c>
      <c r="C1948" t="s">
        <v>2913</v>
      </c>
      <c r="D1948" t="str">
        <f>HYPERLINK("http://service.sap.com/sap/support/notes/1297410","1297410")</f>
        <v>1297410</v>
      </c>
      <c r="E1948">
        <v>5</v>
      </c>
      <c r="F1948" t="s">
        <v>2917</v>
      </c>
    </row>
    <row r="1949" spans="1:6" x14ac:dyDescent="0.25">
      <c r="A1949" t="s">
        <v>4200</v>
      </c>
      <c r="B1949" t="s">
        <v>2918</v>
      </c>
      <c r="C1949" t="s">
        <v>2919</v>
      </c>
      <c r="D1949" t="str">
        <f>HYPERLINK("http://service.sap.com/sap/support/notes/1139213","1139213")</f>
        <v>1139213</v>
      </c>
      <c r="E1949">
        <v>3</v>
      </c>
      <c r="F1949" t="s">
        <v>2920</v>
      </c>
    </row>
    <row r="1950" spans="1:6" x14ac:dyDescent="0.25">
      <c r="A1950" t="s">
        <v>4200</v>
      </c>
      <c r="B1950" t="s">
        <v>2918</v>
      </c>
      <c r="C1950" t="s">
        <v>2919</v>
      </c>
      <c r="D1950" t="str">
        <f>HYPERLINK("http://service.sap.com/sap/support/notes/1243853","1243853")</f>
        <v>1243853</v>
      </c>
      <c r="E1950">
        <v>3</v>
      </c>
      <c r="F1950" t="s">
        <v>2921</v>
      </c>
    </row>
    <row r="1951" spans="1:6" x14ac:dyDescent="0.25">
      <c r="A1951" t="s">
        <v>4200</v>
      </c>
      <c r="B1951" t="s">
        <v>2918</v>
      </c>
      <c r="C1951" t="s">
        <v>2919</v>
      </c>
      <c r="D1951" t="str">
        <f>HYPERLINK("http://service.sap.com/sap/support/notes/1729809","1729809")</f>
        <v>1729809</v>
      </c>
      <c r="E1951">
        <v>1</v>
      </c>
      <c r="F1951" t="s">
        <v>2922</v>
      </c>
    </row>
    <row r="1952" spans="1:6" x14ac:dyDescent="0.25">
      <c r="A1952" t="s">
        <v>4200</v>
      </c>
      <c r="B1952" t="s">
        <v>2918</v>
      </c>
      <c r="C1952" t="s">
        <v>2919</v>
      </c>
      <c r="D1952" t="str">
        <f>HYPERLINK("http://service.sap.com/sap/support/notes/1734783","1734783")</f>
        <v>1734783</v>
      </c>
      <c r="E1952">
        <v>1</v>
      </c>
      <c r="F1952" t="s">
        <v>2923</v>
      </c>
    </row>
    <row r="1953" spans="1:6" x14ac:dyDescent="0.25">
      <c r="A1953" t="s">
        <v>4200</v>
      </c>
      <c r="B1953" t="s">
        <v>2918</v>
      </c>
      <c r="C1953" t="s">
        <v>2919</v>
      </c>
      <c r="D1953" t="str">
        <f>HYPERLINK("http://service.sap.com/sap/support/notes/1753359","1753359")</f>
        <v>1753359</v>
      </c>
      <c r="E1953">
        <v>1</v>
      </c>
      <c r="F1953" t="s">
        <v>2924</v>
      </c>
    </row>
    <row r="1954" spans="1:6" x14ac:dyDescent="0.25">
      <c r="A1954" t="s">
        <v>4200</v>
      </c>
      <c r="B1954" t="s">
        <v>2925</v>
      </c>
      <c r="C1954" t="s">
        <v>2926</v>
      </c>
    </row>
    <row r="1955" spans="1:6" x14ac:dyDescent="0.25">
      <c r="A1955" t="s">
        <v>4200</v>
      </c>
      <c r="B1955" t="s">
        <v>2927</v>
      </c>
      <c r="C1955" t="s">
        <v>2928</v>
      </c>
      <c r="D1955" t="str">
        <f>HYPERLINK("http://service.sap.com/sap/support/notes/1766964","1766964")</f>
        <v>1766964</v>
      </c>
      <c r="E1955">
        <v>1</v>
      </c>
      <c r="F1955" t="s">
        <v>2929</v>
      </c>
    </row>
    <row r="1956" spans="1:6" x14ac:dyDescent="0.25">
      <c r="A1956" t="s">
        <v>4200</v>
      </c>
      <c r="B1956" t="s">
        <v>2930</v>
      </c>
      <c r="C1956" t="s">
        <v>2931</v>
      </c>
    </row>
    <row r="1957" spans="1:6" x14ac:dyDescent="0.25">
      <c r="A1957" t="s">
        <v>4200</v>
      </c>
      <c r="B1957" t="s">
        <v>2932</v>
      </c>
      <c r="C1957" t="s">
        <v>2933</v>
      </c>
    </row>
    <row r="1958" spans="1:6" x14ac:dyDescent="0.25">
      <c r="A1958" t="s">
        <v>4200</v>
      </c>
      <c r="B1958" t="s">
        <v>2934</v>
      </c>
      <c r="C1958" t="s">
        <v>2935</v>
      </c>
    </row>
    <row r="1959" spans="1:6" x14ac:dyDescent="0.25">
      <c r="A1959" t="s">
        <v>4200</v>
      </c>
      <c r="B1959" t="s">
        <v>2936</v>
      </c>
      <c r="C1959" t="s">
        <v>2937</v>
      </c>
      <c r="D1959" t="str">
        <f>HYPERLINK("http://service.sap.com/sap/support/notes/1732656","1732656")</f>
        <v>1732656</v>
      </c>
      <c r="E1959">
        <v>3</v>
      </c>
      <c r="F1959" t="s">
        <v>2938</v>
      </c>
    </row>
    <row r="1960" spans="1:6" x14ac:dyDescent="0.25">
      <c r="A1960" t="s">
        <v>4200</v>
      </c>
      <c r="B1960" t="s">
        <v>2939</v>
      </c>
      <c r="C1960" t="s">
        <v>2940</v>
      </c>
      <c r="D1960" t="str">
        <f>HYPERLINK("http://service.sap.com/sap/support/notes/1765897","1765897")</f>
        <v>1765897</v>
      </c>
      <c r="E1960">
        <v>2</v>
      </c>
      <c r="F1960" t="s">
        <v>2941</v>
      </c>
    </row>
    <row r="1961" spans="1:6" x14ac:dyDescent="0.25">
      <c r="A1961" t="s">
        <v>4200</v>
      </c>
      <c r="B1961" t="s">
        <v>2942</v>
      </c>
      <c r="C1961" t="s">
        <v>2943</v>
      </c>
    </row>
    <row r="1962" spans="1:6" x14ac:dyDescent="0.25">
      <c r="A1962" t="s">
        <v>4200</v>
      </c>
      <c r="B1962" t="s">
        <v>2944</v>
      </c>
      <c r="C1962" t="s">
        <v>2945</v>
      </c>
      <c r="D1962" t="str">
        <f>HYPERLINK("http://service.sap.com/sap/support/notes/1753050","1753050")</f>
        <v>1753050</v>
      </c>
      <c r="E1962">
        <v>2</v>
      </c>
      <c r="F1962" t="s">
        <v>2946</v>
      </c>
    </row>
    <row r="1963" spans="1:6" x14ac:dyDescent="0.25">
      <c r="A1963" t="s">
        <v>4200</v>
      </c>
      <c r="B1963" t="s">
        <v>2947</v>
      </c>
      <c r="C1963" t="s">
        <v>2948</v>
      </c>
    </row>
    <row r="1964" spans="1:6" x14ac:dyDescent="0.25">
      <c r="A1964" t="s">
        <v>4200</v>
      </c>
      <c r="B1964" t="s">
        <v>2949</v>
      </c>
      <c r="C1964" t="s">
        <v>2950</v>
      </c>
    </row>
    <row r="1965" spans="1:6" x14ac:dyDescent="0.25">
      <c r="A1965" t="s">
        <v>4200</v>
      </c>
      <c r="B1965" t="s">
        <v>2951</v>
      </c>
      <c r="C1965" t="s">
        <v>2952</v>
      </c>
      <c r="D1965" t="str">
        <f>HYPERLINK("http://service.sap.com/sap/support/notes/1725373","1725373")</f>
        <v>1725373</v>
      </c>
      <c r="E1965">
        <v>6</v>
      </c>
      <c r="F1965" t="s">
        <v>2953</v>
      </c>
    </row>
    <row r="1966" spans="1:6" x14ac:dyDescent="0.25">
      <c r="A1966" t="s">
        <v>4200</v>
      </c>
      <c r="B1966" t="s">
        <v>2951</v>
      </c>
      <c r="C1966" t="s">
        <v>2952</v>
      </c>
      <c r="D1966" t="str">
        <f>HYPERLINK("http://service.sap.com/sap/support/notes/1729536","1729536")</f>
        <v>1729536</v>
      </c>
      <c r="E1966">
        <v>2</v>
      </c>
      <c r="F1966" t="s">
        <v>2954</v>
      </c>
    </row>
    <row r="1967" spans="1:6" x14ac:dyDescent="0.25">
      <c r="A1967" t="s">
        <v>4200</v>
      </c>
      <c r="B1967" t="s">
        <v>2951</v>
      </c>
      <c r="C1967" t="s">
        <v>2952</v>
      </c>
      <c r="D1967" t="str">
        <f>HYPERLINK("http://service.sap.com/sap/support/notes/1764447","1764447")</f>
        <v>1764447</v>
      </c>
      <c r="E1967">
        <v>1</v>
      </c>
      <c r="F1967" t="s">
        <v>2955</v>
      </c>
    </row>
    <row r="1968" spans="1:6" x14ac:dyDescent="0.25">
      <c r="A1968" t="s">
        <v>4200</v>
      </c>
      <c r="B1968" t="s">
        <v>2956</v>
      </c>
      <c r="C1968" t="s">
        <v>2884</v>
      </c>
      <c r="D1968" t="str">
        <f>HYPERLINK("http://service.sap.com/sap/support/notes/1745577","1745577")</f>
        <v>1745577</v>
      </c>
      <c r="E1968">
        <v>1</v>
      </c>
      <c r="F1968" t="s">
        <v>2957</v>
      </c>
    </row>
    <row r="1969" spans="1:6" x14ac:dyDescent="0.25">
      <c r="A1969" t="s">
        <v>4200</v>
      </c>
      <c r="B1969" t="s">
        <v>2958</v>
      </c>
      <c r="C1969" t="s">
        <v>2959</v>
      </c>
    </row>
    <row r="1970" spans="1:6" x14ac:dyDescent="0.25">
      <c r="A1970" t="s">
        <v>4200</v>
      </c>
      <c r="B1970" t="s">
        <v>2960</v>
      </c>
      <c r="C1970" t="s">
        <v>2961</v>
      </c>
      <c r="D1970" t="str">
        <f>HYPERLINK("http://service.sap.com/sap/support/notes/1451463","1451463")</f>
        <v>1451463</v>
      </c>
      <c r="E1970">
        <v>3</v>
      </c>
      <c r="F1970" t="s">
        <v>2962</v>
      </c>
    </row>
    <row r="1971" spans="1:6" x14ac:dyDescent="0.25">
      <c r="A1971" t="s">
        <v>4200</v>
      </c>
      <c r="B1971" t="s">
        <v>2960</v>
      </c>
      <c r="C1971" t="s">
        <v>2961</v>
      </c>
      <c r="D1971" t="str">
        <f>HYPERLINK("http://service.sap.com/sap/support/notes/1703285","1703285")</f>
        <v>1703285</v>
      </c>
      <c r="E1971">
        <v>1</v>
      </c>
      <c r="F1971" t="s">
        <v>2963</v>
      </c>
    </row>
    <row r="1972" spans="1:6" x14ac:dyDescent="0.25">
      <c r="A1972" t="s">
        <v>4200</v>
      </c>
      <c r="B1972" t="s">
        <v>2964</v>
      </c>
      <c r="C1972" t="s">
        <v>2959</v>
      </c>
    </row>
    <row r="1973" spans="1:6" x14ac:dyDescent="0.25">
      <c r="A1973" t="s">
        <v>4200</v>
      </c>
      <c r="B1973" t="s">
        <v>2965</v>
      </c>
      <c r="C1973" t="s">
        <v>2966</v>
      </c>
      <c r="D1973" t="str">
        <f>HYPERLINK("http://service.sap.com/sap/support/notes/1728669","1728669")</f>
        <v>1728669</v>
      </c>
      <c r="E1973">
        <v>1</v>
      </c>
      <c r="F1973" t="s">
        <v>2967</v>
      </c>
    </row>
    <row r="1974" spans="1:6" x14ac:dyDescent="0.25">
      <c r="A1974" t="s">
        <v>4200</v>
      </c>
      <c r="B1974" t="s">
        <v>2965</v>
      </c>
      <c r="C1974" t="s">
        <v>2966</v>
      </c>
      <c r="D1974" t="str">
        <f>HYPERLINK("http://service.sap.com/sap/support/notes/1751771","1751771")</f>
        <v>1751771</v>
      </c>
      <c r="E1974">
        <v>3</v>
      </c>
      <c r="F1974" t="s">
        <v>2968</v>
      </c>
    </row>
    <row r="1975" spans="1:6" x14ac:dyDescent="0.25">
      <c r="A1975" t="s">
        <v>4200</v>
      </c>
      <c r="B1975" t="s">
        <v>2965</v>
      </c>
      <c r="C1975" t="s">
        <v>2966</v>
      </c>
      <c r="D1975" t="str">
        <f>HYPERLINK("http://service.sap.com/sap/support/notes/1763415","1763415")</f>
        <v>1763415</v>
      </c>
      <c r="E1975">
        <v>1</v>
      </c>
      <c r="F1975" t="s">
        <v>2969</v>
      </c>
    </row>
    <row r="1976" spans="1:6" x14ac:dyDescent="0.25">
      <c r="A1976" t="s">
        <v>4200</v>
      </c>
      <c r="B1976" t="s">
        <v>2970</v>
      </c>
      <c r="C1976" t="s">
        <v>2971</v>
      </c>
    </row>
    <row r="1977" spans="1:6" x14ac:dyDescent="0.25">
      <c r="A1977" t="s">
        <v>4200</v>
      </c>
      <c r="B1977" t="s">
        <v>2972</v>
      </c>
      <c r="C1977" t="s">
        <v>2973</v>
      </c>
      <c r="D1977" t="str">
        <f>HYPERLINK("http://service.sap.com/sap/support/notes/1723761","1723761")</f>
        <v>1723761</v>
      </c>
      <c r="E1977">
        <v>1</v>
      </c>
      <c r="F1977" t="s">
        <v>2974</v>
      </c>
    </row>
    <row r="1978" spans="1:6" x14ac:dyDescent="0.25">
      <c r="A1978" t="s">
        <v>4200</v>
      </c>
      <c r="B1978" t="s">
        <v>2975</v>
      </c>
      <c r="C1978" t="s">
        <v>824</v>
      </c>
      <c r="D1978" t="str">
        <f>HYPERLINK("http://service.sap.com/sap/support/notes/1715213","1715213")</f>
        <v>1715213</v>
      </c>
      <c r="E1978">
        <v>2</v>
      </c>
      <c r="F1978" t="s">
        <v>2976</v>
      </c>
    </row>
    <row r="1979" spans="1:6" x14ac:dyDescent="0.25">
      <c r="A1979" t="s">
        <v>4200</v>
      </c>
      <c r="B1979" t="s">
        <v>2975</v>
      </c>
      <c r="C1979" t="s">
        <v>824</v>
      </c>
      <c r="D1979" t="str">
        <f>HYPERLINK("http://service.sap.com/sap/support/notes/1748317","1748317")</f>
        <v>1748317</v>
      </c>
      <c r="E1979">
        <v>2</v>
      </c>
      <c r="F1979" t="s">
        <v>2977</v>
      </c>
    </row>
    <row r="1980" spans="1:6" x14ac:dyDescent="0.25">
      <c r="A1980" t="s">
        <v>4200</v>
      </c>
      <c r="B1980" t="s">
        <v>2978</v>
      </c>
      <c r="C1980" t="s">
        <v>2979</v>
      </c>
      <c r="D1980" t="str">
        <f>HYPERLINK("http://service.sap.com/sap/support/notes/1735516","1735516")</f>
        <v>1735516</v>
      </c>
      <c r="E1980">
        <v>2</v>
      </c>
      <c r="F1980" t="s">
        <v>2980</v>
      </c>
    </row>
    <row r="1981" spans="1:6" x14ac:dyDescent="0.25">
      <c r="A1981" t="s">
        <v>4200</v>
      </c>
      <c r="B1981" t="s">
        <v>2981</v>
      </c>
      <c r="C1981" t="s">
        <v>2982</v>
      </c>
      <c r="D1981" t="str">
        <f>HYPERLINK("http://service.sap.com/sap/support/notes/1762249","1762249")</f>
        <v>1762249</v>
      </c>
      <c r="E1981">
        <v>1</v>
      </c>
      <c r="F1981" t="s">
        <v>2983</v>
      </c>
    </row>
    <row r="1982" spans="1:6" x14ac:dyDescent="0.25">
      <c r="A1982" t="s">
        <v>4200</v>
      </c>
      <c r="B1982" t="s">
        <v>2984</v>
      </c>
      <c r="C1982" t="s">
        <v>2985</v>
      </c>
      <c r="D1982" t="str">
        <f>HYPERLINK("http://service.sap.com/sap/support/notes/1739183","1739183")</f>
        <v>1739183</v>
      </c>
      <c r="E1982">
        <v>4</v>
      </c>
      <c r="F1982" t="s">
        <v>2986</v>
      </c>
    </row>
    <row r="1983" spans="1:6" x14ac:dyDescent="0.25">
      <c r="A1983" t="s">
        <v>4200</v>
      </c>
      <c r="B1983" t="s">
        <v>2984</v>
      </c>
      <c r="C1983" t="s">
        <v>2985</v>
      </c>
      <c r="D1983" t="str">
        <f>HYPERLINK("http://service.sap.com/sap/support/notes/1742484","1742484")</f>
        <v>1742484</v>
      </c>
      <c r="E1983">
        <v>1</v>
      </c>
      <c r="F1983" t="s">
        <v>2987</v>
      </c>
    </row>
    <row r="1984" spans="1:6" x14ac:dyDescent="0.25">
      <c r="A1984" t="s">
        <v>4200</v>
      </c>
      <c r="B1984" t="s">
        <v>2984</v>
      </c>
      <c r="C1984" t="s">
        <v>2985</v>
      </c>
      <c r="D1984" t="str">
        <f>HYPERLINK("http://service.sap.com/sap/support/notes/1744539","1744539")</f>
        <v>1744539</v>
      </c>
      <c r="E1984">
        <v>3</v>
      </c>
      <c r="F1984" t="s">
        <v>2988</v>
      </c>
    </row>
    <row r="1985" spans="1:6" x14ac:dyDescent="0.25">
      <c r="A1985" t="s">
        <v>4200</v>
      </c>
      <c r="B1985" t="s">
        <v>2989</v>
      </c>
      <c r="C1985" t="s">
        <v>2990</v>
      </c>
      <c r="D1985" t="str">
        <f>HYPERLINK("http://service.sap.com/sap/support/notes/1717374","1717374")</f>
        <v>1717374</v>
      </c>
      <c r="E1985">
        <v>4</v>
      </c>
      <c r="F1985" t="s">
        <v>2991</v>
      </c>
    </row>
    <row r="1986" spans="1:6" x14ac:dyDescent="0.25">
      <c r="A1986" t="s">
        <v>4200</v>
      </c>
      <c r="B1986" t="s">
        <v>2989</v>
      </c>
      <c r="C1986" t="s">
        <v>2990</v>
      </c>
      <c r="D1986" t="str">
        <f>HYPERLINK("http://service.sap.com/sap/support/notes/1729329","1729329")</f>
        <v>1729329</v>
      </c>
      <c r="E1986">
        <v>3</v>
      </c>
      <c r="F1986" t="s">
        <v>2992</v>
      </c>
    </row>
    <row r="1987" spans="1:6" x14ac:dyDescent="0.25">
      <c r="A1987" t="s">
        <v>4200</v>
      </c>
      <c r="B1987" t="s">
        <v>2989</v>
      </c>
      <c r="C1987" t="s">
        <v>2990</v>
      </c>
      <c r="D1987" t="str">
        <f>HYPERLINK("http://service.sap.com/sap/support/notes/1741533","1741533")</f>
        <v>1741533</v>
      </c>
      <c r="E1987">
        <v>1</v>
      </c>
      <c r="F1987" t="s">
        <v>2993</v>
      </c>
    </row>
    <row r="1988" spans="1:6" x14ac:dyDescent="0.25">
      <c r="A1988" t="s">
        <v>4200</v>
      </c>
      <c r="B1988" t="s">
        <v>2989</v>
      </c>
      <c r="C1988" t="s">
        <v>2990</v>
      </c>
      <c r="D1988" t="str">
        <f>HYPERLINK("http://service.sap.com/sap/support/notes/1742188","1742188")</f>
        <v>1742188</v>
      </c>
      <c r="E1988">
        <v>1</v>
      </c>
      <c r="F1988" t="s">
        <v>2994</v>
      </c>
    </row>
    <row r="1989" spans="1:6" x14ac:dyDescent="0.25">
      <c r="A1989" t="s">
        <v>4200</v>
      </c>
      <c r="B1989" t="s">
        <v>2989</v>
      </c>
      <c r="C1989" t="s">
        <v>2990</v>
      </c>
      <c r="D1989" t="str">
        <f>HYPERLINK("http://service.sap.com/sap/support/notes/1747890","1747890")</f>
        <v>1747890</v>
      </c>
      <c r="E1989">
        <v>13</v>
      </c>
      <c r="F1989" t="s">
        <v>2995</v>
      </c>
    </row>
    <row r="1990" spans="1:6" x14ac:dyDescent="0.25">
      <c r="A1990" t="s">
        <v>4200</v>
      </c>
      <c r="B1990" t="s">
        <v>2989</v>
      </c>
      <c r="C1990" t="s">
        <v>2990</v>
      </c>
      <c r="D1990" t="str">
        <f>HYPERLINK("http://service.sap.com/sap/support/notes/1749847","1749847")</f>
        <v>1749847</v>
      </c>
      <c r="E1990">
        <v>2</v>
      </c>
      <c r="F1990" t="s">
        <v>2996</v>
      </c>
    </row>
    <row r="1991" spans="1:6" x14ac:dyDescent="0.25">
      <c r="A1991" t="s">
        <v>4200</v>
      </c>
      <c r="B1991" t="s">
        <v>2989</v>
      </c>
      <c r="C1991" t="s">
        <v>2990</v>
      </c>
      <c r="D1991" t="str">
        <f>HYPERLINK("http://service.sap.com/sap/support/notes/1765496","1765496")</f>
        <v>1765496</v>
      </c>
      <c r="E1991">
        <v>1</v>
      </c>
      <c r="F1991" t="s">
        <v>2997</v>
      </c>
    </row>
    <row r="1992" spans="1:6" x14ac:dyDescent="0.25">
      <c r="A1992" t="s">
        <v>4200</v>
      </c>
      <c r="B1992" t="s">
        <v>2998</v>
      </c>
      <c r="C1992" t="s">
        <v>2999</v>
      </c>
      <c r="D1992" t="str">
        <f>HYPERLINK("http://service.sap.com/sap/support/notes/1749407","1749407")</f>
        <v>1749407</v>
      </c>
      <c r="E1992">
        <v>2</v>
      </c>
      <c r="F1992" t="s">
        <v>3000</v>
      </c>
    </row>
    <row r="1993" spans="1:6" x14ac:dyDescent="0.25">
      <c r="A1993" t="s">
        <v>4200</v>
      </c>
      <c r="B1993" t="s">
        <v>3001</v>
      </c>
      <c r="C1993" t="s">
        <v>3002</v>
      </c>
      <c r="D1993" t="str">
        <f>HYPERLINK("http://service.sap.com/sap/support/notes/1754202","1754202")</f>
        <v>1754202</v>
      </c>
      <c r="E1993">
        <v>2</v>
      </c>
      <c r="F1993" t="s">
        <v>3003</v>
      </c>
    </row>
    <row r="1994" spans="1:6" x14ac:dyDescent="0.25">
      <c r="A1994" t="s">
        <v>4200</v>
      </c>
      <c r="B1994" t="s">
        <v>3001</v>
      </c>
      <c r="C1994" t="s">
        <v>3002</v>
      </c>
      <c r="D1994" t="str">
        <f>HYPERLINK("http://service.sap.com/sap/support/notes/1754620","1754620")</f>
        <v>1754620</v>
      </c>
      <c r="E1994">
        <v>2</v>
      </c>
      <c r="F1994" t="s">
        <v>3004</v>
      </c>
    </row>
    <row r="1995" spans="1:6" x14ac:dyDescent="0.25">
      <c r="A1995" t="s">
        <v>4200</v>
      </c>
      <c r="B1995" t="s">
        <v>3001</v>
      </c>
      <c r="C1995" t="s">
        <v>3002</v>
      </c>
      <c r="D1995" t="str">
        <f>HYPERLINK("http://service.sap.com/sap/support/notes/1762696","1762696")</f>
        <v>1762696</v>
      </c>
      <c r="E1995">
        <v>1</v>
      </c>
      <c r="F1995" t="s">
        <v>3005</v>
      </c>
    </row>
    <row r="1996" spans="1:6" x14ac:dyDescent="0.25">
      <c r="A1996" t="s">
        <v>4200</v>
      </c>
      <c r="B1996" t="s">
        <v>3001</v>
      </c>
      <c r="C1996" t="s">
        <v>3002</v>
      </c>
      <c r="D1996" t="str">
        <f>HYPERLINK("http://service.sap.com/sap/support/notes/1766560","1766560")</f>
        <v>1766560</v>
      </c>
      <c r="E1996">
        <v>1</v>
      </c>
      <c r="F1996" t="s">
        <v>3006</v>
      </c>
    </row>
    <row r="1997" spans="1:6" x14ac:dyDescent="0.25">
      <c r="A1997" t="s">
        <v>4200</v>
      </c>
      <c r="B1997" t="s">
        <v>3001</v>
      </c>
      <c r="C1997" t="s">
        <v>3002</v>
      </c>
      <c r="D1997" t="str">
        <f>HYPERLINK("http://service.sap.com/sap/support/notes/1767055","1767055")</f>
        <v>1767055</v>
      </c>
      <c r="E1997">
        <v>3</v>
      </c>
      <c r="F1997" t="s">
        <v>3007</v>
      </c>
    </row>
    <row r="1998" spans="1:6" x14ac:dyDescent="0.25">
      <c r="A1998" t="s">
        <v>4200</v>
      </c>
      <c r="B1998" t="s">
        <v>3008</v>
      </c>
      <c r="C1998" t="s">
        <v>3009</v>
      </c>
      <c r="D1998" t="str">
        <f>HYPERLINK("http://service.sap.com/sap/support/notes/1720649","1720649")</f>
        <v>1720649</v>
      </c>
      <c r="E1998">
        <v>7</v>
      </c>
      <c r="F1998" t="s">
        <v>3010</v>
      </c>
    </row>
    <row r="1999" spans="1:6" x14ac:dyDescent="0.25">
      <c r="A1999" t="s">
        <v>4200</v>
      </c>
      <c r="B1999" t="s">
        <v>3008</v>
      </c>
      <c r="C1999" t="s">
        <v>3009</v>
      </c>
      <c r="D1999" t="str">
        <f>HYPERLINK("http://service.sap.com/sap/support/notes/1731345","1731345")</f>
        <v>1731345</v>
      </c>
      <c r="E1999">
        <v>1</v>
      </c>
      <c r="F1999" t="s">
        <v>3011</v>
      </c>
    </row>
    <row r="2000" spans="1:6" x14ac:dyDescent="0.25">
      <c r="A2000" t="s">
        <v>4200</v>
      </c>
      <c r="B2000" t="s">
        <v>3008</v>
      </c>
      <c r="C2000" t="s">
        <v>3009</v>
      </c>
      <c r="D2000" t="str">
        <f>HYPERLINK("http://service.sap.com/sap/support/notes/1733152","1733152")</f>
        <v>1733152</v>
      </c>
      <c r="E2000">
        <v>2</v>
      </c>
      <c r="F2000" t="s">
        <v>3012</v>
      </c>
    </row>
    <row r="2001" spans="1:6" x14ac:dyDescent="0.25">
      <c r="A2001" t="s">
        <v>4200</v>
      </c>
      <c r="B2001" t="s">
        <v>3008</v>
      </c>
      <c r="C2001" t="s">
        <v>3009</v>
      </c>
      <c r="D2001" t="str">
        <f>HYPERLINK("http://service.sap.com/sap/support/notes/1734749","1734749")</f>
        <v>1734749</v>
      </c>
      <c r="E2001">
        <v>6</v>
      </c>
      <c r="F2001" t="s">
        <v>3013</v>
      </c>
    </row>
    <row r="2002" spans="1:6" x14ac:dyDescent="0.25">
      <c r="A2002" t="s">
        <v>4200</v>
      </c>
      <c r="B2002" t="s">
        <v>3008</v>
      </c>
      <c r="C2002" t="s">
        <v>3009</v>
      </c>
      <c r="D2002" t="str">
        <f>HYPERLINK("http://service.sap.com/sap/support/notes/1736590","1736590")</f>
        <v>1736590</v>
      </c>
      <c r="E2002">
        <v>2</v>
      </c>
      <c r="F2002" t="s">
        <v>3014</v>
      </c>
    </row>
    <row r="2003" spans="1:6" x14ac:dyDescent="0.25">
      <c r="A2003" t="s">
        <v>4200</v>
      </c>
      <c r="B2003" t="s">
        <v>3008</v>
      </c>
      <c r="C2003" t="s">
        <v>3009</v>
      </c>
      <c r="D2003" t="str">
        <f>HYPERLINK("http://service.sap.com/sap/support/notes/1762300","1762300")</f>
        <v>1762300</v>
      </c>
      <c r="E2003">
        <v>2</v>
      </c>
      <c r="F2003" t="s">
        <v>3015</v>
      </c>
    </row>
    <row r="2004" spans="1:6" x14ac:dyDescent="0.25">
      <c r="A2004" t="s">
        <v>4200</v>
      </c>
      <c r="B2004" t="s">
        <v>3016</v>
      </c>
      <c r="C2004" t="s">
        <v>3017</v>
      </c>
      <c r="D2004" t="str">
        <f>HYPERLINK("http://service.sap.com/sap/support/notes/1746548","1746548")</f>
        <v>1746548</v>
      </c>
      <c r="E2004">
        <v>2</v>
      </c>
      <c r="F2004" t="s">
        <v>3018</v>
      </c>
    </row>
    <row r="2005" spans="1:6" x14ac:dyDescent="0.25">
      <c r="A2005" t="s">
        <v>4200</v>
      </c>
      <c r="B2005" t="s">
        <v>3019</v>
      </c>
      <c r="C2005" t="s">
        <v>3020</v>
      </c>
    </row>
    <row r="2006" spans="1:6" x14ac:dyDescent="0.25">
      <c r="A2006" t="s">
        <v>4200</v>
      </c>
      <c r="B2006" t="s">
        <v>3021</v>
      </c>
      <c r="C2006" t="s">
        <v>3022</v>
      </c>
      <c r="D2006" t="str">
        <f>HYPERLINK("http://service.sap.com/sap/support/notes/1741672","1741672")</f>
        <v>1741672</v>
      </c>
      <c r="E2006">
        <v>3</v>
      </c>
      <c r="F2006" t="s">
        <v>3023</v>
      </c>
    </row>
    <row r="2007" spans="1:6" x14ac:dyDescent="0.25">
      <c r="A2007" t="s">
        <v>4200</v>
      </c>
      <c r="B2007" t="s">
        <v>3021</v>
      </c>
      <c r="C2007" t="s">
        <v>3022</v>
      </c>
      <c r="D2007" t="str">
        <f>HYPERLINK("http://service.sap.com/sap/support/notes/1753920","1753920")</f>
        <v>1753920</v>
      </c>
      <c r="E2007">
        <v>1</v>
      </c>
      <c r="F2007" t="s">
        <v>3024</v>
      </c>
    </row>
    <row r="2008" spans="1:6" x14ac:dyDescent="0.25">
      <c r="A2008" t="s">
        <v>4200</v>
      </c>
      <c r="B2008" t="s">
        <v>3025</v>
      </c>
      <c r="C2008" t="s">
        <v>3026</v>
      </c>
    </row>
    <row r="2009" spans="1:6" x14ac:dyDescent="0.25">
      <c r="A2009" t="s">
        <v>4200</v>
      </c>
      <c r="B2009" t="s">
        <v>3027</v>
      </c>
      <c r="C2009" t="s">
        <v>3028</v>
      </c>
      <c r="D2009" t="str">
        <f>HYPERLINK("http://service.sap.com/sap/support/notes/1727293","1727293")</f>
        <v>1727293</v>
      </c>
      <c r="E2009">
        <v>2</v>
      </c>
      <c r="F2009" t="s">
        <v>3029</v>
      </c>
    </row>
    <row r="2010" spans="1:6" x14ac:dyDescent="0.25">
      <c r="A2010" t="s">
        <v>4200</v>
      </c>
      <c r="B2010" t="s">
        <v>3027</v>
      </c>
      <c r="C2010" t="s">
        <v>3028</v>
      </c>
      <c r="D2010" t="str">
        <f>HYPERLINK("http://service.sap.com/sap/support/notes/1734647","1734647")</f>
        <v>1734647</v>
      </c>
      <c r="E2010">
        <v>2</v>
      </c>
      <c r="F2010" t="s">
        <v>3030</v>
      </c>
    </row>
    <row r="2011" spans="1:6" x14ac:dyDescent="0.25">
      <c r="A2011" t="s">
        <v>4200</v>
      </c>
      <c r="B2011" t="s">
        <v>3027</v>
      </c>
      <c r="C2011" t="s">
        <v>3028</v>
      </c>
      <c r="D2011" t="str">
        <f>HYPERLINK("http://service.sap.com/sap/support/notes/1735142","1735142")</f>
        <v>1735142</v>
      </c>
      <c r="E2011">
        <v>2</v>
      </c>
      <c r="F2011" t="s">
        <v>3031</v>
      </c>
    </row>
    <row r="2012" spans="1:6" x14ac:dyDescent="0.25">
      <c r="A2012" t="s">
        <v>4200</v>
      </c>
      <c r="B2012" t="s">
        <v>3027</v>
      </c>
      <c r="C2012" t="s">
        <v>3028</v>
      </c>
      <c r="D2012" t="str">
        <f>HYPERLINK("http://service.sap.com/sap/support/notes/1745679","1745679")</f>
        <v>1745679</v>
      </c>
      <c r="E2012">
        <v>1</v>
      </c>
      <c r="F2012" t="s">
        <v>3032</v>
      </c>
    </row>
    <row r="2013" spans="1:6" x14ac:dyDescent="0.25">
      <c r="A2013" t="s">
        <v>4200</v>
      </c>
      <c r="B2013" t="s">
        <v>3033</v>
      </c>
      <c r="C2013" t="s">
        <v>3034</v>
      </c>
      <c r="D2013" t="str">
        <f>HYPERLINK("http://service.sap.com/sap/support/notes/1586202","1586202")</f>
        <v>1586202</v>
      </c>
      <c r="E2013">
        <v>4</v>
      </c>
      <c r="F2013" t="s">
        <v>3035</v>
      </c>
    </row>
    <row r="2014" spans="1:6" x14ac:dyDescent="0.25">
      <c r="A2014" t="s">
        <v>4200</v>
      </c>
      <c r="B2014" t="s">
        <v>3033</v>
      </c>
      <c r="C2014" t="s">
        <v>3034</v>
      </c>
      <c r="D2014" t="str">
        <f>HYPERLINK("http://service.sap.com/sap/support/notes/1752359","1752359")</f>
        <v>1752359</v>
      </c>
      <c r="E2014">
        <v>4</v>
      </c>
      <c r="F2014" t="s">
        <v>3036</v>
      </c>
    </row>
    <row r="2015" spans="1:6" x14ac:dyDescent="0.25">
      <c r="A2015" t="s">
        <v>4200</v>
      </c>
      <c r="B2015" t="s">
        <v>3037</v>
      </c>
      <c r="C2015" t="s">
        <v>3038</v>
      </c>
      <c r="D2015" t="str">
        <f>HYPERLINK("http://service.sap.com/sap/support/notes/1748638","1748638")</f>
        <v>1748638</v>
      </c>
      <c r="E2015">
        <v>3</v>
      </c>
      <c r="F2015" t="s">
        <v>3039</v>
      </c>
    </row>
    <row r="2016" spans="1:6" x14ac:dyDescent="0.25">
      <c r="A2016" t="s">
        <v>4200</v>
      </c>
      <c r="B2016" t="s">
        <v>3040</v>
      </c>
      <c r="C2016" t="s">
        <v>3041</v>
      </c>
      <c r="D2016" t="str">
        <f>HYPERLINK("http://service.sap.com/sap/support/notes/1410690","1410690")</f>
        <v>1410690</v>
      </c>
      <c r="E2016">
        <v>2</v>
      </c>
      <c r="F2016" t="s">
        <v>3042</v>
      </c>
    </row>
    <row r="2017" spans="1:6" x14ac:dyDescent="0.25">
      <c r="A2017" t="s">
        <v>4200</v>
      </c>
      <c r="B2017" t="s">
        <v>3040</v>
      </c>
      <c r="C2017" t="s">
        <v>3041</v>
      </c>
      <c r="D2017" t="str">
        <f>HYPERLINK("http://service.sap.com/sap/support/notes/1536157","1536157")</f>
        <v>1536157</v>
      </c>
      <c r="E2017">
        <v>3</v>
      </c>
      <c r="F2017" t="s">
        <v>3043</v>
      </c>
    </row>
    <row r="2018" spans="1:6" x14ac:dyDescent="0.25">
      <c r="A2018" t="s">
        <v>4200</v>
      </c>
      <c r="B2018" t="s">
        <v>3040</v>
      </c>
      <c r="C2018" t="s">
        <v>3041</v>
      </c>
      <c r="D2018" t="str">
        <f>HYPERLINK("http://service.sap.com/sap/support/notes/1586970","1586970")</f>
        <v>1586970</v>
      </c>
      <c r="E2018">
        <v>3</v>
      </c>
      <c r="F2018" t="s">
        <v>3044</v>
      </c>
    </row>
    <row r="2019" spans="1:6" x14ac:dyDescent="0.25">
      <c r="A2019" t="s">
        <v>4200</v>
      </c>
      <c r="B2019" t="s">
        <v>3040</v>
      </c>
      <c r="C2019" t="s">
        <v>3041</v>
      </c>
      <c r="D2019" t="str">
        <f>HYPERLINK("http://service.sap.com/sap/support/notes/1685452","1685452")</f>
        <v>1685452</v>
      </c>
      <c r="E2019">
        <v>3</v>
      </c>
      <c r="F2019" t="s">
        <v>3045</v>
      </c>
    </row>
    <row r="2020" spans="1:6" x14ac:dyDescent="0.25">
      <c r="A2020" t="s">
        <v>4200</v>
      </c>
      <c r="B2020" t="s">
        <v>3040</v>
      </c>
      <c r="C2020" t="s">
        <v>3041</v>
      </c>
      <c r="D2020" t="str">
        <f>HYPERLINK("http://service.sap.com/sap/support/notes/1729456","1729456")</f>
        <v>1729456</v>
      </c>
      <c r="E2020">
        <v>1</v>
      </c>
      <c r="F2020" t="s">
        <v>3046</v>
      </c>
    </row>
    <row r="2021" spans="1:6" x14ac:dyDescent="0.25">
      <c r="A2021" t="s">
        <v>4200</v>
      </c>
      <c r="B2021" t="s">
        <v>3040</v>
      </c>
      <c r="C2021" t="s">
        <v>3041</v>
      </c>
      <c r="D2021" t="str">
        <f>HYPERLINK("http://service.sap.com/sap/support/notes/1739671","1739671")</f>
        <v>1739671</v>
      </c>
      <c r="E2021">
        <v>5</v>
      </c>
      <c r="F2021" t="s">
        <v>3047</v>
      </c>
    </row>
    <row r="2022" spans="1:6" x14ac:dyDescent="0.25">
      <c r="A2022" t="s">
        <v>4200</v>
      </c>
      <c r="B2022" t="s">
        <v>3048</v>
      </c>
      <c r="C2022" t="s">
        <v>3049</v>
      </c>
    </row>
    <row r="2023" spans="1:6" x14ac:dyDescent="0.25">
      <c r="A2023" t="s">
        <v>4200</v>
      </c>
      <c r="B2023" t="s">
        <v>3050</v>
      </c>
      <c r="C2023" t="s">
        <v>3051</v>
      </c>
      <c r="D2023" t="str">
        <f>HYPERLINK("http://service.sap.com/sap/support/notes/1664715","1664715")</f>
        <v>1664715</v>
      </c>
      <c r="E2023">
        <v>1</v>
      </c>
      <c r="F2023" t="s">
        <v>3052</v>
      </c>
    </row>
    <row r="2024" spans="1:6" x14ac:dyDescent="0.25">
      <c r="A2024" t="s">
        <v>4200</v>
      </c>
      <c r="B2024" t="s">
        <v>3050</v>
      </c>
      <c r="C2024" t="s">
        <v>3051</v>
      </c>
      <c r="D2024" t="str">
        <f>HYPERLINK("http://service.sap.com/sap/support/notes/1700291","1700291")</f>
        <v>1700291</v>
      </c>
      <c r="E2024">
        <v>3</v>
      </c>
      <c r="F2024" t="s">
        <v>3053</v>
      </c>
    </row>
    <row r="2025" spans="1:6" x14ac:dyDescent="0.25">
      <c r="A2025" t="s">
        <v>4200</v>
      </c>
      <c r="B2025" t="s">
        <v>3050</v>
      </c>
      <c r="C2025" t="s">
        <v>3051</v>
      </c>
      <c r="D2025" t="str">
        <f>HYPERLINK("http://service.sap.com/sap/support/notes/1759557","1759557")</f>
        <v>1759557</v>
      </c>
      <c r="E2025">
        <v>1</v>
      </c>
      <c r="F2025" t="s">
        <v>3054</v>
      </c>
    </row>
    <row r="2026" spans="1:6" x14ac:dyDescent="0.25">
      <c r="A2026" t="s">
        <v>4200</v>
      </c>
      <c r="B2026" t="s">
        <v>3055</v>
      </c>
      <c r="C2026" t="s">
        <v>3056</v>
      </c>
      <c r="D2026" t="str">
        <f>HYPERLINK("http://service.sap.com/sap/support/notes/1731231","1731231")</f>
        <v>1731231</v>
      </c>
      <c r="E2026">
        <v>4</v>
      </c>
      <c r="F2026" t="s">
        <v>3057</v>
      </c>
    </row>
    <row r="2027" spans="1:6" x14ac:dyDescent="0.25">
      <c r="A2027" t="s">
        <v>4200</v>
      </c>
      <c r="B2027" t="s">
        <v>3055</v>
      </c>
      <c r="C2027" t="s">
        <v>3056</v>
      </c>
      <c r="D2027" t="str">
        <f>HYPERLINK("http://service.sap.com/sap/support/notes/1733126","1733126")</f>
        <v>1733126</v>
      </c>
      <c r="E2027">
        <v>4</v>
      </c>
      <c r="F2027" t="s">
        <v>3058</v>
      </c>
    </row>
    <row r="2028" spans="1:6" x14ac:dyDescent="0.25">
      <c r="A2028" t="s">
        <v>4200</v>
      </c>
      <c r="B2028" t="s">
        <v>3055</v>
      </c>
      <c r="C2028" t="s">
        <v>3056</v>
      </c>
      <c r="D2028" t="str">
        <f>HYPERLINK("http://service.sap.com/sap/support/notes/1733579","1733579")</f>
        <v>1733579</v>
      </c>
      <c r="E2028">
        <v>1</v>
      </c>
      <c r="F2028" t="s">
        <v>3059</v>
      </c>
    </row>
    <row r="2029" spans="1:6" x14ac:dyDescent="0.25">
      <c r="A2029" t="s">
        <v>4200</v>
      </c>
      <c r="B2029" t="s">
        <v>3055</v>
      </c>
      <c r="C2029" t="s">
        <v>3056</v>
      </c>
      <c r="D2029" t="str">
        <f>HYPERLINK("http://service.sap.com/sap/support/notes/1758166","1758166")</f>
        <v>1758166</v>
      </c>
      <c r="E2029">
        <v>2</v>
      </c>
      <c r="F2029" t="s">
        <v>3060</v>
      </c>
    </row>
    <row r="2030" spans="1:6" x14ac:dyDescent="0.25">
      <c r="A2030" t="s">
        <v>4200</v>
      </c>
      <c r="B2030" t="s">
        <v>3061</v>
      </c>
      <c r="C2030" t="s">
        <v>3062</v>
      </c>
      <c r="D2030" t="str">
        <f>HYPERLINK("http://service.sap.com/sap/support/notes/1750452","1750452")</f>
        <v>1750452</v>
      </c>
      <c r="E2030">
        <v>1</v>
      </c>
      <c r="F2030" t="s">
        <v>3063</v>
      </c>
    </row>
    <row r="2031" spans="1:6" x14ac:dyDescent="0.25">
      <c r="A2031" t="s">
        <v>4200</v>
      </c>
      <c r="B2031" t="s">
        <v>3064</v>
      </c>
      <c r="C2031" t="s">
        <v>3065</v>
      </c>
      <c r="D2031" t="str">
        <f>HYPERLINK("http://service.sap.com/sap/support/notes/1711865","1711865")</f>
        <v>1711865</v>
      </c>
      <c r="E2031">
        <v>1</v>
      </c>
      <c r="F2031" t="s">
        <v>3066</v>
      </c>
    </row>
    <row r="2032" spans="1:6" x14ac:dyDescent="0.25">
      <c r="A2032" t="s">
        <v>4200</v>
      </c>
      <c r="B2032" t="s">
        <v>3064</v>
      </c>
      <c r="C2032" t="s">
        <v>3065</v>
      </c>
      <c r="D2032" t="str">
        <f>HYPERLINK("http://service.sap.com/sap/support/notes/1721886","1721886")</f>
        <v>1721886</v>
      </c>
      <c r="E2032">
        <v>1</v>
      </c>
      <c r="F2032" t="s">
        <v>3067</v>
      </c>
    </row>
    <row r="2033" spans="1:6" x14ac:dyDescent="0.25">
      <c r="A2033" t="s">
        <v>4200</v>
      </c>
      <c r="B2033" t="s">
        <v>3064</v>
      </c>
      <c r="C2033" t="s">
        <v>3065</v>
      </c>
      <c r="D2033" t="str">
        <f>HYPERLINK("http://service.sap.com/sap/support/notes/1726023","1726023")</f>
        <v>1726023</v>
      </c>
      <c r="E2033">
        <v>1</v>
      </c>
      <c r="F2033" t="s">
        <v>3068</v>
      </c>
    </row>
    <row r="2034" spans="1:6" x14ac:dyDescent="0.25">
      <c r="A2034" t="s">
        <v>4200</v>
      </c>
      <c r="B2034" t="s">
        <v>3064</v>
      </c>
      <c r="C2034" t="s">
        <v>3065</v>
      </c>
      <c r="D2034" t="str">
        <f>HYPERLINK("http://service.sap.com/sap/support/notes/1726577","1726577")</f>
        <v>1726577</v>
      </c>
      <c r="E2034">
        <v>2</v>
      </c>
      <c r="F2034" t="s">
        <v>3069</v>
      </c>
    </row>
    <row r="2035" spans="1:6" x14ac:dyDescent="0.25">
      <c r="A2035" t="s">
        <v>4200</v>
      </c>
      <c r="B2035" t="s">
        <v>3064</v>
      </c>
      <c r="C2035" t="s">
        <v>3065</v>
      </c>
      <c r="D2035" t="str">
        <f>HYPERLINK("http://service.sap.com/sap/support/notes/1733684","1733684")</f>
        <v>1733684</v>
      </c>
      <c r="E2035">
        <v>1</v>
      </c>
      <c r="F2035" t="s">
        <v>3070</v>
      </c>
    </row>
    <row r="2036" spans="1:6" x14ac:dyDescent="0.25">
      <c r="A2036" t="s">
        <v>4200</v>
      </c>
      <c r="B2036" t="s">
        <v>3064</v>
      </c>
      <c r="C2036" t="s">
        <v>3065</v>
      </c>
      <c r="D2036" t="str">
        <f>HYPERLINK("http://service.sap.com/sap/support/notes/1737990","1737990")</f>
        <v>1737990</v>
      </c>
      <c r="E2036">
        <v>3</v>
      </c>
      <c r="F2036" t="s">
        <v>3071</v>
      </c>
    </row>
    <row r="2037" spans="1:6" x14ac:dyDescent="0.25">
      <c r="A2037" t="s">
        <v>4200</v>
      </c>
      <c r="B2037" t="s">
        <v>3064</v>
      </c>
      <c r="C2037" t="s">
        <v>3065</v>
      </c>
      <c r="D2037" t="str">
        <f>HYPERLINK("http://service.sap.com/sap/support/notes/1743381","1743381")</f>
        <v>1743381</v>
      </c>
      <c r="E2037">
        <v>2</v>
      </c>
      <c r="F2037" t="s">
        <v>3072</v>
      </c>
    </row>
    <row r="2038" spans="1:6" x14ac:dyDescent="0.25">
      <c r="A2038" t="s">
        <v>4200</v>
      </c>
      <c r="B2038" t="s">
        <v>3064</v>
      </c>
      <c r="C2038" t="s">
        <v>3065</v>
      </c>
      <c r="D2038" t="str">
        <f>HYPERLINK("http://service.sap.com/sap/support/notes/1745038","1745038")</f>
        <v>1745038</v>
      </c>
      <c r="E2038">
        <v>5</v>
      </c>
      <c r="F2038" t="s">
        <v>3073</v>
      </c>
    </row>
    <row r="2039" spans="1:6" x14ac:dyDescent="0.25">
      <c r="A2039" t="s">
        <v>4200</v>
      </c>
      <c r="B2039" t="s">
        <v>3064</v>
      </c>
      <c r="C2039" t="s">
        <v>3065</v>
      </c>
      <c r="D2039" t="str">
        <f>HYPERLINK("http://service.sap.com/sap/support/notes/1758945","1758945")</f>
        <v>1758945</v>
      </c>
      <c r="E2039">
        <v>2</v>
      </c>
      <c r="F2039" t="s">
        <v>3074</v>
      </c>
    </row>
    <row r="2040" spans="1:6" x14ac:dyDescent="0.25">
      <c r="A2040" t="s">
        <v>4200</v>
      </c>
      <c r="B2040" t="s">
        <v>3075</v>
      </c>
      <c r="C2040" t="s">
        <v>3076</v>
      </c>
      <c r="D2040" t="str">
        <f>HYPERLINK("http://service.sap.com/sap/support/notes/1708859","1708859")</f>
        <v>1708859</v>
      </c>
      <c r="E2040">
        <v>3</v>
      </c>
      <c r="F2040" t="s">
        <v>3077</v>
      </c>
    </row>
    <row r="2041" spans="1:6" x14ac:dyDescent="0.25">
      <c r="A2041" t="s">
        <v>4200</v>
      </c>
      <c r="B2041" t="s">
        <v>3078</v>
      </c>
      <c r="C2041" t="s">
        <v>3079</v>
      </c>
      <c r="D2041" t="str">
        <f>HYPERLINK("http://service.sap.com/sap/support/notes/751541","751541")</f>
        <v>751541</v>
      </c>
      <c r="E2041">
        <v>3</v>
      </c>
      <c r="F2041" t="s">
        <v>3080</v>
      </c>
    </row>
    <row r="2042" spans="1:6" x14ac:dyDescent="0.25">
      <c r="A2042" t="s">
        <v>4200</v>
      </c>
      <c r="B2042" t="s">
        <v>3078</v>
      </c>
      <c r="C2042" t="s">
        <v>3079</v>
      </c>
      <c r="D2042" t="str">
        <f>HYPERLINK("http://service.sap.com/sap/support/notes/1731663","1731663")</f>
        <v>1731663</v>
      </c>
      <c r="E2042">
        <v>2</v>
      </c>
      <c r="F2042" t="s">
        <v>3081</v>
      </c>
    </row>
    <row r="2043" spans="1:6" x14ac:dyDescent="0.25">
      <c r="A2043" t="s">
        <v>4200</v>
      </c>
      <c r="B2043" t="s">
        <v>3078</v>
      </c>
      <c r="C2043" t="s">
        <v>3079</v>
      </c>
      <c r="D2043" t="str">
        <f>HYPERLINK("http://service.sap.com/sap/support/notes/1750268","1750268")</f>
        <v>1750268</v>
      </c>
      <c r="E2043">
        <v>1</v>
      </c>
      <c r="F2043" t="s">
        <v>3082</v>
      </c>
    </row>
    <row r="2044" spans="1:6" x14ac:dyDescent="0.25">
      <c r="A2044" t="s">
        <v>4200</v>
      </c>
      <c r="B2044" t="s">
        <v>3078</v>
      </c>
      <c r="C2044" t="s">
        <v>3079</v>
      </c>
      <c r="D2044" t="str">
        <f>HYPERLINK("http://service.sap.com/sap/support/notes/1762210","1762210")</f>
        <v>1762210</v>
      </c>
      <c r="E2044">
        <v>1</v>
      </c>
      <c r="F2044" t="s">
        <v>3083</v>
      </c>
    </row>
    <row r="2045" spans="1:6" x14ac:dyDescent="0.25">
      <c r="A2045" t="s">
        <v>4200</v>
      </c>
      <c r="B2045" t="s">
        <v>3084</v>
      </c>
      <c r="C2045" t="s">
        <v>3085</v>
      </c>
    </row>
    <row r="2046" spans="1:6" x14ac:dyDescent="0.25">
      <c r="A2046" t="s">
        <v>4200</v>
      </c>
      <c r="B2046" t="s">
        <v>3086</v>
      </c>
      <c r="C2046" t="s">
        <v>3087</v>
      </c>
    </row>
    <row r="2047" spans="1:6" x14ac:dyDescent="0.25">
      <c r="A2047" t="s">
        <v>4200</v>
      </c>
      <c r="B2047" t="s">
        <v>3088</v>
      </c>
      <c r="C2047" t="s">
        <v>3089</v>
      </c>
      <c r="D2047" t="str">
        <f>HYPERLINK("http://service.sap.com/sap/support/notes/1672033","1672033")</f>
        <v>1672033</v>
      </c>
      <c r="E2047">
        <v>4</v>
      </c>
      <c r="F2047" t="s">
        <v>3090</v>
      </c>
    </row>
    <row r="2048" spans="1:6" x14ac:dyDescent="0.25">
      <c r="A2048" t="s">
        <v>4200</v>
      </c>
      <c r="B2048" t="s">
        <v>3091</v>
      </c>
      <c r="C2048" t="s">
        <v>3092</v>
      </c>
      <c r="D2048" t="str">
        <f>HYPERLINK("http://service.sap.com/sap/support/notes/1737216","1737216")</f>
        <v>1737216</v>
      </c>
      <c r="E2048">
        <v>1</v>
      </c>
      <c r="F2048" t="s">
        <v>3093</v>
      </c>
    </row>
    <row r="2049" spans="1:6" x14ac:dyDescent="0.25">
      <c r="A2049" t="s">
        <v>4200</v>
      </c>
      <c r="B2049" t="s">
        <v>3094</v>
      </c>
      <c r="C2049" t="s">
        <v>3095</v>
      </c>
      <c r="D2049" t="str">
        <f>HYPERLINK("http://service.sap.com/sap/support/notes/1736580","1736580")</f>
        <v>1736580</v>
      </c>
      <c r="E2049">
        <v>9</v>
      </c>
      <c r="F2049" t="s">
        <v>3096</v>
      </c>
    </row>
    <row r="2050" spans="1:6" x14ac:dyDescent="0.25">
      <c r="A2050" t="s">
        <v>4200</v>
      </c>
      <c r="B2050" t="s">
        <v>3097</v>
      </c>
      <c r="C2050" t="s">
        <v>1066</v>
      </c>
      <c r="D2050" t="str">
        <f>HYPERLINK("http://service.sap.com/sap/support/notes/1727349","1727349")</f>
        <v>1727349</v>
      </c>
      <c r="E2050">
        <v>3</v>
      </c>
      <c r="F2050" t="s">
        <v>3098</v>
      </c>
    </row>
    <row r="2051" spans="1:6" x14ac:dyDescent="0.25">
      <c r="A2051" t="s">
        <v>4200</v>
      </c>
      <c r="B2051" t="s">
        <v>3097</v>
      </c>
      <c r="C2051" t="s">
        <v>1066</v>
      </c>
      <c r="D2051" t="str">
        <f>HYPERLINK("http://service.sap.com/sap/support/notes/1762650","1762650")</f>
        <v>1762650</v>
      </c>
      <c r="E2051">
        <v>2</v>
      </c>
      <c r="F2051" t="s">
        <v>3099</v>
      </c>
    </row>
    <row r="2052" spans="1:6" x14ac:dyDescent="0.25">
      <c r="A2052" t="s">
        <v>4200</v>
      </c>
      <c r="B2052" t="s">
        <v>3100</v>
      </c>
      <c r="C2052" t="s">
        <v>3101</v>
      </c>
      <c r="D2052" t="str">
        <f>HYPERLINK("http://service.sap.com/sap/support/notes/1734693","1734693")</f>
        <v>1734693</v>
      </c>
      <c r="E2052">
        <v>3</v>
      </c>
      <c r="F2052" t="s">
        <v>3102</v>
      </c>
    </row>
    <row r="2053" spans="1:6" x14ac:dyDescent="0.25">
      <c r="A2053" t="s">
        <v>4200</v>
      </c>
      <c r="B2053" t="s">
        <v>3103</v>
      </c>
      <c r="C2053" t="s">
        <v>824</v>
      </c>
      <c r="D2053" t="str">
        <f>HYPERLINK("http://service.sap.com/sap/support/notes/1741678","1741678")</f>
        <v>1741678</v>
      </c>
      <c r="E2053">
        <v>2</v>
      </c>
      <c r="F2053" t="s">
        <v>3104</v>
      </c>
    </row>
    <row r="2054" spans="1:6" x14ac:dyDescent="0.25">
      <c r="A2054" t="s">
        <v>4200</v>
      </c>
      <c r="B2054" t="s">
        <v>3103</v>
      </c>
      <c r="C2054" t="s">
        <v>824</v>
      </c>
      <c r="D2054" t="str">
        <f>HYPERLINK("http://service.sap.com/sap/support/notes/1750646","1750646")</f>
        <v>1750646</v>
      </c>
      <c r="E2054">
        <v>2</v>
      </c>
      <c r="F2054" t="s">
        <v>3105</v>
      </c>
    </row>
    <row r="2055" spans="1:6" x14ac:dyDescent="0.25">
      <c r="A2055" t="s">
        <v>4200</v>
      </c>
      <c r="B2055" t="s">
        <v>3106</v>
      </c>
      <c r="C2055" t="s">
        <v>29</v>
      </c>
      <c r="D2055" t="str">
        <f>HYPERLINK("http://service.sap.com/sap/support/notes/1739584","1739584")</f>
        <v>1739584</v>
      </c>
      <c r="E2055">
        <v>1</v>
      </c>
      <c r="F2055" t="s">
        <v>3107</v>
      </c>
    </row>
    <row r="2056" spans="1:6" x14ac:dyDescent="0.25">
      <c r="A2056" t="s">
        <v>4200</v>
      </c>
      <c r="B2056" t="s">
        <v>3108</v>
      </c>
      <c r="C2056" t="s">
        <v>3109</v>
      </c>
    </row>
    <row r="2057" spans="1:6" x14ac:dyDescent="0.25">
      <c r="A2057" t="s">
        <v>4200</v>
      </c>
      <c r="B2057" t="s">
        <v>3110</v>
      </c>
      <c r="C2057" t="s">
        <v>3111</v>
      </c>
    </row>
    <row r="2058" spans="1:6" x14ac:dyDescent="0.25">
      <c r="A2058" t="s">
        <v>4200</v>
      </c>
      <c r="B2058" t="s">
        <v>3112</v>
      </c>
      <c r="C2058" t="s">
        <v>3113</v>
      </c>
      <c r="D2058" t="str">
        <f>HYPERLINK("http://service.sap.com/sap/support/notes/1716800","1716800")</f>
        <v>1716800</v>
      </c>
      <c r="E2058">
        <v>3</v>
      </c>
      <c r="F2058" t="s">
        <v>3114</v>
      </c>
    </row>
    <row r="2059" spans="1:6" x14ac:dyDescent="0.25">
      <c r="A2059" t="s">
        <v>4200</v>
      </c>
      <c r="B2059" t="s">
        <v>3112</v>
      </c>
      <c r="C2059" t="s">
        <v>3113</v>
      </c>
      <c r="D2059" t="str">
        <f>HYPERLINK("http://service.sap.com/sap/support/notes/1759199","1759199")</f>
        <v>1759199</v>
      </c>
      <c r="E2059">
        <v>1</v>
      </c>
      <c r="F2059" t="s">
        <v>3115</v>
      </c>
    </row>
    <row r="2060" spans="1:6" x14ac:dyDescent="0.25">
      <c r="A2060" t="s">
        <v>4200</v>
      </c>
      <c r="B2060" t="s">
        <v>3116</v>
      </c>
      <c r="C2060" t="s">
        <v>3117</v>
      </c>
      <c r="D2060" t="str">
        <f>HYPERLINK("http://service.sap.com/sap/support/notes/1725560","1725560")</f>
        <v>1725560</v>
      </c>
      <c r="E2060">
        <v>3</v>
      </c>
      <c r="F2060" t="s">
        <v>3118</v>
      </c>
    </row>
    <row r="2061" spans="1:6" x14ac:dyDescent="0.25">
      <c r="A2061" t="s">
        <v>4200</v>
      </c>
      <c r="B2061" t="s">
        <v>3116</v>
      </c>
      <c r="C2061" t="s">
        <v>3117</v>
      </c>
      <c r="D2061" t="str">
        <f>HYPERLINK("http://service.sap.com/sap/support/notes/1727365","1727365")</f>
        <v>1727365</v>
      </c>
      <c r="E2061">
        <v>2</v>
      </c>
      <c r="F2061" t="s">
        <v>3119</v>
      </c>
    </row>
    <row r="2062" spans="1:6" x14ac:dyDescent="0.25">
      <c r="A2062" t="s">
        <v>4200</v>
      </c>
      <c r="B2062" t="s">
        <v>3116</v>
      </c>
      <c r="C2062" t="s">
        <v>3117</v>
      </c>
      <c r="D2062" t="str">
        <f>HYPERLINK("http://service.sap.com/sap/support/notes/1745457","1745457")</f>
        <v>1745457</v>
      </c>
      <c r="E2062">
        <v>3</v>
      </c>
      <c r="F2062" t="s">
        <v>3120</v>
      </c>
    </row>
    <row r="2063" spans="1:6" x14ac:dyDescent="0.25">
      <c r="A2063" t="s">
        <v>4200</v>
      </c>
      <c r="B2063" t="s">
        <v>3116</v>
      </c>
      <c r="C2063" t="s">
        <v>3117</v>
      </c>
      <c r="D2063" t="str">
        <f>HYPERLINK("http://service.sap.com/sap/support/notes/1747772","1747772")</f>
        <v>1747772</v>
      </c>
      <c r="E2063">
        <v>1</v>
      </c>
      <c r="F2063" t="s">
        <v>3121</v>
      </c>
    </row>
    <row r="2064" spans="1:6" x14ac:dyDescent="0.25">
      <c r="A2064" t="s">
        <v>4200</v>
      </c>
      <c r="B2064" t="s">
        <v>3116</v>
      </c>
      <c r="C2064" t="s">
        <v>3117</v>
      </c>
      <c r="D2064" t="str">
        <f>HYPERLINK("http://service.sap.com/sap/support/notes/1749836","1749836")</f>
        <v>1749836</v>
      </c>
      <c r="E2064">
        <v>2</v>
      </c>
      <c r="F2064" t="s">
        <v>3122</v>
      </c>
    </row>
    <row r="2065" spans="1:6" x14ac:dyDescent="0.25">
      <c r="A2065" t="s">
        <v>4200</v>
      </c>
      <c r="B2065" t="s">
        <v>3116</v>
      </c>
      <c r="C2065" t="s">
        <v>3117</v>
      </c>
      <c r="D2065" t="str">
        <f>HYPERLINK("http://service.sap.com/sap/support/notes/1758733","1758733")</f>
        <v>1758733</v>
      </c>
      <c r="E2065">
        <v>1</v>
      </c>
      <c r="F2065" t="s">
        <v>3123</v>
      </c>
    </row>
    <row r="2066" spans="1:6" x14ac:dyDescent="0.25">
      <c r="A2066" t="s">
        <v>4200</v>
      </c>
      <c r="B2066" t="s">
        <v>3124</v>
      </c>
      <c r="C2066" t="s">
        <v>3125</v>
      </c>
    </row>
    <row r="2067" spans="1:6" x14ac:dyDescent="0.25">
      <c r="A2067" t="s">
        <v>4200</v>
      </c>
      <c r="B2067" t="s">
        <v>3126</v>
      </c>
      <c r="C2067" t="s">
        <v>2400</v>
      </c>
      <c r="D2067" t="str">
        <f>HYPERLINK("http://service.sap.com/sap/support/notes/1703844","1703844")</f>
        <v>1703844</v>
      </c>
      <c r="E2067">
        <v>6</v>
      </c>
      <c r="F2067" t="s">
        <v>3127</v>
      </c>
    </row>
    <row r="2068" spans="1:6" x14ac:dyDescent="0.25">
      <c r="A2068" t="s">
        <v>4200</v>
      </c>
      <c r="B2068" t="s">
        <v>3126</v>
      </c>
      <c r="C2068" t="s">
        <v>2400</v>
      </c>
      <c r="D2068" t="str">
        <f>HYPERLINK("http://service.sap.com/sap/support/notes/1737682","1737682")</f>
        <v>1737682</v>
      </c>
      <c r="E2068">
        <v>2</v>
      </c>
      <c r="F2068" t="s">
        <v>3128</v>
      </c>
    </row>
    <row r="2069" spans="1:6" x14ac:dyDescent="0.25">
      <c r="A2069" t="s">
        <v>4200</v>
      </c>
      <c r="B2069" t="s">
        <v>3126</v>
      </c>
      <c r="C2069" t="s">
        <v>2400</v>
      </c>
      <c r="D2069" t="str">
        <f>HYPERLINK("http://service.sap.com/sap/support/notes/1746951","1746951")</f>
        <v>1746951</v>
      </c>
      <c r="E2069">
        <v>2</v>
      </c>
      <c r="F2069" t="s">
        <v>3129</v>
      </c>
    </row>
    <row r="2070" spans="1:6" x14ac:dyDescent="0.25">
      <c r="A2070" t="s">
        <v>4200</v>
      </c>
      <c r="B2070" t="s">
        <v>3130</v>
      </c>
      <c r="C2070" t="s">
        <v>3131</v>
      </c>
      <c r="D2070" t="str">
        <f>HYPERLINK("http://service.sap.com/sap/support/notes/1479634","1479634")</f>
        <v>1479634</v>
      </c>
      <c r="E2070">
        <v>1</v>
      </c>
      <c r="F2070" t="s">
        <v>3132</v>
      </c>
    </row>
    <row r="2071" spans="1:6" x14ac:dyDescent="0.25">
      <c r="A2071" t="s">
        <v>4200</v>
      </c>
      <c r="B2071" t="s">
        <v>3130</v>
      </c>
      <c r="C2071" t="s">
        <v>3131</v>
      </c>
      <c r="D2071" t="str">
        <f>HYPERLINK("http://service.sap.com/sap/support/notes/1748354","1748354")</f>
        <v>1748354</v>
      </c>
      <c r="E2071">
        <v>2</v>
      </c>
      <c r="F2071" t="s">
        <v>3133</v>
      </c>
    </row>
    <row r="2072" spans="1:6" x14ac:dyDescent="0.25">
      <c r="A2072" t="s">
        <v>4200</v>
      </c>
      <c r="B2072" t="s">
        <v>3134</v>
      </c>
      <c r="C2072" t="s">
        <v>3135</v>
      </c>
    </row>
    <row r="2073" spans="1:6" x14ac:dyDescent="0.25">
      <c r="A2073" t="s">
        <v>4200</v>
      </c>
      <c r="B2073" t="s">
        <v>3136</v>
      </c>
      <c r="C2073" t="s">
        <v>3137</v>
      </c>
      <c r="D2073" t="str">
        <f>HYPERLINK("http://service.sap.com/sap/support/notes/1536191","1536191")</f>
        <v>1536191</v>
      </c>
      <c r="E2073">
        <v>3</v>
      </c>
      <c r="F2073" t="s">
        <v>3138</v>
      </c>
    </row>
    <row r="2074" spans="1:6" x14ac:dyDescent="0.25">
      <c r="A2074" t="s">
        <v>4200</v>
      </c>
      <c r="B2074" t="s">
        <v>3139</v>
      </c>
      <c r="C2074" t="s">
        <v>3140</v>
      </c>
      <c r="D2074" t="str">
        <f>HYPERLINK("http://service.sap.com/sap/support/notes/1733464","1733464")</f>
        <v>1733464</v>
      </c>
      <c r="E2074">
        <v>2</v>
      </c>
      <c r="F2074" t="s">
        <v>3141</v>
      </c>
    </row>
    <row r="2075" spans="1:6" x14ac:dyDescent="0.25">
      <c r="A2075" t="s">
        <v>4200</v>
      </c>
      <c r="B2075" t="s">
        <v>3142</v>
      </c>
      <c r="C2075" t="s">
        <v>3143</v>
      </c>
    </row>
    <row r="2076" spans="1:6" x14ac:dyDescent="0.25">
      <c r="A2076" t="s">
        <v>4200</v>
      </c>
      <c r="B2076" t="s">
        <v>3144</v>
      </c>
      <c r="C2076" t="s">
        <v>3145</v>
      </c>
    </row>
    <row r="2077" spans="1:6" x14ac:dyDescent="0.25">
      <c r="A2077" t="s">
        <v>4200</v>
      </c>
      <c r="B2077" t="s">
        <v>3146</v>
      </c>
      <c r="C2077" t="s">
        <v>3147</v>
      </c>
      <c r="D2077" t="str">
        <f>HYPERLINK("http://service.sap.com/sap/support/notes/1724981","1724981")</f>
        <v>1724981</v>
      </c>
      <c r="E2077">
        <v>3</v>
      </c>
      <c r="F2077" t="s">
        <v>3148</v>
      </c>
    </row>
    <row r="2078" spans="1:6" x14ac:dyDescent="0.25">
      <c r="A2078" t="s">
        <v>4200</v>
      </c>
      <c r="B2078" t="s">
        <v>3146</v>
      </c>
      <c r="C2078" t="s">
        <v>3147</v>
      </c>
      <c r="D2078" t="str">
        <f>HYPERLINK("http://service.sap.com/sap/support/notes/1760259","1760259")</f>
        <v>1760259</v>
      </c>
      <c r="E2078">
        <v>2</v>
      </c>
      <c r="F2078" t="s">
        <v>3149</v>
      </c>
    </row>
    <row r="2079" spans="1:6" x14ac:dyDescent="0.25">
      <c r="A2079" t="s">
        <v>4200</v>
      </c>
      <c r="B2079" t="s">
        <v>3150</v>
      </c>
      <c r="C2079" t="s">
        <v>3151</v>
      </c>
      <c r="D2079" t="str">
        <f>HYPERLINK("http://service.sap.com/sap/support/notes/1761620","1761620")</f>
        <v>1761620</v>
      </c>
      <c r="E2079">
        <v>4</v>
      </c>
      <c r="F2079" t="s">
        <v>3152</v>
      </c>
    </row>
    <row r="2080" spans="1:6" x14ac:dyDescent="0.25">
      <c r="A2080" t="s">
        <v>4200</v>
      </c>
      <c r="B2080" t="s">
        <v>3153</v>
      </c>
      <c r="C2080" t="s">
        <v>3154</v>
      </c>
      <c r="D2080" t="str">
        <f>HYPERLINK("http://service.sap.com/sap/support/notes/1754245","1754245")</f>
        <v>1754245</v>
      </c>
      <c r="E2080">
        <v>2</v>
      </c>
      <c r="F2080" t="s">
        <v>3155</v>
      </c>
    </row>
    <row r="2081" spans="1:6" x14ac:dyDescent="0.25">
      <c r="A2081" t="s">
        <v>4200</v>
      </c>
      <c r="B2081" t="s">
        <v>3156</v>
      </c>
      <c r="C2081" t="s">
        <v>3157</v>
      </c>
      <c r="D2081" t="str">
        <f>HYPERLINK("http://service.sap.com/sap/support/notes/1737516","1737516")</f>
        <v>1737516</v>
      </c>
      <c r="E2081">
        <v>2</v>
      </c>
      <c r="F2081" t="s">
        <v>3158</v>
      </c>
    </row>
    <row r="2082" spans="1:6" x14ac:dyDescent="0.25">
      <c r="A2082" t="s">
        <v>4200</v>
      </c>
      <c r="B2082" t="s">
        <v>3156</v>
      </c>
      <c r="C2082" t="s">
        <v>3157</v>
      </c>
      <c r="D2082" t="str">
        <f>HYPERLINK("http://service.sap.com/sap/support/notes/1742489","1742489")</f>
        <v>1742489</v>
      </c>
      <c r="E2082">
        <v>3</v>
      </c>
      <c r="F2082" t="s">
        <v>3159</v>
      </c>
    </row>
    <row r="2083" spans="1:6" x14ac:dyDescent="0.25">
      <c r="A2083" t="s">
        <v>4200</v>
      </c>
      <c r="B2083" t="s">
        <v>3160</v>
      </c>
      <c r="C2083" t="s">
        <v>3161</v>
      </c>
      <c r="D2083" t="str">
        <f>HYPERLINK("http://service.sap.com/sap/support/notes/1747668","1747668")</f>
        <v>1747668</v>
      </c>
      <c r="E2083">
        <v>2</v>
      </c>
      <c r="F2083" t="s">
        <v>3162</v>
      </c>
    </row>
    <row r="2084" spans="1:6" x14ac:dyDescent="0.25">
      <c r="A2084" t="s">
        <v>4200</v>
      </c>
      <c r="B2084" t="s">
        <v>3163</v>
      </c>
      <c r="C2084" t="s">
        <v>3164</v>
      </c>
      <c r="D2084" t="str">
        <f>HYPERLINK("http://service.sap.com/sap/support/notes/1716906","1716906")</f>
        <v>1716906</v>
      </c>
      <c r="E2084">
        <v>3</v>
      </c>
      <c r="F2084" t="s">
        <v>3165</v>
      </c>
    </row>
    <row r="2085" spans="1:6" x14ac:dyDescent="0.25">
      <c r="A2085" t="s">
        <v>4200</v>
      </c>
      <c r="B2085" t="s">
        <v>3163</v>
      </c>
      <c r="C2085" t="s">
        <v>3164</v>
      </c>
      <c r="D2085" t="str">
        <f>HYPERLINK("http://service.sap.com/sap/support/notes/1724424","1724424")</f>
        <v>1724424</v>
      </c>
      <c r="E2085">
        <v>2</v>
      </c>
      <c r="F2085" t="s">
        <v>3166</v>
      </c>
    </row>
    <row r="2086" spans="1:6" x14ac:dyDescent="0.25">
      <c r="A2086" t="s">
        <v>4200</v>
      </c>
      <c r="B2086" t="s">
        <v>3163</v>
      </c>
      <c r="C2086" t="s">
        <v>3164</v>
      </c>
      <c r="D2086" t="str">
        <f>HYPERLINK("http://service.sap.com/sap/support/notes/1740079","1740079")</f>
        <v>1740079</v>
      </c>
      <c r="E2086">
        <v>2</v>
      </c>
      <c r="F2086" t="s">
        <v>3167</v>
      </c>
    </row>
    <row r="2087" spans="1:6" x14ac:dyDescent="0.25">
      <c r="A2087" t="s">
        <v>4200</v>
      </c>
      <c r="B2087" t="s">
        <v>3163</v>
      </c>
      <c r="C2087" t="s">
        <v>3164</v>
      </c>
      <c r="D2087" t="str">
        <f>HYPERLINK("http://service.sap.com/sap/support/notes/1753613","1753613")</f>
        <v>1753613</v>
      </c>
      <c r="E2087">
        <v>2</v>
      </c>
      <c r="F2087" t="s">
        <v>3168</v>
      </c>
    </row>
    <row r="2088" spans="1:6" x14ac:dyDescent="0.25">
      <c r="A2088" t="s">
        <v>4200</v>
      </c>
      <c r="B2088" t="s">
        <v>3163</v>
      </c>
      <c r="C2088" t="s">
        <v>3164</v>
      </c>
      <c r="D2088" t="str">
        <f>HYPERLINK("http://service.sap.com/sap/support/notes/1761263","1761263")</f>
        <v>1761263</v>
      </c>
      <c r="E2088">
        <v>2</v>
      </c>
      <c r="F2088" t="s">
        <v>3169</v>
      </c>
    </row>
    <row r="2089" spans="1:6" x14ac:dyDescent="0.25">
      <c r="A2089" t="s">
        <v>4200</v>
      </c>
      <c r="B2089" t="s">
        <v>3163</v>
      </c>
      <c r="C2089" t="s">
        <v>3164</v>
      </c>
      <c r="D2089" t="str">
        <f>HYPERLINK("http://service.sap.com/sap/support/notes/1763255","1763255")</f>
        <v>1763255</v>
      </c>
      <c r="E2089">
        <v>1</v>
      </c>
      <c r="F2089" t="s">
        <v>3170</v>
      </c>
    </row>
    <row r="2090" spans="1:6" x14ac:dyDescent="0.25">
      <c r="A2090" t="s">
        <v>4200</v>
      </c>
      <c r="B2090" t="s">
        <v>3171</v>
      </c>
      <c r="C2090" t="s">
        <v>3172</v>
      </c>
      <c r="D2090" t="str">
        <f>HYPERLINK("http://service.sap.com/sap/support/notes/1726113","1726113")</f>
        <v>1726113</v>
      </c>
      <c r="E2090">
        <v>5</v>
      </c>
      <c r="F2090" t="s">
        <v>3173</v>
      </c>
    </row>
    <row r="2091" spans="1:6" x14ac:dyDescent="0.25">
      <c r="A2091" t="s">
        <v>4200</v>
      </c>
      <c r="B2091" t="s">
        <v>3174</v>
      </c>
      <c r="C2091" t="s">
        <v>1588</v>
      </c>
    </row>
    <row r="2092" spans="1:6" x14ac:dyDescent="0.25">
      <c r="A2092" t="s">
        <v>4200</v>
      </c>
      <c r="B2092" t="s">
        <v>3175</v>
      </c>
      <c r="C2092" t="s">
        <v>3176</v>
      </c>
      <c r="D2092" t="str">
        <f>HYPERLINK("http://service.sap.com/sap/support/notes/1738581","1738581")</f>
        <v>1738581</v>
      </c>
      <c r="E2092">
        <v>1</v>
      </c>
      <c r="F2092" t="s">
        <v>3177</v>
      </c>
    </row>
    <row r="2093" spans="1:6" x14ac:dyDescent="0.25">
      <c r="A2093" t="s">
        <v>4200</v>
      </c>
      <c r="B2093" t="s">
        <v>3178</v>
      </c>
      <c r="C2093" t="s">
        <v>3179</v>
      </c>
      <c r="D2093" t="str">
        <f>HYPERLINK("http://service.sap.com/sap/support/notes/1688258","1688258")</f>
        <v>1688258</v>
      </c>
      <c r="E2093">
        <v>2</v>
      </c>
      <c r="F2093" t="s">
        <v>3180</v>
      </c>
    </row>
    <row r="2094" spans="1:6" x14ac:dyDescent="0.25">
      <c r="A2094" t="s">
        <v>4200</v>
      </c>
      <c r="B2094" t="s">
        <v>3178</v>
      </c>
      <c r="C2094" t="s">
        <v>3179</v>
      </c>
      <c r="D2094" t="str">
        <f>HYPERLINK("http://service.sap.com/sap/support/notes/1725321","1725321")</f>
        <v>1725321</v>
      </c>
      <c r="E2094">
        <v>3</v>
      </c>
      <c r="F2094" t="s">
        <v>3181</v>
      </c>
    </row>
    <row r="2095" spans="1:6" x14ac:dyDescent="0.25">
      <c r="A2095" t="s">
        <v>4200</v>
      </c>
      <c r="B2095" t="s">
        <v>3178</v>
      </c>
      <c r="C2095" t="s">
        <v>3179</v>
      </c>
      <c r="D2095" t="str">
        <f>HYPERLINK("http://service.sap.com/sap/support/notes/1733304","1733304")</f>
        <v>1733304</v>
      </c>
      <c r="E2095">
        <v>3</v>
      </c>
      <c r="F2095" t="s">
        <v>3182</v>
      </c>
    </row>
    <row r="2096" spans="1:6" x14ac:dyDescent="0.25">
      <c r="A2096" t="s">
        <v>4200</v>
      </c>
      <c r="B2096" t="s">
        <v>3178</v>
      </c>
      <c r="C2096" t="s">
        <v>3179</v>
      </c>
      <c r="D2096" t="str">
        <f>HYPERLINK("http://service.sap.com/sap/support/notes/1740816","1740816")</f>
        <v>1740816</v>
      </c>
      <c r="E2096">
        <v>2</v>
      </c>
      <c r="F2096" t="s">
        <v>3183</v>
      </c>
    </row>
    <row r="2097" spans="1:6" x14ac:dyDescent="0.25">
      <c r="A2097" t="s">
        <v>4200</v>
      </c>
      <c r="B2097" t="s">
        <v>3178</v>
      </c>
      <c r="C2097" t="s">
        <v>3179</v>
      </c>
      <c r="D2097" t="str">
        <f>HYPERLINK("http://service.sap.com/sap/support/notes/1741416","1741416")</f>
        <v>1741416</v>
      </c>
      <c r="E2097">
        <v>2</v>
      </c>
      <c r="F2097" t="s">
        <v>3184</v>
      </c>
    </row>
    <row r="2098" spans="1:6" x14ac:dyDescent="0.25">
      <c r="A2098" t="s">
        <v>4200</v>
      </c>
      <c r="B2098" t="s">
        <v>3185</v>
      </c>
      <c r="C2098" t="s">
        <v>3186</v>
      </c>
      <c r="D2098" t="str">
        <f>HYPERLINK("http://service.sap.com/sap/support/notes/1711386","1711386")</f>
        <v>1711386</v>
      </c>
      <c r="E2098">
        <v>3</v>
      </c>
      <c r="F2098" t="s">
        <v>3187</v>
      </c>
    </row>
    <row r="2099" spans="1:6" x14ac:dyDescent="0.25">
      <c r="A2099" t="s">
        <v>4200</v>
      </c>
      <c r="B2099" t="s">
        <v>3185</v>
      </c>
      <c r="C2099" t="s">
        <v>3186</v>
      </c>
      <c r="D2099" t="str">
        <f>HYPERLINK("http://service.sap.com/sap/support/notes/1726734","1726734")</f>
        <v>1726734</v>
      </c>
      <c r="E2099">
        <v>3</v>
      </c>
      <c r="F2099" t="s">
        <v>3188</v>
      </c>
    </row>
    <row r="2100" spans="1:6" x14ac:dyDescent="0.25">
      <c r="A2100" t="s">
        <v>4200</v>
      </c>
      <c r="B2100" t="s">
        <v>3185</v>
      </c>
      <c r="C2100" t="s">
        <v>3186</v>
      </c>
      <c r="D2100" t="str">
        <f>HYPERLINK("http://service.sap.com/sap/support/notes/1736352","1736352")</f>
        <v>1736352</v>
      </c>
      <c r="E2100">
        <v>4</v>
      </c>
      <c r="F2100" t="s">
        <v>3189</v>
      </c>
    </row>
    <row r="2101" spans="1:6" x14ac:dyDescent="0.25">
      <c r="A2101" t="s">
        <v>4200</v>
      </c>
      <c r="B2101" t="s">
        <v>3185</v>
      </c>
      <c r="C2101" t="s">
        <v>3186</v>
      </c>
      <c r="D2101" t="str">
        <f>HYPERLINK("http://service.sap.com/sap/support/notes/1737620","1737620")</f>
        <v>1737620</v>
      </c>
      <c r="E2101">
        <v>2</v>
      </c>
      <c r="F2101" t="s">
        <v>3190</v>
      </c>
    </row>
    <row r="2102" spans="1:6" x14ac:dyDescent="0.25">
      <c r="A2102" t="s">
        <v>4200</v>
      </c>
      <c r="B2102" t="s">
        <v>3185</v>
      </c>
      <c r="C2102" t="s">
        <v>3186</v>
      </c>
      <c r="D2102" t="str">
        <f>HYPERLINK("http://service.sap.com/sap/support/notes/1739075","1739075")</f>
        <v>1739075</v>
      </c>
      <c r="E2102">
        <v>2</v>
      </c>
      <c r="F2102" t="s">
        <v>3191</v>
      </c>
    </row>
    <row r="2103" spans="1:6" x14ac:dyDescent="0.25">
      <c r="A2103" t="s">
        <v>4200</v>
      </c>
      <c r="B2103" t="s">
        <v>3185</v>
      </c>
      <c r="C2103" t="s">
        <v>3186</v>
      </c>
      <c r="D2103" t="str">
        <f>HYPERLINK("http://service.sap.com/sap/support/notes/1743103","1743103")</f>
        <v>1743103</v>
      </c>
      <c r="E2103">
        <v>2</v>
      </c>
      <c r="F2103" t="s">
        <v>3192</v>
      </c>
    </row>
    <row r="2104" spans="1:6" x14ac:dyDescent="0.25">
      <c r="A2104" t="s">
        <v>4200</v>
      </c>
      <c r="B2104" t="s">
        <v>3185</v>
      </c>
      <c r="C2104" t="s">
        <v>3186</v>
      </c>
      <c r="D2104" t="str">
        <f>HYPERLINK("http://service.sap.com/sap/support/notes/1745528","1745528")</f>
        <v>1745528</v>
      </c>
      <c r="E2104">
        <v>3</v>
      </c>
      <c r="F2104" t="s">
        <v>3193</v>
      </c>
    </row>
    <row r="2105" spans="1:6" x14ac:dyDescent="0.25">
      <c r="A2105" t="s">
        <v>4200</v>
      </c>
      <c r="B2105" t="s">
        <v>3185</v>
      </c>
      <c r="C2105" t="s">
        <v>3186</v>
      </c>
      <c r="D2105" t="str">
        <f>HYPERLINK("http://service.sap.com/sap/support/notes/1759247","1759247")</f>
        <v>1759247</v>
      </c>
      <c r="E2105">
        <v>2</v>
      </c>
      <c r="F2105" t="s">
        <v>3194</v>
      </c>
    </row>
    <row r="2106" spans="1:6" x14ac:dyDescent="0.25">
      <c r="A2106" t="s">
        <v>4200</v>
      </c>
      <c r="B2106" t="s">
        <v>3195</v>
      </c>
      <c r="C2106" t="s">
        <v>3196</v>
      </c>
    </row>
    <row r="2107" spans="1:6" x14ac:dyDescent="0.25">
      <c r="A2107" t="s">
        <v>4200</v>
      </c>
      <c r="B2107" t="s">
        <v>3197</v>
      </c>
      <c r="C2107" t="s">
        <v>1588</v>
      </c>
      <c r="D2107" t="str">
        <f>HYPERLINK("http://service.sap.com/sap/support/notes/1730267","1730267")</f>
        <v>1730267</v>
      </c>
      <c r="E2107">
        <v>1</v>
      </c>
      <c r="F2107" t="s">
        <v>3198</v>
      </c>
    </row>
    <row r="2108" spans="1:6" x14ac:dyDescent="0.25">
      <c r="A2108" t="s">
        <v>4200</v>
      </c>
      <c r="B2108" t="s">
        <v>3197</v>
      </c>
      <c r="C2108" t="s">
        <v>1588</v>
      </c>
      <c r="D2108" t="str">
        <f>HYPERLINK("http://service.sap.com/sap/support/notes/1746534","1746534")</f>
        <v>1746534</v>
      </c>
      <c r="E2108">
        <v>1</v>
      </c>
      <c r="F2108" t="s">
        <v>3199</v>
      </c>
    </row>
    <row r="2109" spans="1:6" x14ac:dyDescent="0.25">
      <c r="A2109" t="s">
        <v>4200</v>
      </c>
      <c r="B2109" t="s">
        <v>3197</v>
      </c>
      <c r="C2109" t="s">
        <v>1588</v>
      </c>
      <c r="D2109" t="str">
        <f>HYPERLINK("http://service.sap.com/sap/support/notes/1747865","1747865")</f>
        <v>1747865</v>
      </c>
      <c r="E2109">
        <v>1</v>
      </c>
      <c r="F2109" t="s">
        <v>3200</v>
      </c>
    </row>
    <row r="2110" spans="1:6" x14ac:dyDescent="0.25">
      <c r="A2110" t="s">
        <v>4200</v>
      </c>
      <c r="B2110" t="s">
        <v>3201</v>
      </c>
      <c r="C2110" t="s">
        <v>3202</v>
      </c>
      <c r="D2110" t="str">
        <f>HYPERLINK("http://service.sap.com/sap/support/notes/1757744","1757744")</f>
        <v>1757744</v>
      </c>
      <c r="E2110">
        <v>1</v>
      </c>
      <c r="F2110" t="s">
        <v>3203</v>
      </c>
    </row>
    <row r="2111" spans="1:6" x14ac:dyDescent="0.25">
      <c r="A2111" t="s">
        <v>4200</v>
      </c>
      <c r="B2111" t="s">
        <v>3204</v>
      </c>
      <c r="C2111" t="s">
        <v>3205</v>
      </c>
    </row>
    <row r="2112" spans="1:6" x14ac:dyDescent="0.25">
      <c r="A2112" t="s">
        <v>4200</v>
      </c>
      <c r="B2112" t="s">
        <v>3206</v>
      </c>
      <c r="C2112" t="s">
        <v>3207</v>
      </c>
      <c r="D2112" t="str">
        <f>HYPERLINK("http://service.sap.com/sap/support/notes/1730813","1730813")</f>
        <v>1730813</v>
      </c>
      <c r="E2112">
        <v>1</v>
      </c>
      <c r="F2112" t="s">
        <v>3208</v>
      </c>
    </row>
    <row r="2113" spans="1:6" x14ac:dyDescent="0.25">
      <c r="A2113" t="s">
        <v>4200</v>
      </c>
      <c r="B2113" t="s">
        <v>3209</v>
      </c>
      <c r="C2113" t="s">
        <v>3210</v>
      </c>
      <c r="D2113" t="str">
        <f>HYPERLINK("http://service.sap.com/sap/support/notes/1765319","1765319")</f>
        <v>1765319</v>
      </c>
      <c r="E2113">
        <v>1</v>
      </c>
      <c r="F2113" t="s">
        <v>3211</v>
      </c>
    </row>
    <row r="2114" spans="1:6" x14ac:dyDescent="0.25">
      <c r="A2114" t="s">
        <v>4200</v>
      </c>
      <c r="B2114" t="s">
        <v>3212</v>
      </c>
      <c r="C2114" t="s">
        <v>3213</v>
      </c>
      <c r="D2114" t="str">
        <f>HYPERLINK("http://service.sap.com/sap/support/notes/1741225","1741225")</f>
        <v>1741225</v>
      </c>
      <c r="E2114">
        <v>3</v>
      </c>
      <c r="F2114" t="s">
        <v>3214</v>
      </c>
    </row>
    <row r="2115" spans="1:6" x14ac:dyDescent="0.25">
      <c r="A2115" t="s">
        <v>4200</v>
      </c>
      <c r="B2115" t="s">
        <v>3215</v>
      </c>
      <c r="C2115" t="s">
        <v>3216</v>
      </c>
    </row>
    <row r="2116" spans="1:6" x14ac:dyDescent="0.25">
      <c r="A2116" t="s">
        <v>4200</v>
      </c>
      <c r="B2116" t="s">
        <v>3217</v>
      </c>
      <c r="C2116" t="s">
        <v>3218</v>
      </c>
    </row>
    <row r="2117" spans="1:6" x14ac:dyDescent="0.25">
      <c r="A2117" t="s">
        <v>4200</v>
      </c>
      <c r="B2117" t="s">
        <v>3219</v>
      </c>
      <c r="C2117" t="s">
        <v>3220</v>
      </c>
    </row>
    <row r="2118" spans="1:6" x14ac:dyDescent="0.25">
      <c r="A2118" t="s">
        <v>4200</v>
      </c>
      <c r="B2118" t="s">
        <v>3221</v>
      </c>
      <c r="C2118" t="s">
        <v>151</v>
      </c>
    </row>
    <row r="2119" spans="1:6" x14ac:dyDescent="0.25">
      <c r="A2119" t="s">
        <v>4200</v>
      </c>
      <c r="B2119" t="s">
        <v>3222</v>
      </c>
      <c r="C2119" t="s">
        <v>3223</v>
      </c>
      <c r="D2119" t="str">
        <f>HYPERLINK("http://service.sap.com/sap/support/notes/1723650","1723650")</f>
        <v>1723650</v>
      </c>
      <c r="E2119">
        <v>4</v>
      </c>
      <c r="F2119" t="s">
        <v>3224</v>
      </c>
    </row>
    <row r="2120" spans="1:6" x14ac:dyDescent="0.25">
      <c r="A2120" t="s">
        <v>4200</v>
      </c>
      <c r="B2120" t="s">
        <v>3225</v>
      </c>
      <c r="C2120" t="s">
        <v>3226</v>
      </c>
      <c r="D2120" t="str">
        <f>HYPERLINK("http://service.sap.com/sap/support/notes/1753044","1753044")</f>
        <v>1753044</v>
      </c>
      <c r="E2120">
        <v>2</v>
      </c>
      <c r="F2120" t="s">
        <v>3227</v>
      </c>
    </row>
    <row r="2121" spans="1:6" x14ac:dyDescent="0.25">
      <c r="A2121" t="s">
        <v>4200</v>
      </c>
      <c r="B2121" t="s">
        <v>3228</v>
      </c>
      <c r="C2121" t="s">
        <v>3229</v>
      </c>
      <c r="D2121" t="str">
        <f>HYPERLINK("http://service.sap.com/sap/support/notes/1735393","1735393")</f>
        <v>1735393</v>
      </c>
      <c r="E2121">
        <v>2</v>
      </c>
      <c r="F2121" t="s">
        <v>3230</v>
      </c>
    </row>
    <row r="2122" spans="1:6" x14ac:dyDescent="0.25">
      <c r="A2122" t="s">
        <v>4200</v>
      </c>
      <c r="B2122" t="s">
        <v>3231</v>
      </c>
      <c r="C2122" t="s">
        <v>1784</v>
      </c>
      <c r="D2122" t="str">
        <f>HYPERLINK("http://service.sap.com/sap/support/notes/1766445","1766445")</f>
        <v>1766445</v>
      </c>
      <c r="E2122">
        <v>1</v>
      </c>
      <c r="F2122" t="s">
        <v>3232</v>
      </c>
    </row>
    <row r="2123" spans="1:6" x14ac:dyDescent="0.25">
      <c r="A2123" t="s">
        <v>4200</v>
      </c>
      <c r="B2123" t="s">
        <v>3233</v>
      </c>
      <c r="C2123" t="s">
        <v>3234</v>
      </c>
    </row>
    <row r="2124" spans="1:6" x14ac:dyDescent="0.25">
      <c r="A2124" t="s">
        <v>4200</v>
      </c>
      <c r="B2124" t="s">
        <v>3235</v>
      </c>
      <c r="C2124" t="s">
        <v>3236</v>
      </c>
      <c r="D2124" t="str">
        <f>HYPERLINK("http://service.sap.com/sap/support/notes/1766959","1766959")</f>
        <v>1766959</v>
      </c>
      <c r="E2124">
        <v>1</v>
      </c>
      <c r="F2124" t="s">
        <v>3237</v>
      </c>
    </row>
    <row r="2125" spans="1:6" x14ac:dyDescent="0.25">
      <c r="A2125" t="s">
        <v>4200</v>
      </c>
      <c r="B2125" t="s">
        <v>3238</v>
      </c>
      <c r="C2125" t="s">
        <v>3239</v>
      </c>
      <c r="D2125" t="str">
        <f>HYPERLINK("http://service.sap.com/sap/support/notes/1612631","1612631")</f>
        <v>1612631</v>
      </c>
      <c r="E2125">
        <v>4</v>
      </c>
      <c r="F2125" t="s">
        <v>3240</v>
      </c>
    </row>
    <row r="2126" spans="1:6" x14ac:dyDescent="0.25">
      <c r="A2126" t="s">
        <v>4200</v>
      </c>
      <c r="B2126" t="s">
        <v>3241</v>
      </c>
      <c r="C2126" t="s">
        <v>3242</v>
      </c>
      <c r="D2126" t="str">
        <f>HYPERLINK("http://service.sap.com/sap/support/notes/1681915","1681915")</f>
        <v>1681915</v>
      </c>
      <c r="E2126">
        <v>3</v>
      </c>
      <c r="F2126" t="s">
        <v>3243</v>
      </c>
    </row>
    <row r="2127" spans="1:6" x14ac:dyDescent="0.25">
      <c r="A2127" t="s">
        <v>4200</v>
      </c>
      <c r="B2127" t="s">
        <v>3241</v>
      </c>
      <c r="C2127" t="s">
        <v>3242</v>
      </c>
      <c r="D2127" t="str">
        <f>HYPERLINK("http://service.sap.com/sap/support/notes/1737131","1737131")</f>
        <v>1737131</v>
      </c>
      <c r="E2127">
        <v>3</v>
      </c>
      <c r="F2127" t="s">
        <v>3244</v>
      </c>
    </row>
    <row r="2128" spans="1:6" x14ac:dyDescent="0.25">
      <c r="A2128" t="s">
        <v>4200</v>
      </c>
      <c r="B2128" t="s">
        <v>3241</v>
      </c>
      <c r="C2128" t="s">
        <v>3242</v>
      </c>
      <c r="D2128" t="str">
        <f>HYPERLINK("http://service.sap.com/sap/support/notes/1749281","1749281")</f>
        <v>1749281</v>
      </c>
      <c r="E2128">
        <v>1</v>
      </c>
      <c r="F2128" t="s">
        <v>3245</v>
      </c>
    </row>
    <row r="2129" spans="1:6" x14ac:dyDescent="0.25">
      <c r="A2129" t="s">
        <v>4200</v>
      </c>
      <c r="B2129" t="s">
        <v>3246</v>
      </c>
      <c r="C2129" t="s">
        <v>3247</v>
      </c>
    </row>
    <row r="2130" spans="1:6" x14ac:dyDescent="0.25">
      <c r="A2130" t="s">
        <v>4200</v>
      </c>
      <c r="B2130" t="s">
        <v>3248</v>
      </c>
      <c r="C2130" t="s">
        <v>3249</v>
      </c>
      <c r="D2130" t="str">
        <f>HYPERLINK("http://service.sap.com/sap/support/notes/1752791","1752791")</f>
        <v>1752791</v>
      </c>
      <c r="E2130">
        <v>1</v>
      </c>
      <c r="F2130" t="s">
        <v>3250</v>
      </c>
    </row>
    <row r="2131" spans="1:6" x14ac:dyDescent="0.25">
      <c r="A2131" t="s">
        <v>4200</v>
      </c>
      <c r="B2131" t="s">
        <v>3251</v>
      </c>
      <c r="C2131" t="s">
        <v>29</v>
      </c>
    </row>
    <row r="2132" spans="1:6" x14ac:dyDescent="0.25">
      <c r="A2132" t="s">
        <v>4200</v>
      </c>
      <c r="B2132" t="s">
        <v>3252</v>
      </c>
      <c r="C2132" t="s">
        <v>3253</v>
      </c>
      <c r="D2132" t="str">
        <f>HYPERLINK("http://service.sap.com/sap/support/notes/1728721","1728721")</f>
        <v>1728721</v>
      </c>
      <c r="E2132">
        <v>3</v>
      </c>
      <c r="F2132" t="s">
        <v>3254</v>
      </c>
    </row>
    <row r="2133" spans="1:6" x14ac:dyDescent="0.25">
      <c r="A2133" t="s">
        <v>4200</v>
      </c>
      <c r="B2133" t="s">
        <v>3252</v>
      </c>
      <c r="C2133" t="s">
        <v>3253</v>
      </c>
      <c r="D2133" t="str">
        <f>HYPERLINK("http://service.sap.com/sap/support/notes/1731296","1731296")</f>
        <v>1731296</v>
      </c>
      <c r="E2133">
        <v>1</v>
      </c>
      <c r="F2133" t="s">
        <v>3255</v>
      </c>
    </row>
    <row r="2134" spans="1:6" x14ac:dyDescent="0.25">
      <c r="A2134" t="s">
        <v>4200</v>
      </c>
      <c r="B2134" t="s">
        <v>3252</v>
      </c>
      <c r="C2134" t="s">
        <v>3253</v>
      </c>
      <c r="D2134" t="str">
        <f>HYPERLINK("http://service.sap.com/sap/support/notes/1731780","1731780")</f>
        <v>1731780</v>
      </c>
      <c r="E2134">
        <v>1</v>
      </c>
      <c r="F2134" t="s">
        <v>3256</v>
      </c>
    </row>
    <row r="2135" spans="1:6" x14ac:dyDescent="0.25">
      <c r="A2135" t="s">
        <v>4200</v>
      </c>
      <c r="B2135" t="s">
        <v>3252</v>
      </c>
      <c r="C2135" t="s">
        <v>3253</v>
      </c>
      <c r="D2135" t="str">
        <f>HYPERLINK("http://service.sap.com/sap/support/notes/1732082","1732082")</f>
        <v>1732082</v>
      </c>
      <c r="E2135">
        <v>1</v>
      </c>
      <c r="F2135" t="s">
        <v>3257</v>
      </c>
    </row>
    <row r="2136" spans="1:6" x14ac:dyDescent="0.25">
      <c r="A2136" t="s">
        <v>4200</v>
      </c>
      <c r="B2136" t="s">
        <v>3252</v>
      </c>
      <c r="C2136" t="s">
        <v>3253</v>
      </c>
      <c r="D2136" t="str">
        <f>HYPERLINK("http://service.sap.com/sap/support/notes/1738238","1738238")</f>
        <v>1738238</v>
      </c>
      <c r="E2136">
        <v>1</v>
      </c>
      <c r="F2136" t="s">
        <v>3258</v>
      </c>
    </row>
    <row r="2137" spans="1:6" x14ac:dyDescent="0.25">
      <c r="A2137" t="s">
        <v>4200</v>
      </c>
      <c r="B2137" t="s">
        <v>3252</v>
      </c>
      <c r="C2137" t="s">
        <v>3253</v>
      </c>
      <c r="D2137" t="str">
        <f>HYPERLINK("http://service.sap.com/sap/support/notes/1738427","1738427")</f>
        <v>1738427</v>
      </c>
      <c r="E2137">
        <v>1</v>
      </c>
      <c r="F2137" t="s">
        <v>3259</v>
      </c>
    </row>
    <row r="2138" spans="1:6" x14ac:dyDescent="0.25">
      <c r="A2138" t="s">
        <v>4200</v>
      </c>
      <c r="B2138" t="s">
        <v>3252</v>
      </c>
      <c r="C2138" t="s">
        <v>3253</v>
      </c>
      <c r="D2138" t="str">
        <f>HYPERLINK("http://service.sap.com/sap/support/notes/1740892","1740892")</f>
        <v>1740892</v>
      </c>
      <c r="E2138">
        <v>1</v>
      </c>
      <c r="F2138" t="s">
        <v>3260</v>
      </c>
    </row>
    <row r="2139" spans="1:6" x14ac:dyDescent="0.25">
      <c r="A2139" t="s">
        <v>4200</v>
      </c>
      <c r="B2139" t="s">
        <v>3252</v>
      </c>
      <c r="C2139" t="s">
        <v>3253</v>
      </c>
      <c r="D2139" t="str">
        <f>HYPERLINK("http://service.sap.com/sap/support/notes/1741786","1741786")</f>
        <v>1741786</v>
      </c>
      <c r="E2139">
        <v>1</v>
      </c>
      <c r="F2139" t="s">
        <v>3261</v>
      </c>
    </row>
    <row r="2140" spans="1:6" x14ac:dyDescent="0.25">
      <c r="A2140" t="s">
        <v>4200</v>
      </c>
      <c r="B2140" t="s">
        <v>3252</v>
      </c>
      <c r="C2140" t="s">
        <v>3253</v>
      </c>
      <c r="D2140" t="str">
        <f>HYPERLINK("http://service.sap.com/sap/support/notes/1751884","1751884")</f>
        <v>1751884</v>
      </c>
      <c r="E2140">
        <v>2</v>
      </c>
      <c r="F2140" t="s">
        <v>3262</v>
      </c>
    </row>
    <row r="2141" spans="1:6" x14ac:dyDescent="0.25">
      <c r="A2141" t="s">
        <v>4200</v>
      </c>
      <c r="B2141" t="s">
        <v>3252</v>
      </c>
      <c r="C2141" t="s">
        <v>3253</v>
      </c>
      <c r="D2141" t="str">
        <f>HYPERLINK("http://service.sap.com/sap/support/notes/1752344","1752344")</f>
        <v>1752344</v>
      </c>
      <c r="E2141">
        <v>1</v>
      </c>
      <c r="F2141" t="s">
        <v>3263</v>
      </c>
    </row>
    <row r="2142" spans="1:6" x14ac:dyDescent="0.25">
      <c r="A2142" t="s">
        <v>4200</v>
      </c>
      <c r="B2142" t="s">
        <v>3252</v>
      </c>
      <c r="C2142" t="s">
        <v>3253</v>
      </c>
      <c r="D2142" t="str">
        <f>HYPERLINK("http://service.sap.com/sap/support/notes/1753966","1753966")</f>
        <v>1753966</v>
      </c>
      <c r="E2142">
        <v>1</v>
      </c>
      <c r="F2142" t="s">
        <v>3264</v>
      </c>
    </row>
    <row r="2143" spans="1:6" x14ac:dyDescent="0.25">
      <c r="A2143" t="s">
        <v>4200</v>
      </c>
      <c r="B2143" t="s">
        <v>3252</v>
      </c>
      <c r="C2143" t="s">
        <v>3253</v>
      </c>
      <c r="D2143" t="str">
        <f>HYPERLINK("http://service.sap.com/sap/support/notes/1755579","1755579")</f>
        <v>1755579</v>
      </c>
      <c r="E2143">
        <v>1</v>
      </c>
      <c r="F2143" t="s">
        <v>3265</v>
      </c>
    </row>
    <row r="2144" spans="1:6" x14ac:dyDescent="0.25">
      <c r="A2144" t="s">
        <v>4200</v>
      </c>
      <c r="B2144" t="s">
        <v>3252</v>
      </c>
      <c r="C2144" t="s">
        <v>3253</v>
      </c>
      <c r="D2144" t="str">
        <f>HYPERLINK("http://service.sap.com/sap/support/notes/1757683","1757683")</f>
        <v>1757683</v>
      </c>
      <c r="E2144">
        <v>1</v>
      </c>
      <c r="F2144" t="s">
        <v>3266</v>
      </c>
    </row>
    <row r="2145" spans="1:6" x14ac:dyDescent="0.25">
      <c r="A2145" t="s">
        <v>4200</v>
      </c>
      <c r="B2145" t="s">
        <v>3267</v>
      </c>
      <c r="C2145" t="s">
        <v>3268</v>
      </c>
      <c r="D2145" t="str">
        <f>HYPERLINK("http://service.sap.com/sap/support/notes/1402702","1402702")</f>
        <v>1402702</v>
      </c>
      <c r="E2145">
        <v>7</v>
      </c>
      <c r="F2145" t="s">
        <v>3269</v>
      </c>
    </row>
    <row r="2146" spans="1:6" x14ac:dyDescent="0.25">
      <c r="A2146" t="s">
        <v>4200</v>
      </c>
      <c r="B2146" t="s">
        <v>3270</v>
      </c>
      <c r="C2146" t="s">
        <v>3271</v>
      </c>
      <c r="D2146" t="str">
        <f>HYPERLINK("http://service.sap.com/sap/support/notes/1693039","1693039")</f>
        <v>1693039</v>
      </c>
      <c r="E2146">
        <v>2</v>
      </c>
      <c r="F2146" t="s">
        <v>3272</v>
      </c>
    </row>
    <row r="2147" spans="1:6" x14ac:dyDescent="0.25">
      <c r="A2147" t="s">
        <v>4200</v>
      </c>
      <c r="B2147" t="s">
        <v>3273</v>
      </c>
      <c r="C2147" t="s">
        <v>3274</v>
      </c>
      <c r="D2147" t="str">
        <f>HYPERLINK("http://service.sap.com/sap/support/notes/1696509","1696509")</f>
        <v>1696509</v>
      </c>
      <c r="E2147">
        <v>6</v>
      </c>
      <c r="F2147" t="s">
        <v>3275</v>
      </c>
    </row>
    <row r="2148" spans="1:6" x14ac:dyDescent="0.25">
      <c r="A2148" t="s">
        <v>4200</v>
      </c>
      <c r="B2148" t="s">
        <v>3273</v>
      </c>
      <c r="C2148" t="s">
        <v>3274</v>
      </c>
      <c r="D2148" t="str">
        <f>HYPERLINK("http://service.sap.com/sap/support/notes/1698811","1698811")</f>
        <v>1698811</v>
      </c>
      <c r="E2148">
        <v>4</v>
      </c>
      <c r="F2148" t="s">
        <v>3276</v>
      </c>
    </row>
    <row r="2149" spans="1:6" x14ac:dyDescent="0.25">
      <c r="A2149" t="s">
        <v>4200</v>
      </c>
      <c r="B2149" t="s">
        <v>3273</v>
      </c>
      <c r="C2149" t="s">
        <v>3274</v>
      </c>
      <c r="D2149" t="str">
        <f>HYPERLINK("http://service.sap.com/sap/support/notes/1701593","1701593")</f>
        <v>1701593</v>
      </c>
      <c r="E2149">
        <v>2</v>
      </c>
      <c r="F2149" t="s">
        <v>3277</v>
      </c>
    </row>
    <row r="2150" spans="1:6" x14ac:dyDescent="0.25">
      <c r="A2150" t="s">
        <v>4200</v>
      </c>
      <c r="B2150" t="s">
        <v>3273</v>
      </c>
      <c r="C2150" t="s">
        <v>3274</v>
      </c>
      <c r="D2150" t="str">
        <f>HYPERLINK("http://service.sap.com/sap/support/notes/1718260","1718260")</f>
        <v>1718260</v>
      </c>
      <c r="E2150">
        <v>3</v>
      </c>
      <c r="F2150" t="s">
        <v>3276</v>
      </c>
    </row>
    <row r="2151" spans="1:6" x14ac:dyDescent="0.25">
      <c r="A2151" t="s">
        <v>4200</v>
      </c>
      <c r="B2151" t="s">
        <v>3273</v>
      </c>
      <c r="C2151" t="s">
        <v>3274</v>
      </c>
      <c r="D2151" t="str">
        <f>HYPERLINK("http://service.sap.com/sap/support/notes/1727999","1727999")</f>
        <v>1727999</v>
      </c>
      <c r="E2151">
        <v>2</v>
      </c>
      <c r="F2151" t="s">
        <v>3278</v>
      </c>
    </row>
    <row r="2152" spans="1:6" x14ac:dyDescent="0.25">
      <c r="A2152" t="s">
        <v>4200</v>
      </c>
      <c r="B2152" t="s">
        <v>3273</v>
      </c>
      <c r="C2152" t="s">
        <v>3274</v>
      </c>
      <c r="D2152" t="str">
        <f>HYPERLINK("http://service.sap.com/sap/support/notes/1735265","1735265")</f>
        <v>1735265</v>
      </c>
      <c r="E2152">
        <v>1</v>
      </c>
      <c r="F2152" t="s">
        <v>3279</v>
      </c>
    </row>
    <row r="2153" spans="1:6" x14ac:dyDescent="0.25">
      <c r="A2153" t="s">
        <v>4200</v>
      </c>
      <c r="B2153" t="s">
        <v>3273</v>
      </c>
      <c r="C2153" t="s">
        <v>3274</v>
      </c>
      <c r="D2153" t="str">
        <f>HYPERLINK("http://service.sap.com/sap/support/notes/1737155","1737155")</f>
        <v>1737155</v>
      </c>
      <c r="E2153">
        <v>8</v>
      </c>
      <c r="F2153" t="s">
        <v>3280</v>
      </c>
    </row>
    <row r="2154" spans="1:6" x14ac:dyDescent="0.25">
      <c r="A2154" t="s">
        <v>4200</v>
      </c>
      <c r="B2154" t="s">
        <v>3273</v>
      </c>
      <c r="C2154" t="s">
        <v>3274</v>
      </c>
      <c r="D2154" t="str">
        <f>HYPERLINK("http://service.sap.com/sap/support/notes/1739951","1739951")</f>
        <v>1739951</v>
      </c>
      <c r="E2154">
        <v>2</v>
      </c>
      <c r="F2154" t="s">
        <v>3281</v>
      </c>
    </row>
    <row r="2155" spans="1:6" x14ac:dyDescent="0.25">
      <c r="A2155" t="s">
        <v>4200</v>
      </c>
      <c r="B2155" t="s">
        <v>3273</v>
      </c>
      <c r="C2155" t="s">
        <v>3274</v>
      </c>
      <c r="D2155" t="str">
        <f>HYPERLINK("http://service.sap.com/sap/support/notes/1742442","1742442")</f>
        <v>1742442</v>
      </c>
      <c r="E2155">
        <v>2</v>
      </c>
      <c r="F2155" t="s">
        <v>3282</v>
      </c>
    </row>
    <row r="2156" spans="1:6" x14ac:dyDescent="0.25">
      <c r="A2156" t="s">
        <v>4200</v>
      </c>
      <c r="B2156" t="s">
        <v>3273</v>
      </c>
      <c r="C2156" t="s">
        <v>3274</v>
      </c>
      <c r="D2156" t="str">
        <f>HYPERLINK("http://service.sap.com/sap/support/notes/1746040","1746040")</f>
        <v>1746040</v>
      </c>
      <c r="E2156">
        <v>4</v>
      </c>
      <c r="F2156" t="s">
        <v>3283</v>
      </c>
    </row>
    <row r="2157" spans="1:6" x14ac:dyDescent="0.25">
      <c r="A2157" t="s">
        <v>4200</v>
      </c>
      <c r="B2157" t="s">
        <v>3273</v>
      </c>
      <c r="C2157" t="s">
        <v>3274</v>
      </c>
      <c r="D2157" t="str">
        <f>HYPERLINK("http://service.sap.com/sap/support/notes/1758981","1758981")</f>
        <v>1758981</v>
      </c>
      <c r="E2157">
        <v>1</v>
      </c>
      <c r="F2157" t="s">
        <v>3284</v>
      </c>
    </row>
    <row r="2158" spans="1:6" x14ac:dyDescent="0.25">
      <c r="A2158" t="s">
        <v>4200</v>
      </c>
      <c r="B2158" t="s">
        <v>3285</v>
      </c>
      <c r="C2158" t="s">
        <v>3286</v>
      </c>
      <c r="D2158" t="str">
        <f>HYPERLINK("http://service.sap.com/sap/support/notes/1737513","1737513")</f>
        <v>1737513</v>
      </c>
      <c r="E2158">
        <v>2</v>
      </c>
      <c r="F2158" t="s">
        <v>3287</v>
      </c>
    </row>
    <row r="2159" spans="1:6" x14ac:dyDescent="0.25">
      <c r="A2159" t="s">
        <v>4200</v>
      </c>
      <c r="B2159" t="s">
        <v>3285</v>
      </c>
      <c r="C2159" t="s">
        <v>3286</v>
      </c>
      <c r="D2159" t="str">
        <f>HYPERLINK("http://service.sap.com/sap/support/notes/1762632","1762632")</f>
        <v>1762632</v>
      </c>
      <c r="E2159">
        <v>2</v>
      </c>
      <c r="F2159" t="s">
        <v>3288</v>
      </c>
    </row>
    <row r="2160" spans="1:6" x14ac:dyDescent="0.25">
      <c r="A2160" t="s">
        <v>4200</v>
      </c>
      <c r="B2160" t="s">
        <v>3289</v>
      </c>
      <c r="C2160" t="s">
        <v>1878</v>
      </c>
      <c r="D2160" t="str">
        <f>HYPERLINK("http://service.sap.com/sap/support/notes/1726087","1726087")</f>
        <v>1726087</v>
      </c>
      <c r="E2160">
        <v>3</v>
      </c>
      <c r="F2160" t="s">
        <v>3290</v>
      </c>
    </row>
    <row r="2161" spans="1:6" x14ac:dyDescent="0.25">
      <c r="A2161" t="s">
        <v>4200</v>
      </c>
      <c r="B2161" t="s">
        <v>3289</v>
      </c>
      <c r="C2161" t="s">
        <v>1878</v>
      </c>
      <c r="D2161" t="str">
        <f>HYPERLINK("http://service.sap.com/sap/support/notes/1741053","1741053")</f>
        <v>1741053</v>
      </c>
      <c r="E2161">
        <v>4</v>
      </c>
      <c r="F2161" t="s">
        <v>3291</v>
      </c>
    </row>
    <row r="2162" spans="1:6" x14ac:dyDescent="0.25">
      <c r="A2162" t="s">
        <v>4200</v>
      </c>
      <c r="B2162" t="s">
        <v>3289</v>
      </c>
      <c r="C2162" t="s">
        <v>1878</v>
      </c>
      <c r="D2162" t="str">
        <f>HYPERLINK("http://service.sap.com/sap/support/notes/1745264","1745264")</f>
        <v>1745264</v>
      </c>
      <c r="E2162">
        <v>1</v>
      </c>
      <c r="F2162" t="s">
        <v>3292</v>
      </c>
    </row>
    <row r="2163" spans="1:6" x14ac:dyDescent="0.25">
      <c r="A2163" t="s">
        <v>4200</v>
      </c>
      <c r="B2163" t="s">
        <v>3289</v>
      </c>
      <c r="C2163" t="s">
        <v>1878</v>
      </c>
      <c r="D2163" t="str">
        <f>HYPERLINK("http://service.sap.com/sap/support/notes/1748358","1748358")</f>
        <v>1748358</v>
      </c>
      <c r="E2163">
        <v>1</v>
      </c>
      <c r="F2163" t="s">
        <v>3293</v>
      </c>
    </row>
    <row r="2164" spans="1:6" x14ac:dyDescent="0.25">
      <c r="A2164" t="s">
        <v>4200</v>
      </c>
      <c r="B2164" t="s">
        <v>3289</v>
      </c>
      <c r="C2164" t="s">
        <v>1878</v>
      </c>
      <c r="D2164" t="str">
        <f>HYPERLINK("http://service.sap.com/sap/support/notes/1749744","1749744")</f>
        <v>1749744</v>
      </c>
      <c r="E2164">
        <v>2</v>
      </c>
      <c r="F2164" t="s">
        <v>3294</v>
      </c>
    </row>
    <row r="2165" spans="1:6" x14ac:dyDescent="0.25">
      <c r="A2165" t="s">
        <v>4200</v>
      </c>
      <c r="B2165" t="s">
        <v>3295</v>
      </c>
      <c r="C2165" t="s">
        <v>3296</v>
      </c>
      <c r="D2165" t="str">
        <f>HYPERLINK("http://service.sap.com/sap/support/notes/763034","763034")</f>
        <v>763034</v>
      </c>
      <c r="E2165">
        <v>5</v>
      </c>
      <c r="F2165" t="s">
        <v>3297</v>
      </c>
    </row>
    <row r="2166" spans="1:6" x14ac:dyDescent="0.25">
      <c r="A2166" t="s">
        <v>4200</v>
      </c>
      <c r="B2166" t="s">
        <v>3298</v>
      </c>
      <c r="C2166" t="s">
        <v>29</v>
      </c>
    </row>
    <row r="2167" spans="1:6" x14ac:dyDescent="0.25">
      <c r="A2167" t="s">
        <v>4200</v>
      </c>
      <c r="B2167" t="s">
        <v>3299</v>
      </c>
      <c r="C2167" t="s">
        <v>3253</v>
      </c>
      <c r="D2167" t="str">
        <f>HYPERLINK("http://service.sap.com/sap/support/notes/1732604","1732604")</f>
        <v>1732604</v>
      </c>
      <c r="E2167">
        <v>1</v>
      </c>
      <c r="F2167" t="s">
        <v>3300</v>
      </c>
    </row>
    <row r="2168" spans="1:6" x14ac:dyDescent="0.25">
      <c r="A2168" t="s">
        <v>4200</v>
      </c>
      <c r="B2168" t="s">
        <v>3301</v>
      </c>
      <c r="C2168" t="s">
        <v>3302</v>
      </c>
    </row>
    <row r="2169" spans="1:6" x14ac:dyDescent="0.25">
      <c r="A2169" t="s">
        <v>4200</v>
      </c>
      <c r="B2169" t="s">
        <v>3303</v>
      </c>
      <c r="C2169" t="s">
        <v>3304</v>
      </c>
      <c r="D2169" t="str">
        <f>HYPERLINK("http://service.sap.com/sap/support/notes/1699092","1699092")</f>
        <v>1699092</v>
      </c>
      <c r="E2169">
        <v>1</v>
      </c>
      <c r="F2169" t="s">
        <v>3305</v>
      </c>
    </row>
    <row r="2170" spans="1:6" x14ac:dyDescent="0.25">
      <c r="A2170" t="s">
        <v>4200</v>
      </c>
      <c r="B2170" t="s">
        <v>3303</v>
      </c>
      <c r="C2170" t="s">
        <v>3304</v>
      </c>
      <c r="D2170" t="str">
        <f>HYPERLINK("http://service.sap.com/sap/support/notes/1727425","1727425")</f>
        <v>1727425</v>
      </c>
      <c r="E2170">
        <v>2</v>
      </c>
      <c r="F2170" t="s">
        <v>3306</v>
      </c>
    </row>
    <row r="2171" spans="1:6" x14ac:dyDescent="0.25">
      <c r="A2171" t="s">
        <v>4200</v>
      </c>
      <c r="B2171" t="s">
        <v>3303</v>
      </c>
      <c r="C2171" t="s">
        <v>3304</v>
      </c>
      <c r="D2171" t="str">
        <f>HYPERLINK("http://service.sap.com/sap/support/notes/1728006","1728006")</f>
        <v>1728006</v>
      </c>
      <c r="E2171">
        <v>3</v>
      </c>
      <c r="F2171" t="s">
        <v>3307</v>
      </c>
    </row>
    <row r="2172" spans="1:6" x14ac:dyDescent="0.25">
      <c r="A2172" t="s">
        <v>4200</v>
      </c>
      <c r="B2172" t="s">
        <v>3303</v>
      </c>
      <c r="C2172" t="s">
        <v>3304</v>
      </c>
      <c r="D2172" t="str">
        <f>HYPERLINK("http://service.sap.com/sap/support/notes/1729645","1729645")</f>
        <v>1729645</v>
      </c>
      <c r="E2172">
        <v>1</v>
      </c>
      <c r="F2172" t="s">
        <v>3308</v>
      </c>
    </row>
    <row r="2173" spans="1:6" x14ac:dyDescent="0.25">
      <c r="A2173" t="s">
        <v>4200</v>
      </c>
      <c r="B2173" t="s">
        <v>3303</v>
      </c>
      <c r="C2173" t="s">
        <v>3304</v>
      </c>
      <c r="D2173" t="str">
        <f>HYPERLINK("http://service.sap.com/sap/support/notes/1730663","1730663")</f>
        <v>1730663</v>
      </c>
      <c r="E2173">
        <v>2</v>
      </c>
      <c r="F2173" t="s">
        <v>3309</v>
      </c>
    </row>
    <row r="2174" spans="1:6" x14ac:dyDescent="0.25">
      <c r="A2174" t="s">
        <v>4200</v>
      </c>
      <c r="B2174" t="s">
        <v>3303</v>
      </c>
      <c r="C2174" t="s">
        <v>3304</v>
      </c>
      <c r="D2174" t="str">
        <f>HYPERLINK("http://service.sap.com/sap/support/notes/1736353","1736353")</f>
        <v>1736353</v>
      </c>
      <c r="E2174">
        <v>1</v>
      </c>
      <c r="F2174" t="s">
        <v>3310</v>
      </c>
    </row>
    <row r="2175" spans="1:6" x14ac:dyDescent="0.25">
      <c r="A2175" t="s">
        <v>4200</v>
      </c>
      <c r="B2175" t="s">
        <v>3303</v>
      </c>
      <c r="C2175" t="s">
        <v>3304</v>
      </c>
      <c r="D2175" t="str">
        <f>HYPERLINK("http://service.sap.com/sap/support/notes/1738239","1738239")</f>
        <v>1738239</v>
      </c>
      <c r="E2175">
        <v>2</v>
      </c>
      <c r="F2175" t="s">
        <v>3311</v>
      </c>
    </row>
    <row r="2176" spans="1:6" x14ac:dyDescent="0.25">
      <c r="A2176" t="s">
        <v>4200</v>
      </c>
      <c r="B2176" t="s">
        <v>3303</v>
      </c>
      <c r="C2176" t="s">
        <v>3304</v>
      </c>
      <c r="D2176" t="str">
        <f>HYPERLINK("http://service.sap.com/sap/support/notes/1750922","1750922")</f>
        <v>1750922</v>
      </c>
      <c r="E2176">
        <v>1</v>
      </c>
      <c r="F2176" t="s">
        <v>3312</v>
      </c>
    </row>
    <row r="2177" spans="1:6" x14ac:dyDescent="0.25">
      <c r="A2177" t="s">
        <v>4200</v>
      </c>
      <c r="B2177" t="s">
        <v>3303</v>
      </c>
      <c r="C2177" t="s">
        <v>3304</v>
      </c>
      <c r="D2177" t="str">
        <f>HYPERLINK("http://service.sap.com/sap/support/notes/1755194","1755194")</f>
        <v>1755194</v>
      </c>
      <c r="E2177">
        <v>3</v>
      </c>
      <c r="F2177" t="s">
        <v>3313</v>
      </c>
    </row>
    <row r="2178" spans="1:6" x14ac:dyDescent="0.25">
      <c r="A2178" t="s">
        <v>4200</v>
      </c>
      <c r="B2178" t="s">
        <v>3303</v>
      </c>
      <c r="C2178" t="s">
        <v>3304</v>
      </c>
      <c r="D2178" t="str">
        <f>HYPERLINK("http://service.sap.com/sap/support/notes/1757147","1757147")</f>
        <v>1757147</v>
      </c>
      <c r="E2178">
        <v>4</v>
      </c>
      <c r="F2178" t="s">
        <v>3314</v>
      </c>
    </row>
    <row r="2179" spans="1:6" x14ac:dyDescent="0.25">
      <c r="A2179" t="s">
        <v>4200</v>
      </c>
      <c r="B2179" t="s">
        <v>3303</v>
      </c>
      <c r="C2179" t="s">
        <v>3304</v>
      </c>
      <c r="D2179" t="str">
        <f>HYPERLINK("http://service.sap.com/sap/support/notes/1757714","1757714")</f>
        <v>1757714</v>
      </c>
      <c r="E2179">
        <v>2</v>
      </c>
      <c r="F2179" t="s">
        <v>3315</v>
      </c>
    </row>
    <row r="2180" spans="1:6" x14ac:dyDescent="0.25">
      <c r="A2180" t="s">
        <v>4200</v>
      </c>
      <c r="B2180" t="s">
        <v>3303</v>
      </c>
      <c r="C2180" t="s">
        <v>3304</v>
      </c>
      <c r="D2180" t="str">
        <f>HYPERLINK("http://service.sap.com/sap/support/notes/1761939","1761939")</f>
        <v>1761939</v>
      </c>
      <c r="E2180">
        <v>2</v>
      </c>
      <c r="F2180" t="s">
        <v>3316</v>
      </c>
    </row>
    <row r="2181" spans="1:6" x14ac:dyDescent="0.25">
      <c r="A2181" t="s">
        <v>4200</v>
      </c>
      <c r="B2181" t="s">
        <v>3303</v>
      </c>
      <c r="C2181" t="s">
        <v>3304</v>
      </c>
      <c r="D2181" t="str">
        <f>HYPERLINK("http://service.sap.com/sap/support/notes/1764545","1764545")</f>
        <v>1764545</v>
      </c>
      <c r="E2181">
        <v>2</v>
      </c>
      <c r="F2181" t="s">
        <v>3317</v>
      </c>
    </row>
    <row r="2182" spans="1:6" x14ac:dyDescent="0.25">
      <c r="A2182" t="s">
        <v>4200</v>
      </c>
      <c r="B2182" t="s">
        <v>3303</v>
      </c>
      <c r="C2182" t="s">
        <v>3304</v>
      </c>
      <c r="D2182" t="str">
        <f>HYPERLINK("http://service.sap.com/sap/support/notes/1766379","1766379")</f>
        <v>1766379</v>
      </c>
      <c r="E2182">
        <v>1</v>
      </c>
      <c r="F2182" t="s">
        <v>3318</v>
      </c>
    </row>
    <row r="2183" spans="1:6" x14ac:dyDescent="0.25">
      <c r="A2183" t="s">
        <v>4200</v>
      </c>
      <c r="B2183" t="s">
        <v>3319</v>
      </c>
      <c r="C2183" t="s">
        <v>1784</v>
      </c>
      <c r="D2183" t="str">
        <f>HYPERLINK("http://service.sap.com/sap/support/notes/1635373","1635373")</f>
        <v>1635373</v>
      </c>
      <c r="E2183">
        <v>4</v>
      </c>
      <c r="F2183" t="s">
        <v>3320</v>
      </c>
    </row>
    <row r="2184" spans="1:6" x14ac:dyDescent="0.25">
      <c r="A2184" t="s">
        <v>4200</v>
      </c>
      <c r="B2184" t="s">
        <v>3319</v>
      </c>
      <c r="C2184" t="s">
        <v>1784</v>
      </c>
      <c r="D2184" t="str">
        <f>HYPERLINK("http://service.sap.com/sap/support/notes/1740447","1740447")</f>
        <v>1740447</v>
      </c>
      <c r="E2184">
        <v>1</v>
      </c>
      <c r="F2184" t="s">
        <v>3321</v>
      </c>
    </row>
    <row r="2185" spans="1:6" x14ac:dyDescent="0.25">
      <c r="A2185" t="s">
        <v>4200</v>
      </c>
      <c r="B2185" t="s">
        <v>3322</v>
      </c>
      <c r="C2185" t="s">
        <v>3323</v>
      </c>
    </row>
    <row r="2186" spans="1:6" x14ac:dyDescent="0.25">
      <c r="A2186" t="s">
        <v>4200</v>
      </c>
      <c r="B2186" t="s">
        <v>3324</v>
      </c>
      <c r="C2186" t="s">
        <v>3325</v>
      </c>
      <c r="D2186" t="str">
        <f>HYPERLINK("http://service.sap.com/sap/support/notes/1729273","1729273")</f>
        <v>1729273</v>
      </c>
      <c r="E2186">
        <v>1</v>
      </c>
      <c r="F2186" t="s">
        <v>3326</v>
      </c>
    </row>
    <row r="2187" spans="1:6" x14ac:dyDescent="0.25">
      <c r="A2187" t="s">
        <v>4200</v>
      </c>
      <c r="B2187" t="s">
        <v>3324</v>
      </c>
      <c r="C2187" t="s">
        <v>3325</v>
      </c>
      <c r="D2187" t="str">
        <f>HYPERLINK("http://service.sap.com/sap/support/notes/1738804","1738804")</f>
        <v>1738804</v>
      </c>
      <c r="E2187">
        <v>3</v>
      </c>
      <c r="F2187" t="s">
        <v>3327</v>
      </c>
    </row>
    <row r="2188" spans="1:6" x14ac:dyDescent="0.25">
      <c r="A2188" t="s">
        <v>4200</v>
      </c>
      <c r="B2188" t="s">
        <v>3324</v>
      </c>
      <c r="C2188" t="s">
        <v>3325</v>
      </c>
      <c r="D2188" t="str">
        <f>HYPERLINK("http://service.sap.com/sap/support/notes/1741281","1741281")</f>
        <v>1741281</v>
      </c>
      <c r="E2188">
        <v>1</v>
      </c>
      <c r="F2188" t="s">
        <v>3328</v>
      </c>
    </row>
    <row r="2189" spans="1:6" x14ac:dyDescent="0.25">
      <c r="A2189" t="s">
        <v>4200</v>
      </c>
      <c r="B2189" t="s">
        <v>3324</v>
      </c>
      <c r="C2189" t="s">
        <v>3325</v>
      </c>
      <c r="D2189" t="str">
        <f>HYPERLINK("http://service.sap.com/sap/support/notes/1741945","1741945")</f>
        <v>1741945</v>
      </c>
      <c r="E2189">
        <v>1</v>
      </c>
      <c r="F2189" t="s">
        <v>3329</v>
      </c>
    </row>
    <row r="2190" spans="1:6" x14ac:dyDescent="0.25">
      <c r="A2190" t="s">
        <v>4200</v>
      </c>
      <c r="B2190" t="s">
        <v>3324</v>
      </c>
      <c r="C2190" t="s">
        <v>3325</v>
      </c>
      <c r="D2190" t="str">
        <f>HYPERLINK("http://service.sap.com/sap/support/notes/1745016","1745016")</f>
        <v>1745016</v>
      </c>
      <c r="E2190">
        <v>1</v>
      </c>
      <c r="F2190" t="s">
        <v>3330</v>
      </c>
    </row>
    <row r="2191" spans="1:6" x14ac:dyDescent="0.25">
      <c r="A2191" t="s">
        <v>4200</v>
      </c>
      <c r="B2191" t="s">
        <v>3324</v>
      </c>
      <c r="C2191" t="s">
        <v>3325</v>
      </c>
      <c r="D2191" t="str">
        <f>HYPERLINK("http://service.sap.com/sap/support/notes/1745236","1745236")</f>
        <v>1745236</v>
      </c>
      <c r="E2191">
        <v>1</v>
      </c>
      <c r="F2191" t="s">
        <v>3331</v>
      </c>
    </row>
    <row r="2192" spans="1:6" x14ac:dyDescent="0.25">
      <c r="A2192" t="s">
        <v>4200</v>
      </c>
      <c r="B2192" t="s">
        <v>3324</v>
      </c>
      <c r="C2192" t="s">
        <v>3325</v>
      </c>
      <c r="D2192" t="str">
        <f>HYPERLINK("http://service.sap.com/sap/support/notes/1745438","1745438")</f>
        <v>1745438</v>
      </c>
      <c r="E2192">
        <v>1</v>
      </c>
      <c r="F2192" t="s">
        <v>3332</v>
      </c>
    </row>
    <row r="2193" spans="1:6" x14ac:dyDescent="0.25">
      <c r="A2193" t="s">
        <v>4200</v>
      </c>
      <c r="B2193" t="s">
        <v>3324</v>
      </c>
      <c r="C2193" t="s">
        <v>3325</v>
      </c>
      <c r="D2193" t="str">
        <f>HYPERLINK("http://service.sap.com/sap/support/notes/1753219","1753219")</f>
        <v>1753219</v>
      </c>
      <c r="E2193">
        <v>1</v>
      </c>
      <c r="F2193" t="s">
        <v>3333</v>
      </c>
    </row>
    <row r="2194" spans="1:6" x14ac:dyDescent="0.25">
      <c r="A2194" t="s">
        <v>4200</v>
      </c>
      <c r="B2194" t="s">
        <v>3334</v>
      </c>
      <c r="C2194" t="s">
        <v>3335</v>
      </c>
    </row>
    <row r="2195" spans="1:6" x14ac:dyDescent="0.25">
      <c r="A2195" t="s">
        <v>4200</v>
      </c>
      <c r="B2195" t="s">
        <v>3336</v>
      </c>
      <c r="C2195" t="s">
        <v>3337</v>
      </c>
    </row>
    <row r="2196" spans="1:6" x14ac:dyDescent="0.25">
      <c r="A2196" t="s">
        <v>4200</v>
      </c>
      <c r="B2196" t="s">
        <v>3338</v>
      </c>
      <c r="C2196" t="s">
        <v>3339</v>
      </c>
      <c r="D2196" t="str">
        <f>HYPERLINK("http://service.sap.com/sap/support/notes/1730396","1730396")</f>
        <v>1730396</v>
      </c>
      <c r="E2196">
        <v>3</v>
      </c>
      <c r="F2196" t="s">
        <v>3340</v>
      </c>
    </row>
    <row r="2197" spans="1:6" x14ac:dyDescent="0.25">
      <c r="A2197" t="s">
        <v>4200</v>
      </c>
      <c r="B2197" t="s">
        <v>3341</v>
      </c>
      <c r="C2197" t="s">
        <v>3342</v>
      </c>
    </row>
    <row r="2198" spans="1:6" x14ac:dyDescent="0.25">
      <c r="A2198" t="s">
        <v>4200</v>
      </c>
      <c r="B2198" t="s">
        <v>3343</v>
      </c>
      <c r="C2198" t="s">
        <v>151</v>
      </c>
    </row>
    <row r="2199" spans="1:6" x14ac:dyDescent="0.25">
      <c r="A2199" t="s">
        <v>4200</v>
      </c>
      <c r="B2199" t="s">
        <v>3344</v>
      </c>
      <c r="C2199" t="s">
        <v>621</v>
      </c>
      <c r="D2199" t="str">
        <f>HYPERLINK("http://service.sap.com/sap/support/notes/1689478","1689478")</f>
        <v>1689478</v>
      </c>
      <c r="E2199">
        <v>7</v>
      </c>
      <c r="F2199" t="s">
        <v>3345</v>
      </c>
    </row>
    <row r="2200" spans="1:6" x14ac:dyDescent="0.25">
      <c r="A2200" t="s">
        <v>4200</v>
      </c>
      <c r="B2200" t="s">
        <v>3344</v>
      </c>
      <c r="C2200" t="s">
        <v>621</v>
      </c>
      <c r="D2200" t="str">
        <f>HYPERLINK("http://service.sap.com/sap/support/notes/1691722","1691722")</f>
        <v>1691722</v>
      </c>
      <c r="E2200">
        <v>2</v>
      </c>
      <c r="F2200" t="s">
        <v>3346</v>
      </c>
    </row>
    <row r="2201" spans="1:6" x14ac:dyDescent="0.25">
      <c r="A2201" t="s">
        <v>4200</v>
      </c>
      <c r="B2201" t="s">
        <v>3344</v>
      </c>
      <c r="C2201" t="s">
        <v>621</v>
      </c>
      <c r="D2201" t="str">
        <f>HYPERLINK("http://service.sap.com/sap/support/notes/1698413","1698413")</f>
        <v>1698413</v>
      </c>
      <c r="E2201">
        <v>3</v>
      </c>
      <c r="F2201" t="s">
        <v>3347</v>
      </c>
    </row>
    <row r="2202" spans="1:6" x14ac:dyDescent="0.25">
      <c r="A2202" t="s">
        <v>4200</v>
      </c>
      <c r="B2202" t="s">
        <v>3344</v>
      </c>
      <c r="C2202" t="s">
        <v>621</v>
      </c>
      <c r="D2202" t="str">
        <f>HYPERLINK("http://service.sap.com/sap/support/notes/1726404","1726404")</f>
        <v>1726404</v>
      </c>
      <c r="E2202">
        <v>3</v>
      </c>
      <c r="F2202" t="s">
        <v>3348</v>
      </c>
    </row>
    <row r="2203" spans="1:6" x14ac:dyDescent="0.25">
      <c r="A2203" t="s">
        <v>4200</v>
      </c>
      <c r="B2203" t="s">
        <v>3344</v>
      </c>
      <c r="C2203" t="s">
        <v>621</v>
      </c>
      <c r="D2203" t="str">
        <f>HYPERLINK("http://service.sap.com/sap/support/notes/1726933","1726933")</f>
        <v>1726933</v>
      </c>
      <c r="E2203">
        <v>3</v>
      </c>
      <c r="F2203" t="s">
        <v>3349</v>
      </c>
    </row>
    <row r="2204" spans="1:6" x14ac:dyDescent="0.25">
      <c r="A2204" t="s">
        <v>4200</v>
      </c>
      <c r="B2204" t="s">
        <v>3344</v>
      </c>
      <c r="C2204" t="s">
        <v>621</v>
      </c>
      <c r="D2204" t="str">
        <f>HYPERLINK("http://service.sap.com/sap/support/notes/1741968","1741968")</f>
        <v>1741968</v>
      </c>
      <c r="E2204">
        <v>1</v>
      </c>
      <c r="F2204" t="s">
        <v>3350</v>
      </c>
    </row>
    <row r="2205" spans="1:6" x14ac:dyDescent="0.25">
      <c r="A2205" t="s">
        <v>4200</v>
      </c>
      <c r="B2205" t="s">
        <v>3351</v>
      </c>
      <c r="C2205" t="s">
        <v>3352</v>
      </c>
      <c r="D2205" t="str">
        <f>HYPERLINK("http://service.sap.com/sap/support/notes/1729853","1729853")</f>
        <v>1729853</v>
      </c>
      <c r="E2205">
        <v>1</v>
      </c>
      <c r="F2205" t="s">
        <v>3353</v>
      </c>
    </row>
    <row r="2206" spans="1:6" x14ac:dyDescent="0.25">
      <c r="A2206" t="s">
        <v>4200</v>
      </c>
      <c r="B2206" t="s">
        <v>3354</v>
      </c>
      <c r="C2206" t="s">
        <v>3226</v>
      </c>
      <c r="D2206" t="str">
        <f>HYPERLINK("http://service.sap.com/sap/support/notes/1666790","1666790")</f>
        <v>1666790</v>
      </c>
      <c r="E2206">
        <v>5</v>
      </c>
      <c r="F2206" t="s">
        <v>3355</v>
      </c>
    </row>
    <row r="2207" spans="1:6" x14ac:dyDescent="0.25">
      <c r="A2207" t="s">
        <v>4200</v>
      </c>
      <c r="B2207" t="s">
        <v>3354</v>
      </c>
      <c r="C2207" t="s">
        <v>3226</v>
      </c>
      <c r="D2207" t="str">
        <f>HYPERLINK("http://service.sap.com/sap/support/notes/1748132","1748132")</f>
        <v>1748132</v>
      </c>
      <c r="E2207">
        <v>1</v>
      </c>
      <c r="F2207" t="s">
        <v>3356</v>
      </c>
    </row>
    <row r="2208" spans="1:6" x14ac:dyDescent="0.25">
      <c r="A2208" t="s">
        <v>4200</v>
      </c>
      <c r="B2208" t="s">
        <v>3357</v>
      </c>
      <c r="C2208" t="s">
        <v>3358</v>
      </c>
      <c r="D2208" t="str">
        <f>HYPERLINK("http://service.sap.com/sap/support/notes/1707458","1707458")</f>
        <v>1707458</v>
      </c>
      <c r="E2208">
        <v>2</v>
      </c>
      <c r="F2208" t="s">
        <v>3359</v>
      </c>
    </row>
    <row r="2209" spans="1:6" x14ac:dyDescent="0.25">
      <c r="A2209" t="s">
        <v>4200</v>
      </c>
      <c r="B2209" t="s">
        <v>3360</v>
      </c>
      <c r="C2209" t="s">
        <v>3361</v>
      </c>
      <c r="D2209" t="str">
        <f>HYPERLINK("http://service.sap.com/sap/support/notes/1692462","1692462")</f>
        <v>1692462</v>
      </c>
      <c r="E2209">
        <v>3</v>
      </c>
      <c r="F2209" t="s">
        <v>3362</v>
      </c>
    </row>
    <row r="2210" spans="1:6" x14ac:dyDescent="0.25">
      <c r="A2210" t="s">
        <v>4200</v>
      </c>
      <c r="B2210" t="s">
        <v>3360</v>
      </c>
      <c r="C2210" t="s">
        <v>3361</v>
      </c>
      <c r="D2210" t="str">
        <f>HYPERLINK("http://service.sap.com/sap/support/notes/1718656","1718656")</f>
        <v>1718656</v>
      </c>
      <c r="E2210">
        <v>2</v>
      </c>
      <c r="F2210" t="s">
        <v>3363</v>
      </c>
    </row>
    <row r="2211" spans="1:6" x14ac:dyDescent="0.25">
      <c r="A2211" t="s">
        <v>4200</v>
      </c>
      <c r="B2211" t="s">
        <v>3360</v>
      </c>
      <c r="C2211" t="s">
        <v>3361</v>
      </c>
      <c r="D2211" t="str">
        <f>HYPERLINK("http://service.sap.com/sap/support/notes/1743071","1743071")</f>
        <v>1743071</v>
      </c>
      <c r="E2211">
        <v>2</v>
      </c>
      <c r="F2211" t="s">
        <v>3364</v>
      </c>
    </row>
    <row r="2212" spans="1:6" x14ac:dyDescent="0.25">
      <c r="A2212" t="s">
        <v>4200</v>
      </c>
      <c r="B2212" t="s">
        <v>3365</v>
      </c>
      <c r="C2212" t="s">
        <v>998</v>
      </c>
      <c r="D2212" t="str">
        <f>HYPERLINK("http://service.sap.com/sap/support/notes/1711302","1711302")</f>
        <v>1711302</v>
      </c>
      <c r="E2212">
        <v>2</v>
      </c>
      <c r="F2212" t="s">
        <v>3366</v>
      </c>
    </row>
    <row r="2213" spans="1:6" x14ac:dyDescent="0.25">
      <c r="A2213" t="s">
        <v>4200</v>
      </c>
      <c r="B2213" t="s">
        <v>3365</v>
      </c>
      <c r="C2213" t="s">
        <v>998</v>
      </c>
      <c r="D2213" t="str">
        <f>HYPERLINK("http://service.sap.com/sap/support/notes/1728957","1728957")</f>
        <v>1728957</v>
      </c>
      <c r="E2213">
        <v>1</v>
      </c>
      <c r="F2213" t="s">
        <v>3367</v>
      </c>
    </row>
    <row r="2214" spans="1:6" x14ac:dyDescent="0.25">
      <c r="A2214" t="s">
        <v>4200</v>
      </c>
      <c r="B2214" t="s">
        <v>3365</v>
      </c>
      <c r="C2214" t="s">
        <v>998</v>
      </c>
      <c r="D2214" t="str">
        <f>HYPERLINK("http://service.sap.com/sap/support/notes/1741373","1741373")</f>
        <v>1741373</v>
      </c>
      <c r="E2214">
        <v>2</v>
      </c>
      <c r="F2214" t="s">
        <v>3368</v>
      </c>
    </row>
    <row r="2215" spans="1:6" x14ac:dyDescent="0.25">
      <c r="A2215" t="s">
        <v>4200</v>
      </c>
      <c r="B2215" t="s">
        <v>3369</v>
      </c>
      <c r="C2215" t="s">
        <v>3370</v>
      </c>
      <c r="D2215" t="str">
        <f>HYPERLINK("http://service.sap.com/sap/support/notes/1746887","1746887")</f>
        <v>1746887</v>
      </c>
      <c r="E2215">
        <v>1</v>
      </c>
      <c r="F2215" t="s">
        <v>3371</v>
      </c>
    </row>
    <row r="2216" spans="1:6" x14ac:dyDescent="0.25">
      <c r="A2216" t="s">
        <v>4200</v>
      </c>
      <c r="B2216" t="s">
        <v>3372</v>
      </c>
      <c r="C2216" t="s">
        <v>3373</v>
      </c>
      <c r="D2216" t="str">
        <f>HYPERLINK("http://service.sap.com/sap/support/notes/1735904","1735904")</f>
        <v>1735904</v>
      </c>
      <c r="E2216">
        <v>1</v>
      </c>
      <c r="F2216" t="s">
        <v>3374</v>
      </c>
    </row>
    <row r="2217" spans="1:6" x14ac:dyDescent="0.25">
      <c r="A2217" t="s">
        <v>4200</v>
      </c>
      <c r="B2217" t="s">
        <v>3372</v>
      </c>
      <c r="C2217" t="s">
        <v>3373</v>
      </c>
      <c r="D2217" t="str">
        <f>HYPERLINK("http://service.sap.com/sap/support/notes/1740979","1740979")</f>
        <v>1740979</v>
      </c>
      <c r="E2217">
        <v>2</v>
      </c>
      <c r="F2217" t="s">
        <v>3375</v>
      </c>
    </row>
    <row r="2218" spans="1:6" x14ac:dyDescent="0.25">
      <c r="A2218" t="s">
        <v>4200</v>
      </c>
      <c r="B2218" t="s">
        <v>3372</v>
      </c>
      <c r="C2218" t="s">
        <v>3373</v>
      </c>
      <c r="D2218" t="str">
        <f>HYPERLINK("http://service.sap.com/sap/support/notes/1744165","1744165")</f>
        <v>1744165</v>
      </c>
      <c r="E2218">
        <v>1</v>
      </c>
      <c r="F2218" t="s">
        <v>3376</v>
      </c>
    </row>
    <row r="2219" spans="1:6" x14ac:dyDescent="0.25">
      <c r="A2219" t="s">
        <v>4200</v>
      </c>
      <c r="B2219" t="s">
        <v>3372</v>
      </c>
      <c r="C2219" t="s">
        <v>3373</v>
      </c>
      <c r="D2219" t="str">
        <f>HYPERLINK("http://service.sap.com/sap/support/notes/1757778","1757778")</f>
        <v>1757778</v>
      </c>
      <c r="E2219">
        <v>1</v>
      </c>
      <c r="F2219" t="s">
        <v>3377</v>
      </c>
    </row>
    <row r="2220" spans="1:6" x14ac:dyDescent="0.25">
      <c r="A2220" t="s">
        <v>4200</v>
      </c>
      <c r="B2220" t="s">
        <v>3378</v>
      </c>
      <c r="C2220" t="s">
        <v>48</v>
      </c>
      <c r="D2220" t="str">
        <f>HYPERLINK("http://service.sap.com/sap/support/notes/1756898","1756898")</f>
        <v>1756898</v>
      </c>
      <c r="E2220">
        <v>1</v>
      </c>
      <c r="F2220" t="s">
        <v>3379</v>
      </c>
    </row>
    <row r="2221" spans="1:6" x14ac:dyDescent="0.25">
      <c r="A2221" t="s">
        <v>4200</v>
      </c>
      <c r="B2221" t="s">
        <v>3380</v>
      </c>
      <c r="C2221" t="s">
        <v>3381</v>
      </c>
      <c r="D2221" t="str">
        <f>HYPERLINK("http://service.sap.com/sap/support/notes/1748658","1748658")</f>
        <v>1748658</v>
      </c>
      <c r="E2221">
        <v>2</v>
      </c>
      <c r="F2221" t="s">
        <v>3382</v>
      </c>
    </row>
    <row r="2222" spans="1:6" x14ac:dyDescent="0.25">
      <c r="A2222" t="s">
        <v>4200</v>
      </c>
      <c r="B2222" t="s">
        <v>3383</v>
      </c>
      <c r="C2222" t="s">
        <v>3384</v>
      </c>
      <c r="D2222" t="str">
        <f>HYPERLINK("http://service.sap.com/sap/support/notes/1734268","1734268")</f>
        <v>1734268</v>
      </c>
      <c r="E2222">
        <v>3</v>
      </c>
      <c r="F2222" t="s">
        <v>3385</v>
      </c>
    </row>
    <row r="2223" spans="1:6" x14ac:dyDescent="0.25">
      <c r="A2223" t="s">
        <v>4200</v>
      </c>
      <c r="B2223" t="s">
        <v>3383</v>
      </c>
      <c r="C2223" t="s">
        <v>3384</v>
      </c>
      <c r="D2223" t="str">
        <f>HYPERLINK("http://service.sap.com/sap/support/notes/1768395","1768395")</f>
        <v>1768395</v>
      </c>
      <c r="E2223">
        <v>2</v>
      </c>
      <c r="F2223" t="s">
        <v>3386</v>
      </c>
    </row>
    <row r="2224" spans="1:6" x14ac:dyDescent="0.25">
      <c r="A2224" t="s">
        <v>4200</v>
      </c>
      <c r="B2224" t="s">
        <v>3387</v>
      </c>
      <c r="C2224" t="s">
        <v>612</v>
      </c>
    </row>
    <row r="2225" spans="1:6" x14ac:dyDescent="0.25">
      <c r="A2225" t="s">
        <v>4200</v>
      </c>
      <c r="B2225" t="s">
        <v>3388</v>
      </c>
      <c r="C2225" t="s">
        <v>3389</v>
      </c>
      <c r="D2225" t="str">
        <f>HYPERLINK("http://service.sap.com/sap/support/notes/1768051","1768051")</f>
        <v>1768051</v>
      </c>
      <c r="E2225">
        <v>1</v>
      </c>
      <c r="F2225" t="s">
        <v>3390</v>
      </c>
    </row>
    <row r="2226" spans="1:6" x14ac:dyDescent="0.25">
      <c r="A2226" t="s">
        <v>4200</v>
      </c>
      <c r="B2226" t="s">
        <v>3391</v>
      </c>
      <c r="C2226" t="s">
        <v>151</v>
      </c>
      <c r="D2226" t="str">
        <f>HYPERLINK("http://service.sap.com/sap/support/notes/1747284","1747284")</f>
        <v>1747284</v>
      </c>
      <c r="E2226">
        <v>2</v>
      </c>
      <c r="F2226" t="s">
        <v>3392</v>
      </c>
    </row>
    <row r="2227" spans="1:6" x14ac:dyDescent="0.25">
      <c r="A2227" t="s">
        <v>4200</v>
      </c>
      <c r="B2227" t="s">
        <v>3391</v>
      </c>
      <c r="C2227" t="s">
        <v>151</v>
      </c>
      <c r="D2227" t="str">
        <f>HYPERLINK("http://service.sap.com/sap/support/notes/1748191","1748191")</f>
        <v>1748191</v>
      </c>
      <c r="E2227">
        <v>2</v>
      </c>
      <c r="F2227" t="s">
        <v>3393</v>
      </c>
    </row>
    <row r="2228" spans="1:6" x14ac:dyDescent="0.25">
      <c r="A2228" t="s">
        <v>4200</v>
      </c>
      <c r="B2228" t="s">
        <v>3394</v>
      </c>
      <c r="C2228" t="s">
        <v>3395</v>
      </c>
      <c r="D2228" t="str">
        <f>HYPERLINK("http://service.sap.com/sap/support/notes/1737627","1737627")</f>
        <v>1737627</v>
      </c>
      <c r="E2228">
        <v>3</v>
      </c>
      <c r="F2228" t="s">
        <v>3396</v>
      </c>
    </row>
    <row r="2229" spans="1:6" x14ac:dyDescent="0.25">
      <c r="A2229" t="s">
        <v>4200</v>
      </c>
      <c r="B2229" t="s">
        <v>3397</v>
      </c>
      <c r="C2229" t="s">
        <v>3398</v>
      </c>
      <c r="D2229" t="str">
        <f>HYPERLINK("http://service.sap.com/sap/support/notes/1761309","1761309")</f>
        <v>1761309</v>
      </c>
      <c r="E2229">
        <v>3</v>
      </c>
      <c r="F2229" t="s">
        <v>3399</v>
      </c>
    </row>
    <row r="2230" spans="1:6" x14ac:dyDescent="0.25">
      <c r="A2230" t="s">
        <v>4200</v>
      </c>
      <c r="B2230" t="s">
        <v>3397</v>
      </c>
      <c r="C2230" t="s">
        <v>3398</v>
      </c>
      <c r="D2230" t="str">
        <f>HYPERLINK("http://service.sap.com/sap/support/notes/1761739","1761739")</f>
        <v>1761739</v>
      </c>
      <c r="E2230">
        <v>2</v>
      </c>
      <c r="F2230" t="s">
        <v>3400</v>
      </c>
    </row>
    <row r="2231" spans="1:6" x14ac:dyDescent="0.25">
      <c r="A2231" t="s">
        <v>4200</v>
      </c>
      <c r="B2231" t="s">
        <v>3401</v>
      </c>
      <c r="C2231" t="s">
        <v>3402</v>
      </c>
      <c r="D2231" t="str">
        <f>HYPERLINK("http://service.sap.com/sap/support/notes/1562196","1562196")</f>
        <v>1562196</v>
      </c>
      <c r="E2231">
        <v>5</v>
      </c>
      <c r="F2231" t="s">
        <v>3403</v>
      </c>
    </row>
    <row r="2232" spans="1:6" x14ac:dyDescent="0.25">
      <c r="A2232" t="s">
        <v>4200</v>
      </c>
      <c r="B2232" t="s">
        <v>3401</v>
      </c>
      <c r="C2232" t="s">
        <v>3402</v>
      </c>
      <c r="D2232" t="str">
        <f>HYPERLINK("http://service.sap.com/sap/support/notes/1728010","1728010")</f>
        <v>1728010</v>
      </c>
      <c r="E2232">
        <v>2</v>
      </c>
      <c r="F2232" t="s">
        <v>3404</v>
      </c>
    </row>
    <row r="2233" spans="1:6" x14ac:dyDescent="0.25">
      <c r="A2233" t="s">
        <v>4200</v>
      </c>
      <c r="B2233" t="s">
        <v>3401</v>
      </c>
      <c r="C2233" t="s">
        <v>3402</v>
      </c>
      <c r="D2233" t="str">
        <f>HYPERLINK("http://service.sap.com/sap/support/notes/1735815","1735815")</f>
        <v>1735815</v>
      </c>
      <c r="E2233">
        <v>6</v>
      </c>
      <c r="F2233" t="s">
        <v>3405</v>
      </c>
    </row>
    <row r="2234" spans="1:6" x14ac:dyDescent="0.25">
      <c r="A2234" t="s">
        <v>4200</v>
      </c>
      <c r="B2234" t="s">
        <v>3401</v>
      </c>
      <c r="C2234" t="s">
        <v>3402</v>
      </c>
      <c r="D2234" t="str">
        <f>HYPERLINK("http://service.sap.com/sap/support/notes/1743897","1743897")</f>
        <v>1743897</v>
      </c>
      <c r="E2234">
        <v>2</v>
      </c>
      <c r="F2234" t="s">
        <v>3406</v>
      </c>
    </row>
    <row r="2235" spans="1:6" x14ac:dyDescent="0.25">
      <c r="A2235" t="s">
        <v>4200</v>
      </c>
      <c r="B2235" t="s">
        <v>3401</v>
      </c>
      <c r="C2235" t="s">
        <v>3402</v>
      </c>
      <c r="D2235" t="str">
        <f>HYPERLINK("http://service.sap.com/sap/support/notes/1748503","1748503")</f>
        <v>1748503</v>
      </c>
      <c r="E2235">
        <v>1</v>
      </c>
      <c r="F2235" t="s">
        <v>3407</v>
      </c>
    </row>
    <row r="2236" spans="1:6" x14ac:dyDescent="0.25">
      <c r="A2236" t="s">
        <v>4200</v>
      </c>
      <c r="B2236" t="s">
        <v>3401</v>
      </c>
      <c r="C2236" t="s">
        <v>3402</v>
      </c>
      <c r="D2236" t="str">
        <f>HYPERLINK("http://service.sap.com/sap/support/notes/1758578","1758578")</f>
        <v>1758578</v>
      </c>
      <c r="E2236">
        <v>1</v>
      </c>
      <c r="F2236" t="s">
        <v>3408</v>
      </c>
    </row>
    <row r="2237" spans="1:6" x14ac:dyDescent="0.25">
      <c r="A2237" t="s">
        <v>4200</v>
      </c>
      <c r="B2237" t="s">
        <v>3401</v>
      </c>
      <c r="C2237" t="s">
        <v>3402</v>
      </c>
      <c r="D2237" t="str">
        <f>HYPERLINK("http://service.sap.com/sap/support/notes/1762335","1762335")</f>
        <v>1762335</v>
      </c>
      <c r="E2237">
        <v>1</v>
      </c>
      <c r="F2237" t="s">
        <v>3409</v>
      </c>
    </row>
    <row r="2238" spans="1:6" x14ac:dyDescent="0.25">
      <c r="A2238" t="s">
        <v>4200</v>
      </c>
      <c r="B2238" t="s">
        <v>3410</v>
      </c>
      <c r="C2238" t="s">
        <v>3411</v>
      </c>
      <c r="D2238" t="str">
        <f>HYPERLINK("http://service.sap.com/sap/support/notes/1753519","1753519")</f>
        <v>1753519</v>
      </c>
      <c r="E2238">
        <v>2</v>
      </c>
      <c r="F2238" t="s">
        <v>3412</v>
      </c>
    </row>
    <row r="2239" spans="1:6" x14ac:dyDescent="0.25">
      <c r="A2239" t="s">
        <v>4200</v>
      </c>
      <c r="B2239" t="s">
        <v>3413</v>
      </c>
      <c r="C2239" t="s">
        <v>3414</v>
      </c>
      <c r="D2239" t="str">
        <f>HYPERLINK("http://service.sap.com/sap/support/notes/1731407","1731407")</f>
        <v>1731407</v>
      </c>
      <c r="E2239">
        <v>1</v>
      </c>
      <c r="F2239" t="s">
        <v>3415</v>
      </c>
    </row>
    <row r="2240" spans="1:6" x14ac:dyDescent="0.25">
      <c r="A2240" t="s">
        <v>4200</v>
      </c>
      <c r="B2240" t="s">
        <v>3413</v>
      </c>
      <c r="C2240" t="s">
        <v>3414</v>
      </c>
      <c r="D2240" t="str">
        <f>HYPERLINK("http://service.sap.com/sap/support/notes/1747658","1747658")</f>
        <v>1747658</v>
      </c>
      <c r="E2240">
        <v>1</v>
      </c>
      <c r="F2240" t="s">
        <v>3416</v>
      </c>
    </row>
    <row r="2241" spans="1:6" x14ac:dyDescent="0.25">
      <c r="A2241" t="s">
        <v>4200</v>
      </c>
      <c r="B2241" t="s">
        <v>3413</v>
      </c>
      <c r="C2241" t="s">
        <v>3414</v>
      </c>
      <c r="D2241" t="str">
        <f>HYPERLINK("http://service.sap.com/sap/support/notes/1755943","1755943")</f>
        <v>1755943</v>
      </c>
      <c r="E2241">
        <v>3</v>
      </c>
      <c r="F2241" t="s">
        <v>3417</v>
      </c>
    </row>
    <row r="2242" spans="1:6" x14ac:dyDescent="0.25">
      <c r="A2242" t="s">
        <v>4200</v>
      </c>
      <c r="B2242" t="s">
        <v>3418</v>
      </c>
      <c r="C2242" t="s">
        <v>3419</v>
      </c>
    </row>
    <row r="2243" spans="1:6" x14ac:dyDescent="0.25">
      <c r="A2243" t="s">
        <v>4200</v>
      </c>
      <c r="B2243" t="s">
        <v>3420</v>
      </c>
      <c r="C2243" t="s">
        <v>3421</v>
      </c>
      <c r="D2243" t="str">
        <f>HYPERLINK("http://service.sap.com/sap/support/notes/1739006","1739006")</f>
        <v>1739006</v>
      </c>
      <c r="E2243">
        <v>2</v>
      </c>
      <c r="F2243" t="s">
        <v>3422</v>
      </c>
    </row>
    <row r="2244" spans="1:6" x14ac:dyDescent="0.25">
      <c r="A2244" t="s">
        <v>4200</v>
      </c>
      <c r="B2244" t="s">
        <v>3423</v>
      </c>
      <c r="C2244" t="s">
        <v>3424</v>
      </c>
      <c r="D2244" t="str">
        <f>HYPERLINK("http://service.sap.com/sap/support/notes/1673562","1673562")</f>
        <v>1673562</v>
      </c>
      <c r="E2244">
        <v>2</v>
      </c>
      <c r="F2244" t="s">
        <v>3425</v>
      </c>
    </row>
    <row r="2245" spans="1:6" x14ac:dyDescent="0.25">
      <c r="A2245" t="s">
        <v>4200</v>
      </c>
      <c r="B2245" t="s">
        <v>3423</v>
      </c>
      <c r="C2245" t="s">
        <v>3424</v>
      </c>
      <c r="D2245" t="str">
        <f>HYPERLINK("http://service.sap.com/sap/support/notes/1726070","1726070")</f>
        <v>1726070</v>
      </c>
      <c r="E2245">
        <v>4</v>
      </c>
      <c r="F2245" t="s">
        <v>3426</v>
      </c>
    </row>
    <row r="2246" spans="1:6" x14ac:dyDescent="0.25">
      <c r="A2246" t="s">
        <v>4200</v>
      </c>
      <c r="B2246" t="s">
        <v>3423</v>
      </c>
      <c r="C2246" t="s">
        <v>3424</v>
      </c>
      <c r="D2246" t="str">
        <f>HYPERLINK("http://service.sap.com/sap/support/notes/1730727","1730727")</f>
        <v>1730727</v>
      </c>
      <c r="E2246">
        <v>1</v>
      </c>
      <c r="F2246" t="s">
        <v>3427</v>
      </c>
    </row>
    <row r="2247" spans="1:6" x14ac:dyDescent="0.25">
      <c r="A2247" t="s">
        <v>4200</v>
      </c>
      <c r="B2247" t="s">
        <v>3423</v>
      </c>
      <c r="C2247" t="s">
        <v>3424</v>
      </c>
      <c r="D2247" t="str">
        <f>HYPERLINK("http://service.sap.com/sap/support/notes/1730873","1730873")</f>
        <v>1730873</v>
      </c>
      <c r="E2247">
        <v>2</v>
      </c>
      <c r="F2247" t="s">
        <v>3428</v>
      </c>
    </row>
    <row r="2248" spans="1:6" x14ac:dyDescent="0.25">
      <c r="A2248" t="s">
        <v>4200</v>
      </c>
      <c r="B2248" t="s">
        <v>3423</v>
      </c>
      <c r="C2248" t="s">
        <v>3424</v>
      </c>
      <c r="D2248" t="str">
        <f>HYPERLINK("http://service.sap.com/sap/support/notes/1734080","1734080")</f>
        <v>1734080</v>
      </c>
      <c r="E2248">
        <v>1</v>
      </c>
      <c r="F2248" t="s">
        <v>3429</v>
      </c>
    </row>
    <row r="2249" spans="1:6" x14ac:dyDescent="0.25">
      <c r="A2249" t="s">
        <v>4200</v>
      </c>
      <c r="B2249" t="s">
        <v>3423</v>
      </c>
      <c r="C2249" t="s">
        <v>3424</v>
      </c>
      <c r="D2249" t="str">
        <f>HYPERLINK("http://service.sap.com/sap/support/notes/1745751","1745751")</f>
        <v>1745751</v>
      </c>
      <c r="E2249">
        <v>1</v>
      </c>
      <c r="F2249" t="s">
        <v>3430</v>
      </c>
    </row>
    <row r="2250" spans="1:6" x14ac:dyDescent="0.25">
      <c r="A2250" t="s">
        <v>4200</v>
      </c>
      <c r="B2250" t="s">
        <v>3423</v>
      </c>
      <c r="C2250" t="s">
        <v>3424</v>
      </c>
      <c r="D2250" t="str">
        <f>HYPERLINK("http://service.sap.com/sap/support/notes/1747127","1747127")</f>
        <v>1747127</v>
      </c>
      <c r="E2250">
        <v>1</v>
      </c>
      <c r="F2250" t="s">
        <v>3431</v>
      </c>
    </row>
    <row r="2251" spans="1:6" x14ac:dyDescent="0.25">
      <c r="A2251" t="s">
        <v>4200</v>
      </c>
      <c r="B2251" t="s">
        <v>3423</v>
      </c>
      <c r="C2251" t="s">
        <v>3424</v>
      </c>
      <c r="D2251" t="str">
        <f>HYPERLINK("http://service.sap.com/sap/support/notes/1747393","1747393")</f>
        <v>1747393</v>
      </c>
      <c r="E2251">
        <v>1</v>
      </c>
      <c r="F2251" t="s">
        <v>3432</v>
      </c>
    </row>
    <row r="2252" spans="1:6" x14ac:dyDescent="0.25">
      <c r="A2252" t="s">
        <v>4200</v>
      </c>
      <c r="B2252" t="s">
        <v>3423</v>
      </c>
      <c r="C2252" t="s">
        <v>3424</v>
      </c>
      <c r="D2252" t="str">
        <f>HYPERLINK("http://service.sap.com/sap/support/notes/1754223","1754223")</f>
        <v>1754223</v>
      </c>
      <c r="E2252">
        <v>1</v>
      </c>
      <c r="F2252" t="s">
        <v>3433</v>
      </c>
    </row>
    <row r="2253" spans="1:6" x14ac:dyDescent="0.25">
      <c r="A2253" t="s">
        <v>4200</v>
      </c>
      <c r="B2253" t="s">
        <v>3434</v>
      </c>
      <c r="C2253" t="s">
        <v>3435</v>
      </c>
    </row>
    <row r="2254" spans="1:6" x14ac:dyDescent="0.25">
      <c r="A2254" t="s">
        <v>4200</v>
      </c>
      <c r="B2254" t="s">
        <v>3436</v>
      </c>
      <c r="C2254" t="s">
        <v>3437</v>
      </c>
      <c r="D2254" t="str">
        <f>HYPERLINK("http://service.sap.com/sap/support/notes/1735493","1735493")</f>
        <v>1735493</v>
      </c>
      <c r="E2254">
        <v>1</v>
      </c>
      <c r="F2254" t="s">
        <v>3438</v>
      </c>
    </row>
    <row r="2255" spans="1:6" x14ac:dyDescent="0.25">
      <c r="A2255" t="s">
        <v>4200</v>
      </c>
      <c r="B2255" t="s">
        <v>3439</v>
      </c>
      <c r="C2255" t="s">
        <v>3440</v>
      </c>
    </row>
    <row r="2256" spans="1:6" x14ac:dyDescent="0.25">
      <c r="A2256" t="s">
        <v>4200</v>
      </c>
      <c r="B2256" t="s">
        <v>3441</v>
      </c>
      <c r="C2256" t="s">
        <v>3442</v>
      </c>
    </row>
    <row r="2257" spans="1:6" x14ac:dyDescent="0.25">
      <c r="A2257" t="s">
        <v>4200</v>
      </c>
      <c r="B2257" t="s">
        <v>3443</v>
      </c>
      <c r="C2257" t="s">
        <v>3444</v>
      </c>
      <c r="D2257" t="str">
        <f>HYPERLINK("http://service.sap.com/sap/support/notes/1716883","1716883")</f>
        <v>1716883</v>
      </c>
      <c r="E2257">
        <v>3</v>
      </c>
      <c r="F2257" t="s">
        <v>3445</v>
      </c>
    </row>
    <row r="2258" spans="1:6" x14ac:dyDescent="0.25">
      <c r="A2258" t="s">
        <v>4200</v>
      </c>
      <c r="B2258" t="s">
        <v>3443</v>
      </c>
      <c r="C2258" t="s">
        <v>3444</v>
      </c>
      <c r="D2258" t="str">
        <f>HYPERLINK("http://service.sap.com/sap/support/notes/1759683","1759683")</f>
        <v>1759683</v>
      </c>
      <c r="E2258">
        <v>3</v>
      </c>
      <c r="F2258" t="s">
        <v>3446</v>
      </c>
    </row>
    <row r="2259" spans="1:6" x14ac:dyDescent="0.25">
      <c r="A2259" t="s">
        <v>4200</v>
      </c>
      <c r="B2259" t="s">
        <v>3447</v>
      </c>
      <c r="C2259" t="s">
        <v>2205</v>
      </c>
    </row>
    <row r="2260" spans="1:6" x14ac:dyDescent="0.25">
      <c r="A2260" t="s">
        <v>4200</v>
      </c>
      <c r="B2260" t="s">
        <v>3448</v>
      </c>
      <c r="C2260" t="s">
        <v>3449</v>
      </c>
      <c r="D2260" t="str">
        <f>HYPERLINK("http://service.sap.com/sap/support/notes/1724691","1724691")</f>
        <v>1724691</v>
      </c>
      <c r="E2260">
        <v>2</v>
      </c>
      <c r="F2260" t="s">
        <v>3450</v>
      </c>
    </row>
    <row r="2261" spans="1:6" x14ac:dyDescent="0.25">
      <c r="A2261" t="s">
        <v>4200</v>
      </c>
      <c r="B2261" t="s">
        <v>3448</v>
      </c>
      <c r="C2261" t="s">
        <v>3449</v>
      </c>
      <c r="D2261" t="str">
        <f>HYPERLINK("http://service.sap.com/sap/support/notes/1729895","1729895")</f>
        <v>1729895</v>
      </c>
      <c r="E2261">
        <v>1</v>
      </c>
      <c r="F2261" t="s">
        <v>3451</v>
      </c>
    </row>
    <row r="2262" spans="1:6" x14ac:dyDescent="0.25">
      <c r="A2262" t="s">
        <v>4200</v>
      </c>
      <c r="B2262" t="s">
        <v>3448</v>
      </c>
      <c r="C2262" t="s">
        <v>3449</v>
      </c>
      <c r="D2262" t="str">
        <f>HYPERLINK("http://service.sap.com/sap/support/notes/1731867","1731867")</f>
        <v>1731867</v>
      </c>
      <c r="E2262">
        <v>2</v>
      </c>
      <c r="F2262" t="s">
        <v>3452</v>
      </c>
    </row>
    <row r="2263" spans="1:6" x14ac:dyDescent="0.25">
      <c r="A2263" t="s">
        <v>4200</v>
      </c>
      <c r="B2263" t="s">
        <v>3448</v>
      </c>
      <c r="C2263" t="s">
        <v>3449</v>
      </c>
      <c r="D2263" t="str">
        <f>HYPERLINK("http://service.sap.com/sap/support/notes/1733225","1733225")</f>
        <v>1733225</v>
      </c>
      <c r="E2263">
        <v>1</v>
      </c>
      <c r="F2263" t="s">
        <v>3453</v>
      </c>
    </row>
    <row r="2264" spans="1:6" x14ac:dyDescent="0.25">
      <c r="A2264" t="s">
        <v>4200</v>
      </c>
      <c r="B2264" t="s">
        <v>3448</v>
      </c>
      <c r="C2264" t="s">
        <v>3449</v>
      </c>
      <c r="D2264" t="str">
        <f>HYPERLINK("http://service.sap.com/sap/support/notes/1748240","1748240")</f>
        <v>1748240</v>
      </c>
      <c r="E2264">
        <v>2</v>
      </c>
      <c r="F2264" t="s">
        <v>3454</v>
      </c>
    </row>
    <row r="2265" spans="1:6" x14ac:dyDescent="0.25">
      <c r="A2265" t="s">
        <v>4200</v>
      </c>
      <c r="B2265" t="s">
        <v>3455</v>
      </c>
      <c r="C2265" t="s">
        <v>2207</v>
      </c>
      <c r="D2265" t="str">
        <f>HYPERLINK("http://service.sap.com/sap/support/notes/1730378","1730378")</f>
        <v>1730378</v>
      </c>
      <c r="E2265">
        <v>3</v>
      </c>
      <c r="F2265" t="s">
        <v>3456</v>
      </c>
    </row>
    <row r="2266" spans="1:6" x14ac:dyDescent="0.25">
      <c r="A2266" t="s">
        <v>4200</v>
      </c>
      <c r="B2266" t="s">
        <v>3455</v>
      </c>
      <c r="C2266" t="s">
        <v>2207</v>
      </c>
      <c r="D2266" t="str">
        <f>HYPERLINK("http://service.sap.com/sap/support/notes/1731903","1731903")</f>
        <v>1731903</v>
      </c>
      <c r="E2266">
        <v>3</v>
      </c>
      <c r="F2266" t="s">
        <v>3457</v>
      </c>
    </row>
    <row r="2267" spans="1:6" x14ac:dyDescent="0.25">
      <c r="A2267" t="s">
        <v>4200</v>
      </c>
      <c r="B2267" t="s">
        <v>3455</v>
      </c>
      <c r="C2267" t="s">
        <v>2207</v>
      </c>
      <c r="D2267" t="str">
        <f>HYPERLINK("http://service.sap.com/sap/support/notes/1731946","1731946")</f>
        <v>1731946</v>
      </c>
      <c r="E2267">
        <v>1</v>
      </c>
      <c r="F2267" t="s">
        <v>3458</v>
      </c>
    </row>
    <row r="2268" spans="1:6" x14ac:dyDescent="0.25">
      <c r="A2268" t="s">
        <v>4200</v>
      </c>
      <c r="B2268" t="s">
        <v>3455</v>
      </c>
      <c r="C2268" t="s">
        <v>2207</v>
      </c>
      <c r="D2268" t="str">
        <f>HYPERLINK("http://service.sap.com/sap/support/notes/1732513","1732513")</f>
        <v>1732513</v>
      </c>
      <c r="E2268">
        <v>5</v>
      </c>
      <c r="F2268" t="s">
        <v>3459</v>
      </c>
    </row>
    <row r="2269" spans="1:6" x14ac:dyDescent="0.25">
      <c r="A2269" t="s">
        <v>4200</v>
      </c>
      <c r="B2269" t="s">
        <v>3455</v>
      </c>
      <c r="C2269" t="s">
        <v>2207</v>
      </c>
      <c r="D2269" t="str">
        <f>HYPERLINK("http://service.sap.com/sap/support/notes/1741332","1741332")</f>
        <v>1741332</v>
      </c>
      <c r="E2269">
        <v>3</v>
      </c>
      <c r="F2269" t="s">
        <v>3460</v>
      </c>
    </row>
    <row r="2270" spans="1:6" x14ac:dyDescent="0.25">
      <c r="A2270" t="s">
        <v>4200</v>
      </c>
      <c r="B2270" t="s">
        <v>3461</v>
      </c>
      <c r="C2270" t="s">
        <v>3462</v>
      </c>
      <c r="D2270" t="str">
        <f>HYPERLINK("http://service.sap.com/sap/support/notes/1736052","1736052")</f>
        <v>1736052</v>
      </c>
      <c r="E2270">
        <v>1</v>
      </c>
      <c r="F2270" t="s">
        <v>3463</v>
      </c>
    </row>
    <row r="2271" spans="1:6" x14ac:dyDescent="0.25">
      <c r="A2271" t="s">
        <v>4200</v>
      </c>
      <c r="B2271" t="s">
        <v>3464</v>
      </c>
      <c r="C2271" t="s">
        <v>3465</v>
      </c>
      <c r="D2271" t="str">
        <f>HYPERLINK("http://service.sap.com/sap/support/notes/1719688","1719688")</f>
        <v>1719688</v>
      </c>
      <c r="E2271">
        <v>3</v>
      </c>
      <c r="F2271" t="s">
        <v>3466</v>
      </c>
    </row>
    <row r="2272" spans="1:6" x14ac:dyDescent="0.25">
      <c r="A2272" t="s">
        <v>4200</v>
      </c>
      <c r="B2272" t="s">
        <v>3467</v>
      </c>
      <c r="C2272" t="s">
        <v>151</v>
      </c>
      <c r="D2272" t="str">
        <f>HYPERLINK("http://service.sap.com/sap/support/notes/1751174","1751174")</f>
        <v>1751174</v>
      </c>
      <c r="E2272">
        <v>1</v>
      </c>
      <c r="F2272" t="s">
        <v>3468</v>
      </c>
    </row>
    <row r="2273" spans="1:6" x14ac:dyDescent="0.25">
      <c r="A2273" t="s">
        <v>4200</v>
      </c>
      <c r="B2273" t="s">
        <v>3469</v>
      </c>
      <c r="C2273" t="s">
        <v>824</v>
      </c>
      <c r="D2273" t="str">
        <f>HYPERLINK("http://service.sap.com/sap/support/notes/1720371","1720371")</f>
        <v>1720371</v>
      </c>
      <c r="E2273">
        <v>1</v>
      </c>
      <c r="F2273" t="s">
        <v>3470</v>
      </c>
    </row>
    <row r="2274" spans="1:6" x14ac:dyDescent="0.25">
      <c r="A2274" t="s">
        <v>4200</v>
      </c>
      <c r="B2274" t="s">
        <v>3471</v>
      </c>
      <c r="C2274" t="s">
        <v>29</v>
      </c>
    </row>
    <row r="2275" spans="1:6" x14ac:dyDescent="0.25">
      <c r="A2275" t="s">
        <v>4200</v>
      </c>
      <c r="B2275" t="s">
        <v>3472</v>
      </c>
      <c r="C2275" t="s">
        <v>3473</v>
      </c>
    </row>
    <row r="2276" spans="1:6" x14ac:dyDescent="0.25">
      <c r="A2276" t="s">
        <v>4200</v>
      </c>
      <c r="B2276" t="s">
        <v>3474</v>
      </c>
      <c r="C2276" t="s">
        <v>3475</v>
      </c>
      <c r="D2276" t="str">
        <f>HYPERLINK("http://service.sap.com/sap/support/notes/1633181","1633181")</f>
        <v>1633181</v>
      </c>
      <c r="E2276">
        <v>1</v>
      </c>
      <c r="F2276" t="s">
        <v>3476</v>
      </c>
    </row>
    <row r="2277" spans="1:6" x14ac:dyDescent="0.25">
      <c r="A2277" t="s">
        <v>4200</v>
      </c>
      <c r="B2277" t="s">
        <v>3474</v>
      </c>
      <c r="C2277" t="s">
        <v>3475</v>
      </c>
      <c r="D2277" t="str">
        <f>HYPERLINK("http://service.sap.com/sap/support/notes/1730312","1730312")</f>
        <v>1730312</v>
      </c>
      <c r="E2277">
        <v>1</v>
      </c>
      <c r="F2277" t="s">
        <v>3477</v>
      </c>
    </row>
    <row r="2278" spans="1:6" x14ac:dyDescent="0.25">
      <c r="A2278" t="s">
        <v>4200</v>
      </c>
      <c r="B2278" t="s">
        <v>3478</v>
      </c>
      <c r="C2278" t="s">
        <v>3479</v>
      </c>
      <c r="D2278" t="str">
        <f>HYPERLINK("http://service.sap.com/sap/support/notes/1748845","1748845")</f>
        <v>1748845</v>
      </c>
      <c r="E2278">
        <v>2</v>
      </c>
      <c r="F2278" t="s">
        <v>3480</v>
      </c>
    </row>
    <row r="2279" spans="1:6" x14ac:dyDescent="0.25">
      <c r="A2279" t="s">
        <v>4200</v>
      </c>
      <c r="B2279" t="s">
        <v>3481</v>
      </c>
      <c r="C2279" t="s">
        <v>3482</v>
      </c>
      <c r="D2279" t="str">
        <f>HYPERLINK("http://service.sap.com/sap/support/notes/1578176","1578176")</f>
        <v>1578176</v>
      </c>
      <c r="E2279">
        <v>2</v>
      </c>
      <c r="F2279" t="s">
        <v>3483</v>
      </c>
    </row>
    <row r="2280" spans="1:6" x14ac:dyDescent="0.25">
      <c r="A2280" t="s">
        <v>4200</v>
      </c>
      <c r="B2280" t="s">
        <v>3481</v>
      </c>
      <c r="C2280" t="s">
        <v>3482</v>
      </c>
      <c r="D2280" t="str">
        <f>HYPERLINK("http://service.sap.com/sap/support/notes/1583177","1583177")</f>
        <v>1583177</v>
      </c>
      <c r="E2280">
        <v>3</v>
      </c>
      <c r="F2280" t="s">
        <v>3484</v>
      </c>
    </row>
    <row r="2281" spans="1:6" x14ac:dyDescent="0.25">
      <c r="A2281" t="s">
        <v>4200</v>
      </c>
      <c r="B2281" t="s">
        <v>3481</v>
      </c>
      <c r="C2281" t="s">
        <v>3482</v>
      </c>
      <c r="D2281" t="str">
        <f>HYPERLINK("http://service.sap.com/sap/support/notes/1590741","1590741")</f>
        <v>1590741</v>
      </c>
      <c r="E2281">
        <v>3</v>
      </c>
      <c r="F2281" t="s">
        <v>3485</v>
      </c>
    </row>
    <row r="2282" spans="1:6" x14ac:dyDescent="0.25">
      <c r="A2282" t="s">
        <v>4200</v>
      </c>
      <c r="B2282" t="s">
        <v>3481</v>
      </c>
      <c r="C2282" t="s">
        <v>3482</v>
      </c>
      <c r="D2282" t="str">
        <f>HYPERLINK("http://service.sap.com/sap/support/notes/1630337","1630337")</f>
        <v>1630337</v>
      </c>
      <c r="E2282">
        <v>2</v>
      </c>
      <c r="F2282" t="s">
        <v>3486</v>
      </c>
    </row>
    <row r="2283" spans="1:6" x14ac:dyDescent="0.25">
      <c r="A2283" t="s">
        <v>4200</v>
      </c>
      <c r="B2283" t="s">
        <v>3481</v>
      </c>
      <c r="C2283" t="s">
        <v>3482</v>
      </c>
      <c r="D2283" t="str">
        <f>HYPERLINK("http://service.sap.com/sap/support/notes/1649008","1649008")</f>
        <v>1649008</v>
      </c>
      <c r="E2283">
        <v>1</v>
      </c>
      <c r="F2283" t="s">
        <v>3487</v>
      </c>
    </row>
    <row r="2284" spans="1:6" x14ac:dyDescent="0.25">
      <c r="A2284" t="s">
        <v>4200</v>
      </c>
      <c r="B2284" t="s">
        <v>3481</v>
      </c>
      <c r="C2284" t="s">
        <v>3482</v>
      </c>
      <c r="D2284" t="str">
        <f>HYPERLINK("http://service.sap.com/sap/support/notes/1657919","1657919")</f>
        <v>1657919</v>
      </c>
      <c r="E2284">
        <v>1</v>
      </c>
      <c r="F2284" t="s">
        <v>3488</v>
      </c>
    </row>
    <row r="2285" spans="1:6" x14ac:dyDescent="0.25">
      <c r="A2285" t="s">
        <v>4200</v>
      </c>
      <c r="B2285" t="s">
        <v>3481</v>
      </c>
      <c r="C2285" t="s">
        <v>3482</v>
      </c>
      <c r="D2285" t="str">
        <f>HYPERLINK("http://service.sap.com/sap/support/notes/1667278","1667278")</f>
        <v>1667278</v>
      </c>
      <c r="E2285">
        <v>2</v>
      </c>
      <c r="F2285" t="s">
        <v>3489</v>
      </c>
    </row>
    <row r="2286" spans="1:6" x14ac:dyDescent="0.25">
      <c r="A2286" t="s">
        <v>4200</v>
      </c>
      <c r="B2286" t="s">
        <v>3481</v>
      </c>
      <c r="C2286" t="s">
        <v>3482</v>
      </c>
      <c r="D2286" t="str">
        <f>HYPERLINK("http://service.sap.com/sap/support/notes/1669847","1669847")</f>
        <v>1669847</v>
      </c>
      <c r="E2286">
        <v>2</v>
      </c>
      <c r="F2286" t="s">
        <v>3490</v>
      </c>
    </row>
    <row r="2287" spans="1:6" x14ac:dyDescent="0.25">
      <c r="A2287" t="s">
        <v>4200</v>
      </c>
      <c r="B2287" t="s">
        <v>3481</v>
      </c>
      <c r="C2287" t="s">
        <v>3482</v>
      </c>
      <c r="D2287" t="str">
        <f>HYPERLINK("http://service.sap.com/sap/support/notes/1699588","1699588")</f>
        <v>1699588</v>
      </c>
      <c r="E2287">
        <v>1</v>
      </c>
      <c r="F2287" t="s">
        <v>3491</v>
      </c>
    </row>
    <row r="2288" spans="1:6" x14ac:dyDescent="0.25">
      <c r="A2288" t="s">
        <v>4200</v>
      </c>
      <c r="B2288" t="s">
        <v>3481</v>
      </c>
      <c r="C2288" t="s">
        <v>3482</v>
      </c>
      <c r="D2288" t="str">
        <f>HYPERLINK("http://service.sap.com/sap/support/notes/1736613","1736613")</f>
        <v>1736613</v>
      </c>
      <c r="E2288">
        <v>2</v>
      </c>
      <c r="F2288" t="s">
        <v>3492</v>
      </c>
    </row>
    <row r="2289" spans="1:6" x14ac:dyDescent="0.25">
      <c r="A2289" t="s">
        <v>4200</v>
      </c>
      <c r="B2289" t="s">
        <v>3481</v>
      </c>
      <c r="C2289" t="s">
        <v>3482</v>
      </c>
      <c r="D2289" t="str">
        <f>HYPERLINK("http://service.sap.com/sap/support/notes/1747846","1747846")</f>
        <v>1747846</v>
      </c>
      <c r="E2289">
        <v>1</v>
      </c>
      <c r="F2289" t="s">
        <v>3493</v>
      </c>
    </row>
    <row r="2290" spans="1:6" x14ac:dyDescent="0.25">
      <c r="A2290" t="s">
        <v>4200</v>
      </c>
      <c r="B2290" t="s">
        <v>3481</v>
      </c>
      <c r="C2290" t="s">
        <v>3482</v>
      </c>
      <c r="D2290" t="str">
        <f>HYPERLINK("http://service.sap.com/sap/support/notes/1749499","1749499")</f>
        <v>1749499</v>
      </c>
      <c r="E2290">
        <v>1</v>
      </c>
      <c r="F2290" t="s">
        <v>3494</v>
      </c>
    </row>
    <row r="2291" spans="1:6" x14ac:dyDescent="0.25">
      <c r="A2291" t="s">
        <v>4200</v>
      </c>
      <c r="B2291" t="s">
        <v>3495</v>
      </c>
      <c r="C2291" t="s">
        <v>3496</v>
      </c>
    </row>
    <row r="2292" spans="1:6" x14ac:dyDescent="0.25">
      <c r="A2292" t="s">
        <v>4200</v>
      </c>
      <c r="B2292" t="s">
        <v>3497</v>
      </c>
      <c r="C2292" t="s">
        <v>1925</v>
      </c>
      <c r="D2292" t="str">
        <f>HYPERLINK("http://service.sap.com/sap/support/notes/1716486","1716486")</f>
        <v>1716486</v>
      </c>
      <c r="E2292">
        <v>3</v>
      </c>
      <c r="F2292" t="s">
        <v>3498</v>
      </c>
    </row>
    <row r="2293" spans="1:6" x14ac:dyDescent="0.25">
      <c r="A2293" t="s">
        <v>4200</v>
      </c>
      <c r="B2293" t="s">
        <v>3499</v>
      </c>
      <c r="C2293" t="s">
        <v>1878</v>
      </c>
      <c r="D2293" t="str">
        <f>HYPERLINK("http://service.sap.com/sap/support/notes/1745598","1745598")</f>
        <v>1745598</v>
      </c>
      <c r="E2293">
        <v>1</v>
      </c>
      <c r="F2293" t="s">
        <v>3500</v>
      </c>
    </row>
    <row r="2294" spans="1:6" x14ac:dyDescent="0.25">
      <c r="A2294" t="s">
        <v>4200</v>
      </c>
      <c r="B2294" t="s">
        <v>3499</v>
      </c>
      <c r="C2294" t="s">
        <v>1878</v>
      </c>
      <c r="D2294" t="str">
        <f>HYPERLINK("http://service.sap.com/sap/support/notes/1764231","1764231")</f>
        <v>1764231</v>
      </c>
      <c r="E2294">
        <v>1</v>
      </c>
      <c r="F2294" t="s">
        <v>3501</v>
      </c>
    </row>
    <row r="2295" spans="1:6" x14ac:dyDescent="0.25">
      <c r="A2295" t="s">
        <v>4200</v>
      </c>
      <c r="B2295" t="s">
        <v>3499</v>
      </c>
      <c r="C2295" t="s">
        <v>1878</v>
      </c>
      <c r="D2295" t="str">
        <f>HYPERLINK("http://service.sap.com/sap/support/notes/1765446","1765446")</f>
        <v>1765446</v>
      </c>
      <c r="E2295">
        <v>1</v>
      </c>
      <c r="F2295" t="s">
        <v>3502</v>
      </c>
    </row>
    <row r="2296" spans="1:6" x14ac:dyDescent="0.25">
      <c r="A2296" t="s">
        <v>4200</v>
      </c>
      <c r="B2296" t="s">
        <v>3503</v>
      </c>
      <c r="C2296" t="s">
        <v>3504</v>
      </c>
      <c r="D2296" t="str">
        <f>HYPERLINK("http://service.sap.com/sap/support/notes/1712698","1712698")</f>
        <v>1712698</v>
      </c>
      <c r="E2296">
        <v>4</v>
      </c>
      <c r="F2296" t="s">
        <v>3505</v>
      </c>
    </row>
    <row r="2297" spans="1:6" x14ac:dyDescent="0.25">
      <c r="A2297" t="s">
        <v>4200</v>
      </c>
      <c r="B2297" t="s">
        <v>3503</v>
      </c>
      <c r="C2297" t="s">
        <v>3504</v>
      </c>
      <c r="D2297" t="str">
        <f>HYPERLINK("http://service.sap.com/sap/support/notes/1731633","1731633")</f>
        <v>1731633</v>
      </c>
      <c r="E2297">
        <v>4</v>
      </c>
      <c r="F2297" t="s">
        <v>3506</v>
      </c>
    </row>
    <row r="2298" spans="1:6" x14ac:dyDescent="0.25">
      <c r="A2298" t="s">
        <v>4200</v>
      </c>
      <c r="B2298" t="s">
        <v>3503</v>
      </c>
      <c r="C2298" t="s">
        <v>3504</v>
      </c>
      <c r="D2298" t="str">
        <f>HYPERLINK("http://service.sap.com/sap/support/notes/1734258","1734258")</f>
        <v>1734258</v>
      </c>
      <c r="E2298">
        <v>1</v>
      </c>
      <c r="F2298" t="s">
        <v>3507</v>
      </c>
    </row>
    <row r="2299" spans="1:6" x14ac:dyDescent="0.25">
      <c r="A2299" t="s">
        <v>4200</v>
      </c>
      <c r="B2299" t="s">
        <v>3508</v>
      </c>
      <c r="C2299" t="s">
        <v>151</v>
      </c>
    </row>
    <row r="2300" spans="1:6" x14ac:dyDescent="0.25">
      <c r="A2300" t="s">
        <v>4200</v>
      </c>
      <c r="B2300" t="s">
        <v>3509</v>
      </c>
      <c r="C2300" t="s">
        <v>3510</v>
      </c>
      <c r="D2300" t="str">
        <f>HYPERLINK("http://service.sap.com/sap/support/notes/1718036","1718036")</f>
        <v>1718036</v>
      </c>
      <c r="E2300">
        <v>1</v>
      </c>
      <c r="F2300" t="s">
        <v>3511</v>
      </c>
    </row>
    <row r="2301" spans="1:6" x14ac:dyDescent="0.25">
      <c r="A2301" t="s">
        <v>4200</v>
      </c>
      <c r="B2301" t="s">
        <v>3509</v>
      </c>
      <c r="C2301" t="s">
        <v>3510</v>
      </c>
      <c r="D2301" t="str">
        <f>HYPERLINK("http://service.sap.com/sap/support/notes/1731726","1731726")</f>
        <v>1731726</v>
      </c>
      <c r="E2301">
        <v>1</v>
      </c>
      <c r="F2301" t="s">
        <v>3512</v>
      </c>
    </row>
    <row r="2302" spans="1:6" x14ac:dyDescent="0.25">
      <c r="A2302" t="s">
        <v>4200</v>
      </c>
      <c r="B2302" t="s">
        <v>3509</v>
      </c>
      <c r="C2302" t="s">
        <v>3510</v>
      </c>
      <c r="D2302" t="str">
        <f>HYPERLINK("http://service.sap.com/sap/support/notes/1736344","1736344")</f>
        <v>1736344</v>
      </c>
      <c r="E2302">
        <v>2</v>
      </c>
      <c r="F2302" t="s">
        <v>3513</v>
      </c>
    </row>
    <row r="2303" spans="1:6" x14ac:dyDescent="0.25">
      <c r="A2303" t="s">
        <v>4200</v>
      </c>
      <c r="B2303" t="s">
        <v>3509</v>
      </c>
      <c r="C2303" t="s">
        <v>3510</v>
      </c>
      <c r="D2303" t="str">
        <f>HYPERLINK("http://service.sap.com/sap/support/notes/1737353","1737353")</f>
        <v>1737353</v>
      </c>
      <c r="E2303">
        <v>1</v>
      </c>
      <c r="F2303" t="s">
        <v>3514</v>
      </c>
    </row>
    <row r="2304" spans="1:6" x14ac:dyDescent="0.25">
      <c r="A2304" t="s">
        <v>4200</v>
      </c>
      <c r="B2304" t="s">
        <v>3509</v>
      </c>
      <c r="C2304" t="s">
        <v>3510</v>
      </c>
      <c r="D2304" t="str">
        <f>HYPERLINK("http://service.sap.com/sap/support/notes/1737837","1737837")</f>
        <v>1737837</v>
      </c>
      <c r="E2304">
        <v>2</v>
      </c>
      <c r="F2304" t="s">
        <v>3515</v>
      </c>
    </row>
    <row r="2305" spans="1:6" x14ac:dyDescent="0.25">
      <c r="A2305" t="s">
        <v>4200</v>
      </c>
      <c r="B2305" t="s">
        <v>3516</v>
      </c>
      <c r="C2305" t="s">
        <v>3517</v>
      </c>
      <c r="D2305" t="str">
        <f>HYPERLINK("http://service.sap.com/sap/support/notes/1729323","1729323")</f>
        <v>1729323</v>
      </c>
      <c r="E2305">
        <v>1</v>
      </c>
      <c r="F2305" t="s">
        <v>3518</v>
      </c>
    </row>
    <row r="2306" spans="1:6" x14ac:dyDescent="0.25">
      <c r="A2306" t="s">
        <v>4200</v>
      </c>
      <c r="B2306" t="s">
        <v>3516</v>
      </c>
      <c r="C2306" t="s">
        <v>3517</v>
      </c>
      <c r="D2306" t="str">
        <f>HYPERLINK("http://service.sap.com/sap/support/notes/1735136","1735136")</f>
        <v>1735136</v>
      </c>
      <c r="E2306">
        <v>1</v>
      </c>
      <c r="F2306" t="s">
        <v>3519</v>
      </c>
    </row>
    <row r="2307" spans="1:6" x14ac:dyDescent="0.25">
      <c r="A2307" t="s">
        <v>4200</v>
      </c>
      <c r="B2307" t="s">
        <v>3516</v>
      </c>
      <c r="C2307" t="s">
        <v>3517</v>
      </c>
      <c r="D2307" t="str">
        <f>HYPERLINK("http://service.sap.com/sap/support/notes/1756432","1756432")</f>
        <v>1756432</v>
      </c>
      <c r="E2307">
        <v>2</v>
      </c>
      <c r="F2307" t="s">
        <v>3520</v>
      </c>
    </row>
    <row r="2308" spans="1:6" x14ac:dyDescent="0.25">
      <c r="A2308" t="s">
        <v>4200</v>
      </c>
      <c r="B2308" t="s">
        <v>3516</v>
      </c>
      <c r="C2308" t="s">
        <v>3517</v>
      </c>
      <c r="D2308" t="str">
        <f>HYPERLINK("http://service.sap.com/sap/support/notes/1756705","1756705")</f>
        <v>1756705</v>
      </c>
      <c r="E2308">
        <v>1</v>
      </c>
      <c r="F2308" t="s">
        <v>3521</v>
      </c>
    </row>
    <row r="2309" spans="1:6" x14ac:dyDescent="0.25">
      <c r="A2309" t="s">
        <v>4200</v>
      </c>
      <c r="B2309" t="s">
        <v>3516</v>
      </c>
      <c r="C2309" t="s">
        <v>3517</v>
      </c>
      <c r="D2309" t="str">
        <f>HYPERLINK("http://service.sap.com/sap/support/notes/1756957","1756957")</f>
        <v>1756957</v>
      </c>
      <c r="E2309">
        <v>2</v>
      </c>
      <c r="F2309" t="s">
        <v>3522</v>
      </c>
    </row>
    <row r="2310" spans="1:6" x14ac:dyDescent="0.25">
      <c r="A2310" t="s">
        <v>4200</v>
      </c>
      <c r="B2310" t="s">
        <v>3523</v>
      </c>
      <c r="C2310" t="s">
        <v>3524</v>
      </c>
      <c r="D2310" t="str">
        <f>HYPERLINK("http://service.sap.com/sap/support/notes/1750610","1750610")</f>
        <v>1750610</v>
      </c>
      <c r="E2310">
        <v>1</v>
      </c>
      <c r="F2310" t="s">
        <v>3525</v>
      </c>
    </row>
    <row r="2311" spans="1:6" x14ac:dyDescent="0.25">
      <c r="A2311" t="s">
        <v>4200</v>
      </c>
      <c r="B2311" t="s">
        <v>3526</v>
      </c>
      <c r="C2311" t="s">
        <v>3527</v>
      </c>
    </row>
    <row r="2312" spans="1:6" x14ac:dyDescent="0.25">
      <c r="A2312" t="s">
        <v>4200</v>
      </c>
      <c r="B2312" t="s">
        <v>3528</v>
      </c>
      <c r="C2312" t="s">
        <v>3529</v>
      </c>
      <c r="D2312" t="str">
        <f>HYPERLINK("http://service.sap.com/sap/support/notes/1612630","1612630")</f>
        <v>1612630</v>
      </c>
      <c r="E2312">
        <v>3</v>
      </c>
      <c r="F2312" t="s">
        <v>3530</v>
      </c>
    </row>
    <row r="2313" spans="1:6" x14ac:dyDescent="0.25">
      <c r="A2313" t="s">
        <v>4200</v>
      </c>
      <c r="B2313" t="s">
        <v>3531</v>
      </c>
      <c r="C2313" t="s">
        <v>3532</v>
      </c>
      <c r="D2313" t="str">
        <f>HYPERLINK("http://service.sap.com/sap/support/notes/1726750","1726750")</f>
        <v>1726750</v>
      </c>
      <c r="E2313">
        <v>1</v>
      </c>
      <c r="F2313" t="s">
        <v>3533</v>
      </c>
    </row>
    <row r="2314" spans="1:6" x14ac:dyDescent="0.25">
      <c r="A2314" t="s">
        <v>4200</v>
      </c>
      <c r="B2314" t="s">
        <v>3531</v>
      </c>
      <c r="C2314" t="s">
        <v>3532</v>
      </c>
      <c r="D2314" t="str">
        <f>HYPERLINK("http://service.sap.com/sap/support/notes/1729526","1729526")</f>
        <v>1729526</v>
      </c>
      <c r="E2314">
        <v>2</v>
      </c>
      <c r="F2314" t="s">
        <v>3534</v>
      </c>
    </row>
    <row r="2315" spans="1:6" x14ac:dyDescent="0.25">
      <c r="A2315" t="s">
        <v>4200</v>
      </c>
      <c r="B2315" t="s">
        <v>3531</v>
      </c>
      <c r="C2315" t="s">
        <v>3532</v>
      </c>
      <c r="D2315" t="str">
        <f>HYPERLINK("http://service.sap.com/sap/support/notes/1746895","1746895")</f>
        <v>1746895</v>
      </c>
      <c r="E2315">
        <v>1</v>
      </c>
      <c r="F2315" t="s">
        <v>3535</v>
      </c>
    </row>
    <row r="2316" spans="1:6" x14ac:dyDescent="0.25">
      <c r="A2316" t="s">
        <v>4200</v>
      </c>
      <c r="B2316" t="s">
        <v>3531</v>
      </c>
      <c r="C2316" t="s">
        <v>3532</v>
      </c>
      <c r="D2316" t="str">
        <f>HYPERLINK("http://service.sap.com/sap/support/notes/1748841","1748841")</f>
        <v>1748841</v>
      </c>
      <c r="E2316">
        <v>1</v>
      </c>
      <c r="F2316" t="s">
        <v>3536</v>
      </c>
    </row>
    <row r="2317" spans="1:6" x14ac:dyDescent="0.25">
      <c r="A2317" t="s">
        <v>4200</v>
      </c>
      <c r="B2317" t="s">
        <v>3531</v>
      </c>
      <c r="C2317" t="s">
        <v>3532</v>
      </c>
      <c r="D2317" t="str">
        <f>HYPERLINK("http://service.sap.com/sap/support/notes/1763761","1763761")</f>
        <v>1763761</v>
      </c>
      <c r="E2317">
        <v>1</v>
      </c>
      <c r="F2317" t="s">
        <v>3537</v>
      </c>
    </row>
    <row r="2318" spans="1:6" x14ac:dyDescent="0.25">
      <c r="A2318" t="s">
        <v>4200</v>
      </c>
      <c r="B2318" t="s">
        <v>3538</v>
      </c>
      <c r="C2318" t="s">
        <v>3539</v>
      </c>
      <c r="D2318" t="str">
        <f>HYPERLINK("http://service.sap.com/sap/support/notes/1743411","1743411")</f>
        <v>1743411</v>
      </c>
      <c r="E2318">
        <v>1</v>
      </c>
      <c r="F2318" t="s">
        <v>3540</v>
      </c>
    </row>
    <row r="2319" spans="1:6" x14ac:dyDescent="0.25">
      <c r="A2319" t="s">
        <v>4200</v>
      </c>
      <c r="B2319" t="s">
        <v>3538</v>
      </c>
      <c r="C2319" t="s">
        <v>3539</v>
      </c>
      <c r="D2319" t="str">
        <f>HYPERLINK("http://service.sap.com/sap/support/notes/1754595","1754595")</f>
        <v>1754595</v>
      </c>
      <c r="E2319">
        <v>1</v>
      </c>
      <c r="F2319" t="s">
        <v>3541</v>
      </c>
    </row>
    <row r="2320" spans="1:6" x14ac:dyDescent="0.25">
      <c r="A2320" t="s">
        <v>4200</v>
      </c>
      <c r="B2320" t="s">
        <v>3542</v>
      </c>
      <c r="C2320" t="s">
        <v>3543</v>
      </c>
      <c r="D2320" t="str">
        <f>HYPERLINK("http://service.sap.com/sap/support/notes/1753948","1753948")</f>
        <v>1753948</v>
      </c>
      <c r="E2320">
        <v>3</v>
      </c>
      <c r="F2320" t="s">
        <v>3544</v>
      </c>
    </row>
    <row r="2321" spans="1:6" x14ac:dyDescent="0.25">
      <c r="A2321" t="s">
        <v>4200</v>
      </c>
      <c r="B2321" t="s">
        <v>3545</v>
      </c>
      <c r="C2321" t="s">
        <v>3546</v>
      </c>
      <c r="D2321" t="str">
        <f>HYPERLINK("http://service.sap.com/sap/support/notes/1644891","1644891")</f>
        <v>1644891</v>
      </c>
      <c r="E2321">
        <v>5</v>
      </c>
      <c r="F2321" t="s">
        <v>3547</v>
      </c>
    </row>
    <row r="2322" spans="1:6" x14ac:dyDescent="0.25">
      <c r="A2322" t="s">
        <v>4200</v>
      </c>
      <c r="B2322" t="s">
        <v>3545</v>
      </c>
      <c r="C2322" t="s">
        <v>3546</v>
      </c>
      <c r="D2322" t="str">
        <f>HYPERLINK("http://service.sap.com/sap/support/notes/1749172","1749172")</f>
        <v>1749172</v>
      </c>
      <c r="E2322">
        <v>1</v>
      </c>
      <c r="F2322" t="s">
        <v>3548</v>
      </c>
    </row>
    <row r="2323" spans="1:6" x14ac:dyDescent="0.25">
      <c r="A2323" t="s">
        <v>4200</v>
      </c>
      <c r="B2323" t="s">
        <v>3545</v>
      </c>
      <c r="C2323" t="s">
        <v>3546</v>
      </c>
      <c r="D2323" t="str">
        <f>HYPERLINK("http://service.sap.com/sap/support/notes/1762291","1762291")</f>
        <v>1762291</v>
      </c>
      <c r="E2323">
        <v>1</v>
      </c>
      <c r="F2323" t="s">
        <v>3547</v>
      </c>
    </row>
    <row r="2324" spans="1:6" x14ac:dyDescent="0.25">
      <c r="A2324" t="s">
        <v>4200</v>
      </c>
      <c r="B2324" t="s">
        <v>3549</v>
      </c>
      <c r="C2324" t="s">
        <v>3550</v>
      </c>
    </row>
    <row r="2325" spans="1:6" x14ac:dyDescent="0.25">
      <c r="A2325" t="s">
        <v>4200</v>
      </c>
      <c r="B2325" t="s">
        <v>3551</v>
      </c>
      <c r="C2325" t="s">
        <v>169</v>
      </c>
    </row>
    <row r="2326" spans="1:6" x14ac:dyDescent="0.25">
      <c r="A2326" t="s">
        <v>4200</v>
      </c>
      <c r="B2326" t="s">
        <v>3552</v>
      </c>
      <c r="C2326" t="s">
        <v>3553</v>
      </c>
    </row>
    <row r="2327" spans="1:6" x14ac:dyDescent="0.25">
      <c r="A2327" t="s">
        <v>4200</v>
      </c>
      <c r="B2327" t="s">
        <v>3554</v>
      </c>
      <c r="C2327" t="s">
        <v>3555</v>
      </c>
      <c r="D2327" t="str">
        <f>HYPERLINK("http://service.sap.com/sap/support/notes/1652595","1652595")</f>
        <v>1652595</v>
      </c>
      <c r="E2327">
        <v>2</v>
      </c>
      <c r="F2327" t="s">
        <v>3556</v>
      </c>
    </row>
    <row r="2328" spans="1:6" x14ac:dyDescent="0.25">
      <c r="A2328" t="s">
        <v>4200</v>
      </c>
      <c r="B2328" t="s">
        <v>3554</v>
      </c>
      <c r="C2328" t="s">
        <v>3555</v>
      </c>
      <c r="D2328" t="str">
        <f>HYPERLINK("http://service.sap.com/sap/support/notes/1744486","1744486")</f>
        <v>1744486</v>
      </c>
      <c r="E2328">
        <v>1</v>
      </c>
      <c r="F2328" t="s">
        <v>3557</v>
      </c>
    </row>
    <row r="2329" spans="1:6" x14ac:dyDescent="0.25">
      <c r="A2329" t="s">
        <v>4200</v>
      </c>
      <c r="B2329" t="s">
        <v>3558</v>
      </c>
      <c r="C2329" t="s">
        <v>3559</v>
      </c>
    </row>
    <row r="2330" spans="1:6" x14ac:dyDescent="0.25">
      <c r="A2330" t="s">
        <v>4200</v>
      </c>
      <c r="B2330" t="s">
        <v>3560</v>
      </c>
      <c r="C2330" t="s">
        <v>2961</v>
      </c>
      <c r="D2330" t="str">
        <f>HYPERLINK("http://service.sap.com/sap/support/notes/1728579","1728579")</f>
        <v>1728579</v>
      </c>
      <c r="E2330">
        <v>2</v>
      </c>
      <c r="F2330" t="s">
        <v>3561</v>
      </c>
    </row>
    <row r="2331" spans="1:6" x14ac:dyDescent="0.25">
      <c r="A2331" t="s">
        <v>4200</v>
      </c>
      <c r="B2331" t="s">
        <v>3560</v>
      </c>
      <c r="C2331" t="s">
        <v>2961</v>
      </c>
      <c r="D2331" t="str">
        <f>HYPERLINK("http://service.sap.com/sap/support/notes/1739699","1739699")</f>
        <v>1739699</v>
      </c>
      <c r="E2331">
        <v>4</v>
      </c>
      <c r="F2331" t="s">
        <v>3562</v>
      </c>
    </row>
    <row r="2332" spans="1:6" x14ac:dyDescent="0.25">
      <c r="A2332" t="s">
        <v>4200</v>
      </c>
      <c r="B2332" t="s">
        <v>3563</v>
      </c>
      <c r="C2332" t="s">
        <v>3564</v>
      </c>
      <c r="D2332" t="str">
        <f>HYPERLINK("http://service.sap.com/sap/support/notes/1538386","1538386")</f>
        <v>1538386</v>
      </c>
      <c r="E2332">
        <v>3</v>
      </c>
      <c r="F2332" t="s">
        <v>3565</v>
      </c>
    </row>
    <row r="2333" spans="1:6" x14ac:dyDescent="0.25">
      <c r="A2333" t="s">
        <v>4200</v>
      </c>
      <c r="B2333" t="s">
        <v>3563</v>
      </c>
      <c r="C2333" t="s">
        <v>3564</v>
      </c>
      <c r="D2333" t="str">
        <f>HYPERLINK("http://service.sap.com/sap/support/notes/1726441","1726441")</f>
        <v>1726441</v>
      </c>
      <c r="E2333">
        <v>2</v>
      </c>
      <c r="F2333" t="s">
        <v>3566</v>
      </c>
    </row>
    <row r="2334" spans="1:6" x14ac:dyDescent="0.25">
      <c r="A2334" t="s">
        <v>4200</v>
      </c>
      <c r="B2334" t="s">
        <v>3567</v>
      </c>
      <c r="C2334" t="s">
        <v>3568</v>
      </c>
      <c r="D2334" t="str">
        <f>HYPERLINK("http://service.sap.com/sap/support/notes/1608735","1608735")</f>
        <v>1608735</v>
      </c>
      <c r="E2334">
        <v>9</v>
      </c>
      <c r="F2334" t="s">
        <v>3569</v>
      </c>
    </row>
    <row r="2335" spans="1:6" x14ac:dyDescent="0.25">
      <c r="A2335" t="s">
        <v>4200</v>
      </c>
      <c r="B2335" t="s">
        <v>3567</v>
      </c>
      <c r="C2335" t="s">
        <v>3568</v>
      </c>
      <c r="D2335" t="str">
        <f>HYPERLINK("http://service.sap.com/sap/support/notes/1736956","1736956")</f>
        <v>1736956</v>
      </c>
      <c r="E2335">
        <v>2</v>
      </c>
      <c r="F2335" t="s">
        <v>3570</v>
      </c>
    </row>
    <row r="2336" spans="1:6" x14ac:dyDescent="0.25">
      <c r="A2336" t="s">
        <v>4200</v>
      </c>
      <c r="B2336" t="s">
        <v>3571</v>
      </c>
      <c r="C2336" t="s">
        <v>3572</v>
      </c>
      <c r="D2336" t="str">
        <f>HYPERLINK("http://service.sap.com/sap/support/notes/1727423","1727423")</f>
        <v>1727423</v>
      </c>
      <c r="E2336">
        <v>2</v>
      </c>
      <c r="F2336" t="s">
        <v>3573</v>
      </c>
    </row>
    <row r="2337" spans="1:6" x14ac:dyDescent="0.25">
      <c r="A2337" t="s">
        <v>4200</v>
      </c>
      <c r="B2337" t="s">
        <v>3574</v>
      </c>
      <c r="C2337" t="s">
        <v>3575</v>
      </c>
      <c r="D2337" t="str">
        <f>HYPERLINK("http://service.sap.com/sap/support/notes/1736606","1736606")</f>
        <v>1736606</v>
      </c>
      <c r="E2337">
        <v>1</v>
      </c>
      <c r="F2337" t="s">
        <v>3576</v>
      </c>
    </row>
    <row r="2338" spans="1:6" x14ac:dyDescent="0.25">
      <c r="A2338" t="s">
        <v>4200</v>
      </c>
      <c r="B2338" t="s">
        <v>3577</v>
      </c>
      <c r="C2338" t="s">
        <v>3578</v>
      </c>
      <c r="D2338" t="str">
        <f>HYPERLINK("http://service.sap.com/sap/support/notes/1681571","1681571")</f>
        <v>1681571</v>
      </c>
      <c r="E2338">
        <v>1</v>
      </c>
      <c r="F2338" t="s">
        <v>3579</v>
      </c>
    </row>
    <row r="2339" spans="1:6" x14ac:dyDescent="0.25">
      <c r="A2339" t="s">
        <v>4200</v>
      </c>
      <c r="B2339" t="s">
        <v>3577</v>
      </c>
      <c r="C2339" t="s">
        <v>3578</v>
      </c>
      <c r="D2339" t="str">
        <f>HYPERLINK("http://service.sap.com/sap/support/notes/1688684","1688684")</f>
        <v>1688684</v>
      </c>
      <c r="E2339">
        <v>2</v>
      </c>
      <c r="F2339" t="s">
        <v>3580</v>
      </c>
    </row>
    <row r="2340" spans="1:6" x14ac:dyDescent="0.25">
      <c r="A2340" t="s">
        <v>4200</v>
      </c>
      <c r="B2340" t="s">
        <v>3581</v>
      </c>
      <c r="C2340" t="s">
        <v>3582</v>
      </c>
      <c r="D2340" t="str">
        <f>HYPERLINK("http://service.sap.com/sap/support/notes/1545746","1545746")</f>
        <v>1545746</v>
      </c>
      <c r="E2340">
        <v>2</v>
      </c>
      <c r="F2340" t="s">
        <v>3583</v>
      </c>
    </row>
    <row r="2341" spans="1:6" x14ac:dyDescent="0.25">
      <c r="A2341" t="s">
        <v>4200</v>
      </c>
      <c r="B2341" t="s">
        <v>3584</v>
      </c>
      <c r="C2341" t="s">
        <v>3585</v>
      </c>
      <c r="D2341" t="str">
        <f>HYPERLINK("http://service.sap.com/sap/support/notes/1753664","1753664")</f>
        <v>1753664</v>
      </c>
      <c r="E2341">
        <v>2</v>
      </c>
      <c r="F2341" t="s">
        <v>3586</v>
      </c>
    </row>
    <row r="2342" spans="1:6" x14ac:dyDescent="0.25">
      <c r="A2342" t="s">
        <v>4200</v>
      </c>
      <c r="B2342" t="s">
        <v>3587</v>
      </c>
      <c r="C2342" t="s">
        <v>3588</v>
      </c>
      <c r="D2342" t="str">
        <f>HYPERLINK("http://service.sap.com/sap/support/notes/1652847","1652847")</f>
        <v>1652847</v>
      </c>
      <c r="E2342">
        <v>4</v>
      </c>
      <c r="F2342" t="s">
        <v>3589</v>
      </c>
    </row>
    <row r="2343" spans="1:6" x14ac:dyDescent="0.25">
      <c r="A2343" t="s">
        <v>4200</v>
      </c>
      <c r="B2343" t="s">
        <v>3590</v>
      </c>
      <c r="C2343" t="s">
        <v>3591</v>
      </c>
      <c r="D2343" t="str">
        <f>HYPERLINK("http://service.sap.com/sap/support/notes/1616399","1616399")</f>
        <v>1616399</v>
      </c>
      <c r="E2343">
        <v>2</v>
      </c>
      <c r="F2343" t="s">
        <v>3592</v>
      </c>
    </row>
    <row r="2344" spans="1:6" x14ac:dyDescent="0.25">
      <c r="A2344" t="s">
        <v>4200</v>
      </c>
      <c r="B2344" t="s">
        <v>3593</v>
      </c>
      <c r="C2344" t="s">
        <v>3594</v>
      </c>
    </row>
    <row r="2345" spans="1:6" x14ac:dyDescent="0.25">
      <c r="A2345" t="s">
        <v>4200</v>
      </c>
      <c r="B2345" t="s">
        <v>3595</v>
      </c>
      <c r="C2345" t="s">
        <v>3596</v>
      </c>
      <c r="D2345" t="str">
        <f>HYPERLINK("http://service.sap.com/sap/support/notes/1723736","1723736")</f>
        <v>1723736</v>
      </c>
      <c r="E2345">
        <v>2</v>
      </c>
      <c r="F2345" t="s">
        <v>3597</v>
      </c>
    </row>
    <row r="2346" spans="1:6" x14ac:dyDescent="0.25">
      <c r="A2346" t="s">
        <v>4200</v>
      </c>
      <c r="B2346" t="s">
        <v>3598</v>
      </c>
      <c r="C2346" t="s">
        <v>3599</v>
      </c>
    </row>
    <row r="2347" spans="1:6" x14ac:dyDescent="0.25">
      <c r="A2347" t="s">
        <v>4200</v>
      </c>
      <c r="B2347" t="s">
        <v>3600</v>
      </c>
      <c r="C2347" t="s">
        <v>3601</v>
      </c>
      <c r="D2347" t="str">
        <f>HYPERLINK("http://service.sap.com/sap/support/notes/1742960","1742960")</f>
        <v>1742960</v>
      </c>
      <c r="E2347">
        <v>1</v>
      </c>
      <c r="F2347" t="s">
        <v>3602</v>
      </c>
    </row>
    <row r="2348" spans="1:6" x14ac:dyDescent="0.25">
      <c r="A2348" t="s">
        <v>4200</v>
      </c>
      <c r="B2348" t="s">
        <v>3603</v>
      </c>
      <c r="C2348" t="s">
        <v>3604</v>
      </c>
    </row>
    <row r="2349" spans="1:6" x14ac:dyDescent="0.25">
      <c r="A2349" t="s">
        <v>4200</v>
      </c>
      <c r="B2349" t="s">
        <v>3605</v>
      </c>
      <c r="C2349" t="s">
        <v>3606</v>
      </c>
    </row>
    <row r="2350" spans="1:6" x14ac:dyDescent="0.25">
      <c r="A2350" t="s">
        <v>4200</v>
      </c>
      <c r="B2350" t="s">
        <v>3607</v>
      </c>
      <c r="C2350" t="s">
        <v>3608</v>
      </c>
    </row>
    <row r="2351" spans="1:6" x14ac:dyDescent="0.25">
      <c r="A2351" t="s">
        <v>4200</v>
      </c>
      <c r="B2351" t="s">
        <v>3609</v>
      </c>
      <c r="C2351" t="s">
        <v>3610</v>
      </c>
    </row>
    <row r="2352" spans="1:6" x14ac:dyDescent="0.25">
      <c r="A2352" t="s">
        <v>4200</v>
      </c>
      <c r="B2352" t="s">
        <v>3611</v>
      </c>
      <c r="C2352" t="s">
        <v>183</v>
      </c>
      <c r="D2352" t="str">
        <f>HYPERLINK("http://service.sap.com/sap/support/notes/1753900","1753900")</f>
        <v>1753900</v>
      </c>
      <c r="E2352">
        <v>2</v>
      </c>
      <c r="F2352" t="s">
        <v>3612</v>
      </c>
    </row>
    <row r="2353" spans="1:6" x14ac:dyDescent="0.25">
      <c r="A2353" t="s">
        <v>4200</v>
      </c>
      <c r="B2353" t="s">
        <v>3611</v>
      </c>
      <c r="C2353" t="s">
        <v>183</v>
      </c>
      <c r="D2353" t="str">
        <f>HYPERLINK("http://service.sap.com/sap/support/notes/1764506","1764506")</f>
        <v>1764506</v>
      </c>
      <c r="E2353">
        <v>1</v>
      </c>
      <c r="F2353" t="s">
        <v>3613</v>
      </c>
    </row>
    <row r="2354" spans="1:6" x14ac:dyDescent="0.25">
      <c r="A2354" t="s">
        <v>4200</v>
      </c>
      <c r="B2354" t="s">
        <v>3614</v>
      </c>
      <c r="C2354" t="s">
        <v>218</v>
      </c>
      <c r="D2354" t="str">
        <f>HYPERLINK("http://service.sap.com/sap/support/notes/1752047","1752047")</f>
        <v>1752047</v>
      </c>
      <c r="E2354">
        <v>1</v>
      </c>
      <c r="F2354" t="s">
        <v>3615</v>
      </c>
    </row>
    <row r="2355" spans="1:6" x14ac:dyDescent="0.25">
      <c r="A2355" t="s">
        <v>4200</v>
      </c>
      <c r="B2355" t="s">
        <v>3616</v>
      </c>
      <c r="C2355" t="s">
        <v>3617</v>
      </c>
    </row>
    <row r="2356" spans="1:6" x14ac:dyDescent="0.25">
      <c r="A2356" t="s">
        <v>4200</v>
      </c>
      <c r="B2356" t="s">
        <v>3618</v>
      </c>
      <c r="C2356" t="s">
        <v>3619</v>
      </c>
      <c r="D2356" t="str">
        <f>HYPERLINK("http://service.sap.com/sap/support/notes/1730238","1730238")</f>
        <v>1730238</v>
      </c>
      <c r="E2356">
        <v>1</v>
      </c>
      <c r="F2356" t="s">
        <v>3620</v>
      </c>
    </row>
    <row r="2357" spans="1:6" x14ac:dyDescent="0.25">
      <c r="A2357" t="s">
        <v>4200</v>
      </c>
      <c r="B2357" t="s">
        <v>3618</v>
      </c>
      <c r="C2357" t="s">
        <v>3619</v>
      </c>
      <c r="D2357" t="str">
        <f>HYPERLINK("http://service.sap.com/sap/support/notes/1748386","1748386")</f>
        <v>1748386</v>
      </c>
      <c r="E2357">
        <v>3</v>
      </c>
      <c r="F2357" t="s">
        <v>3621</v>
      </c>
    </row>
    <row r="2358" spans="1:6" x14ac:dyDescent="0.25">
      <c r="A2358" t="s">
        <v>4200</v>
      </c>
      <c r="B2358" t="s">
        <v>3618</v>
      </c>
      <c r="C2358" t="s">
        <v>3619</v>
      </c>
      <c r="D2358" t="str">
        <f>HYPERLINK("http://service.sap.com/sap/support/notes/1767216","1767216")</f>
        <v>1767216</v>
      </c>
      <c r="E2358">
        <v>1</v>
      </c>
      <c r="F2358" t="s">
        <v>3622</v>
      </c>
    </row>
    <row r="2359" spans="1:6" x14ac:dyDescent="0.25">
      <c r="A2359" t="s">
        <v>4200</v>
      </c>
      <c r="B2359" t="s">
        <v>3623</v>
      </c>
      <c r="C2359" t="s">
        <v>3624</v>
      </c>
      <c r="D2359" t="str">
        <f>HYPERLINK("http://service.sap.com/sap/support/notes/1762803","1762803")</f>
        <v>1762803</v>
      </c>
      <c r="E2359">
        <v>1</v>
      </c>
      <c r="F2359" t="s">
        <v>3625</v>
      </c>
    </row>
    <row r="2360" spans="1:6" x14ac:dyDescent="0.25">
      <c r="A2360" t="s">
        <v>4200</v>
      </c>
      <c r="B2360" t="s">
        <v>3626</v>
      </c>
      <c r="C2360" t="s">
        <v>3627</v>
      </c>
    </row>
    <row r="2361" spans="1:6" x14ac:dyDescent="0.25">
      <c r="A2361" t="s">
        <v>4200</v>
      </c>
      <c r="B2361" t="s">
        <v>3628</v>
      </c>
      <c r="C2361" t="s">
        <v>3629</v>
      </c>
      <c r="D2361" t="str">
        <f>HYPERLINK("http://service.sap.com/sap/support/notes/1763300","1763300")</f>
        <v>1763300</v>
      </c>
      <c r="E2361">
        <v>2</v>
      </c>
      <c r="F2361" t="s">
        <v>3630</v>
      </c>
    </row>
    <row r="2362" spans="1:6" x14ac:dyDescent="0.25">
      <c r="A2362" t="s">
        <v>4200</v>
      </c>
      <c r="B2362" t="s">
        <v>3631</v>
      </c>
      <c r="C2362" t="s">
        <v>3632</v>
      </c>
      <c r="D2362" t="str">
        <f>HYPERLINK("http://service.sap.com/sap/support/notes/1745366","1745366")</f>
        <v>1745366</v>
      </c>
      <c r="E2362">
        <v>1</v>
      </c>
      <c r="F2362" t="s">
        <v>3633</v>
      </c>
    </row>
    <row r="2363" spans="1:6" x14ac:dyDescent="0.25">
      <c r="A2363" t="s">
        <v>4200</v>
      </c>
      <c r="B2363" t="s">
        <v>3631</v>
      </c>
      <c r="C2363" t="s">
        <v>3632</v>
      </c>
      <c r="D2363" t="str">
        <f>HYPERLINK("http://service.sap.com/sap/support/notes/1748778","1748778")</f>
        <v>1748778</v>
      </c>
      <c r="E2363">
        <v>1</v>
      </c>
      <c r="F2363" t="s">
        <v>3634</v>
      </c>
    </row>
    <row r="2364" spans="1:6" x14ac:dyDescent="0.25">
      <c r="A2364" t="s">
        <v>4200</v>
      </c>
      <c r="B2364" t="s">
        <v>3631</v>
      </c>
      <c r="C2364" t="s">
        <v>3632</v>
      </c>
      <c r="D2364" t="str">
        <f>HYPERLINK("http://service.sap.com/sap/support/notes/1749125","1749125")</f>
        <v>1749125</v>
      </c>
      <c r="E2364">
        <v>2</v>
      </c>
      <c r="F2364" t="s">
        <v>3635</v>
      </c>
    </row>
    <row r="2365" spans="1:6" x14ac:dyDescent="0.25">
      <c r="A2365" t="s">
        <v>4200</v>
      </c>
      <c r="B2365" t="s">
        <v>3631</v>
      </c>
      <c r="C2365" t="s">
        <v>3632</v>
      </c>
      <c r="D2365" t="str">
        <f>HYPERLINK("http://service.sap.com/sap/support/notes/1760995","1760995")</f>
        <v>1760995</v>
      </c>
      <c r="E2365">
        <v>3</v>
      </c>
      <c r="F2365" t="s">
        <v>3636</v>
      </c>
    </row>
    <row r="2366" spans="1:6" x14ac:dyDescent="0.25">
      <c r="A2366" t="s">
        <v>4200</v>
      </c>
      <c r="B2366" t="s">
        <v>3631</v>
      </c>
      <c r="C2366" t="s">
        <v>3632</v>
      </c>
      <c r="D2366" t="str">
        <f>HYPERLINK("http://service.sap.com/sap/support/notes/1763115","1763115")</f>
        <v>1763115</v>
      </c>
      <c r="E2366">
        <v>1</v>
      </c>
      <c r="F2366" t="s">
        <v>3637</v>
      </c>
    </row>
    <row r="2367" spans="1:6" x14ac:dyDescent="0.25">
      <c r="A2367" t="s">
        <v>4200</v>
      </c>
      <c r="B2367" t="s">
        <v>3638</v>
      </c>
      <c r="C2367" t="s">
        <v>3639</v>
      </c>
      <c r="D2367" t="str">
        <f>HYPERLINK("http://service.sap.com/sap/support/notes/1752771","1752771")</f>
        <v>1752771</v>
      </c>
      <c r="E2367">
        <v>2</v>
      </c>
      <c r="F2367" t="s">
        <v>3640</v>
      </c>
    </row>
    <row r="2368" spans="1:6" x14ac:dyDescent="0.25">
      <c r="A2368" t="s">
        <v>4200</v>
      </c>
      <c r="B2368" t="s">
        <v>3638</v>
      </c>
      <c r="C2368" t="s">
        <v>3639</v>
      </c>
      <c r="D2368" t="str">
        <f>HYPERLINK("http://service.sap.com/sap/support/notes/1764849","1764849")</f>
        <v>1764849</v>
      </c>
      <c r="E2368">
        <v>3</v>
      </c>
      <c r="F2368" t="s">
        <v>3641</v>
      </c>
    </row>
    <row r="2369" spans="1:6" x14ac:dyDescent="0.25">
      <c r="A2369" t="s">
        <v>4200</v>
      </c>
      <c r="B2369" t="s">
        <v>3638</v>
      </c>
      <c r="C2369" t="s">
        <v>3639</v>
      </c>
      <c r="D2369" t="str">
        <f>HYPERLINK("http://service.sap.com/sap/support/notes/1765210","1765210")</f>
        <v>1765210</v>
      </c>
      <c r="E2369">
        <v>1</v>
      </c>
      <c r="F2369" t="s">
        <v>3642</v>
      </c>
    </row>
    <row r="2370" spans="1:6" x14ac:dyDescent="0.25">
      <c r="A2370" t="s">
        <v>4200</v>
      </c>
      <c r="B2370" t="s">
        <v>3638</v>
      </c>
      <c r="C2370" t="s">
        <v>3639</v>
      </c>
      <c r="D2370" t="str">
        <f>HYPERLINK("http://service.sap.com/sap/support/notes/1768973","1768973")</f>
        <v>1768973</v>
      </c>
      <c r="E2370">
        <v>3</v>
      </c>
      <c r="F2370" t="s">
        <v>3643</v>
      </c>
    </row>
    <row r="2371" spans="1:6" x14ac:dyDescent="0.25">
      <c r="A2371" t="s">
        <v>4200</v>
      </c>
      <c r="B2371" t="s">
        <v>3638</v>
      </c>
      <c r="C2371" t="s">
        <v>3639</v>
      </c>
      <c r="D2371" t="str">
        <f>HYPERLINK("http://service.sap.com/sap/support/notes/1771751","1771751")</f>
        <v>1771751</v>
      </c>
      <c r="E2371">
        <v>1</v>
      </c>
      <c r="F2371" t="s">
        <v>3644</v>
      </c>
    </row>
    <row r="2372" spans="1:6" x14ac:dyDescent="0.25">
      <c r="A2372" t="s">
        <v>4200</v>
      </c>
      <c r="B2372" t="s">
        <v>3645</v>
      </c>
      <c r="C2372" t="s">
        <v>3646</v>
      </c>
      <c r="D2372" t="str">
        <f>HYPERLINK("http://service.sap.com/sap/support/notes/1734750","1734750")</f>
        <v>1734750</v>
      </c>
      <c r="E2372">
        <v>1</v>
      </c>
      <c r="F2372" t="s">
        <v>3647</v>
      </c>
    </row>
    <row r="2373" spans="1:6" x14ac:dyDescent="0.25">
      <c r="A2373" t="s">
        <v>4200</v>
      </c>
      <c r="B2373" t="s">
        <v>3645</v>
      </c>
      <c r="C2373" t="s">
        <v>3646</v>
      </c>
      <c r="D2373" t="str">
        <f>HYPERLINK("http://service.sap.com/sap/support/notes/1764852","1764852")</f>
        <v>1764852</v>
      </c>
      <c r="E2373">
        <v>2</v>
      </c>
      <c r="F2373" t="s">
        <v>3648</v>
      </c>
    </row>
    <row r="2374" spans="1:6" x14ac:dyDescent="0.25">
      <c r="A2374" t="s">
        <v>4200</v>
      </c>
      <c r="B2374" t="s">
        <v>3649</v>
      </c>
      <c r="C2374" t="s">
        <v>3650</v>
      </c>
    </row>
    <row r="2375" spans="1:6" x14ac:dyDescent="0.25">
      <c r="A2375" t="s">
        <v>4200</v>
      </c>
      <c r="B2375" t="s">
        <v>3651</v>
      </c>
      <c r="C2375" t="s">
        <v>3652</v>
      </c>
    </row>
    <row r="2376" spans="1:6" x14ac:dyDescent="0.25">
      <c r="A2376" t="s">
        <v>4200</v>
      </c>
      <c r="B2376" t="s">
        <v>3653</v>
      </c>
      <c r="C2376" t="s">
        <v>1588</v>
      </c>
      <c r="D2376" t="str">
        <f>HYPERLINK("http://service.sap.com/sap/support/notes/1704773","1704773")</f>
        <v>1704773</v>
      </c>
      <c r="E2376">
        <v>1</v>
      </c>
      <c r="F2376" t="s">
        <v>3654</v>
      </c>
    </row>
    <row r="2377" spans="1:6" x14ac:dyDescent="0.25">
      <c r="A2377" t="s">
        <v>4200</v>
      </c>
      <c r="B2377" t="s">
        <v>3655</v>
      </c>
      <c r="C2377" t="s">
        <v>3656</v>
      </c>
      <c r="D2377" t="str">
        <f>HYPERLINK("http://service.sap.com/sap/support/notes/1717933","1717933")</f>
        <v>1717933</v>
      </c>
      <c r="E2377">
        <v>1</v>
      </c>
      <c r="F2377" t="s">
        <v>3657</v>
      </c>
    </row>
    <row r="2378" spans="1:6" x14ac:dyDescent="0.25">
      <c r="A2378" t="s">
        <v>4200</v>
      </c>
      <c r="B2378" t="s">
        <v>3658</v>
      </c>
      <c r="C2378" t="s">
        <v>3659</v>
      </c>
    </row>
    <row r="2379" spans="1:6" x14ac:dyDescent="0.25">
      <c r="A2379" t="s">
        <v>4200</v>
      </c>
      <c r="B2379" t="s">
        <v>3660</v>
      </c>
      <c r="C2379" t="s">
        <v>3661</v>
      </c>
    </row>
    <row r="2380" spans="1:6" x14ac:dyDescent="0.25">
      <c r="A2380" t="s">
        <v>4200</v>
      </c>
      <c r="B2380" t="s">
        <v>3662</v>
      </c>
      <c r="C2380" t="s">
        <v>3663</v>
      </c>
      <c r="D2380" t="str">
        <f>HYPERLINK("http://service.sap.com/sap/support/notes/1756903","1756903")</f>
        <v>1756903</v>
      </c>
      <c r="E2380">
        <v>2</v>
      </c>
      <c r="F2380" t="s">
        <v>3664</v>
      </c>
    </row>
    <row r="2381" spans="1:6" x14ac:dyDescent="0.25">
      <c r="A2381" t="s">
        <v>4200</v>
      </c>
      <c r="B2381" t="s">
        <v>3665</v>
      </c>
      <c r="C2381" t="s">
        <v>3666</v>
      </c>
      <c r="D2381" t="str">
        <f>HYPERLINK("http://service.sap.com/sap/support/notes/1748406","1748406")</f>
        <v>1748406</v>
      </c>
      <c r="E2381">
        <v>1</v>
      </c>
      <c r="F2381" t="s">
        <v>3667</v>
      </c>
    </row>
    <row r="2382" spans="1:6" x14ac:dyDescent="0.25">
      <c r="A2382" t="s">
        <v>4200</v>
      </c>
      <c r="B2382" t="s">
        <v>3665</v>
      </c>
      <c r="C2382" t="s">
        <v>3666</v>
      </c>
      <c r="D2382" t="str">
        <f>HYPERLINK("http://service.sap.com/sap/support/notes/1762692","1762692")</f>
        <v>1762692</v>
      </c>
      <c r="E2382">
        <v>2</v>
      </c>
      <c r="F2382" t="s">
        <v>3668</v>
      </c>
    </row>
    <row r="2383" spans="1:6" x14ac:dyDescent="0.25">
      <c r="A2383" t="s">
        <v>4200</v>
      </c>
      <c r="B2383" t="s">
        <v>3669</v>
      </c>
      <c r="C2383" t="s">
        <v>3670</v>
      </c>
    </row>
    <row r="2384" spans="1:6" x14ac:dyDescent="0.25">
      <c r="A2384" t="s">
        <v>4200</v>
      </c>
      <c r="B2384" t="s">
        <v>3671</v>
      </c>
      <c r="C2384" t="s">
        <v>3672</v>
      </c>
      <c r="D2384" t="str">
        <f>HYPERLINK("http://service.sap.com/sap/support/notes/1596164","1596164")</f>
        <v>1596164</v>
      </c>
      <c r="E2384">
        <v>1</v>
      </c>
      <c r="F2384" t="s">
        <v>3673</v>
      </c>
    </row>
    <row r="2385" spans="1:6" x14ac:dyDescent="0.25">
      <c r="A2385" t="s">
        <v>4200</v>
      </c>
      <c r="B2385" t="s">
        <v>3674</v>
      </c>
      <c r="C2385" t="s">
        <v>3675</v>
      </c>
      <c r="D2385" t="str">
        <f>HYPERLINK("http://service.sap.com/sap/support/notes/1701278","1701278")</f>
        <v>1701278</v>
      </c>
      <c r="E2385">
        <v>1</v>
      </c>
      <c r="F2385" t="s">
        <v>3676</v>
      </c>
    </row>
    <row r="2386" spans="1:6" x14ac:dyDescent="0.25">
      <c r="A2386" t="s">
        <v>4200</v>
      </c>
      <c r="B2386" t="s">
        <v>3674</v>
      </c>
      <c r="C2386" t="s">
        <v>3675</v>
      </c>
      <c r="D2386" t="str">
        <f>HYPERLINK("http://service.sap.com/sap/support/notes/1732594","1732594")</f>
        <v>1732594</v>
      </c>
      <c r="E2386">
        <v>1</v>
      </c>
      <c r="F2386" t="s">
        <v>3677</v>
      </c>
    </row>
    <row r="2387" spans="1:6" x14ac:dyDescent="0.25">
      <c r="A2387" t="s">
        <v>4200</v>
      </c>
      <c r="B2387" t="s">
        <v>3674</v>
      </c>
      <c r="C2387" t="s">
        <v>3675</v>
      </c>
      <c r="D2387" t="str">
        <f>HYPERLINK("http://service.sap.com/sap/support/notes/1736391","1736391")</f>
        <v>1736391</v>
      </c>
      <c r="E2387">
        <v>4</v>
      </c>
      <c r="F2387" t="s">
        <v>3678</v>
      </c>
    </row>
    <row r="2388" spans="1:6" x14ac:dyDescent="0.25">
      <c r="A2388" t="s">
        <v>4200</v>
      </c>
      <c r="B2388" t="s">
        <v>3674</v>
      </c>
      <c r="C2388" t="s">
        <v>3675</v>
      </c>
      <c r="D2388" t="str">
        <f>HYPERLINK("http://service.sap.com/sap/support/notes/1738662","1738662")</f>
        <v>1738662</v>
      </c>
      <c r="E2388">
        <v>1</v>
      </c>
      <c r="F2388" t="s">
        <v>3679</v>
      </c>
    </row>
    <row r="2389" spans="1:6" x14ac:dyDescent="0.25">
      <c r="A2389" t="s">
        <v>4200</v>
      </c>
      <c r="B2389" t="s">
        <v>3674</v>
      </c>
      <c r="C2389" t="s">
        <v>3675</v>
      </c>
      <c r="D2389" t="str">
        <f>HYPERLINK("http://service.sap.com/sap/support/notes/1763376","1763376")</f>
        <v>1763376</v>
      </c>
      <c r="E2389">
        <v>1</v>
      </c>
      <c r="F2389" t="s">
        <v>3680</v>
      </c>
    </row>
    <row r="2390" spans="1:6" x14ac:dyDescent="0.25">
      <c r="A2390" t="s">
        <v>4200</v>
      </c>
      <c r="B2390" t="s">
        <v>3674</v>
      </c>
      <c r="C2390" t="s">
        <v>3675</v>
      </c>
      <c r="D2390" t="str">
        <f>HYPERLINK("http://service.sap.com/sap/support/notes/1764186","1764186")</f>
        <v>1764186</v>
      </c>
      <c r="E2390">
        <v>1</v>
      </c>
      <c r="F2390" t="s">
        <v>3681</v>
      </c>
    </row>
    <row r="2391" spans="1:6" x14ac:dyDescent="0.25">
      <c r="A2391" t="s">
        <v>4200</v>
      </c>
      <c r="B2391" t="s">
        <v>3674</v>
      </c>
      <c r="C2391" t="s">
        <v>3675</v>
      </c>
      <c r="D2391" t="str">
        <f>HYPERLINK("http://service.sap.com/sap/support/notes/1765322","1765322")</f>
        <v>1765322</v>
      </c>
      <c r="E2391">
        <v>2</v>
      </c>
      <c r="F2391" t="s">
        <v>3682</v>
      </c>
    </row>
    <row r="2392" spans="1:6" x14ac:dyDescent="0.25">
      <c r="A2392" t="s">
        <v>4200</v>
      </c>
      <c r="B2392" t="s">
        <v>3674</v>
      </c>
      <c r="C2392" t="s">
        <v>3675</v>
      </c>
      <c r="D2392" t="str">
        <f>HYPERLINK("http://service.sap.com/sap/support/notes/1765497","1765497")</f>
        <v>1765497</v>
      </c>
      <c r="E2392">
        <v>2</v>
      </c>
      <c r="F2392" t="s">
        <v>3683</v>
      </c>
    </row>
    <row r="2393" spans="1:6" x14ac:dyDescent="0.25">
      <c r="A2393" t="s">
        <v>4200</v>
      </c>
      <c r="B2393" t="s">
        <v>3684</v>
      </c>
      <c r="C2393" t="s">
        <v>3685</v>
      </c>
    </row>
    <row r="2394" spans="1:6" x14ac:dyDescent="0.25">
      <c r="A2394" t="s">
        <v>4200</v>
      </c>
      <c r="B2394" t="s">
        <v>3686</v>
      </c>
      <c r="C2394" t="s">
        <v>3687</v>
      </c>
    </row>
    <row r="2395" spans="1:6" x14ac:dyDescent="0.25">
      <c r="A2395" t="s">
        <v>4200</v>
      </c>
      <c r="B2395" t="s">
        <v>3688</v>
      </c>
      <c r="C2395" t="s">
        <v>3689</v>
      </c>
      <c r="D2395" t="str">
        <f>HYPERLINK("http://service.sap.com/sap/support/notes/1759287","1759287")</f>
        <v>1759287</v>
      </c>
      <c r="E2395">
        <v>2</v>
      </c>
      <c r="F2395" t="s">
        <v>3690</v>
      </c>
    </row>
    <row r="2396" spans="1:6" x14ac:dyDescent="0.25">
      <c r="A2396" t="s">
        <v>4200</v>
      </c>
      <c r="B2396" t="s">
        <v>3691</v>
      </c>
      <c r="C2396" t="s">
        <v>48</v>
      </c>
      <c r="D2396" t="str">
        <f>HYPERLINK("http://service.sap.com/sap/support/notes/1760828","1760828")</f>
        <v>1760828</v>
      </c>
      <c r="E2396">
        <v>3</v>
      </c>
      <c r="F2396" t="s">
        <v>3692</v>
      </c>
    </row>
    <row r="2397" spans="1:6" x14ac:dyDescent="0.25">
      <c r="A2397" t="s">
        <v>4200</v>
      </c>
      <c r="B2397" t="s">
        <v>70</v>
      </c>
      <c r="C2397" t="s">
        <v>71</v>
      </c>
    </row>
    <row r="2398" spans="1:6" x14ac:dyDescent="0.25">
      <c r="A2398" t="s">
        <v>4200</v>
      </c>
      <c r="B2398" t="s">
        <v>3693</v>
      </c>
      <c r="C2398" t="s">
        <v>3694</v>
      </c>
    </row>
    <row r="2399" spans="1:6" x14ac:dyDescent="0.25">
      <c r="A2399" t="s">
        <v>4200</v>
      </c>
      <c r="B2399" t="s">
        <v>3695</v>
      </c>
      <c r="C2399" t="s">
        <v>3696</v>
      </c>
    </row>
    <row r="2400" spans="1:6" x14ac:dyDescent="0.25">
      <c r="A2400" t="s">
        <v>4200</v>
      </c>
      <c r="B2400" t="s">
        <v>3697</v>
      </c>
      <c r="C2400" t="s">
        <v>3698</v>
      </c>
      <c r="D2400" t="str">
        <f>HYPERLINK("http://service.sap.com/sap/support/notes/1724916","1724916")</f>
        <v>1724916</v>
      </c>
      <c r="E2400">
        <v>3</v>
      </c>
      <c r="F2400" t="s">
        <v>3699</v>
      </c>
    </row>
    <row r="2401" spans="1:6" x14ac:dyDescent="0.25">
      <c r="A2401" t="s">
        <v>4200</v>
      </c>
      <c r="B2401" t="s">
        <v>3700</v>
      </c>
      <c r="C2401" t="s">
        <v>3701</v>
      </c>
      <c r="D2401" t="str">
        <f>HYPERLINK("http://service.sap.com/sap/support/notes/1344872","1344872")</f>
        <v>1344872</v>
      </c>
      <c r="E2401">
        <v>1</v>
      </c>
      <c r="F2401" t="s">
        <v>3702</v>
      </c>
    </row>
    <row r="2402" spans="1:6" x14ac:dyDescent="0.25">
      <c r="A2402" t="s">
        <v>4200</v>
      </c>
      <c r="B2402" t="s">
        <v>3700</v>
      </c>
      <c r="C2402" t="s">
        <v>3701</v>
      </c>
      <c r="D2402" t="str">
        <f>HYPERLINK("http://service.sap.com/sap/support/notes/1683534","1683534")</f>
        <v>1683534</v>
      </c>
      <c r="E2402">
        <v>4</v>
      </c>
      <c r="F2402" t="s">
        <v>3703</v>
      </c>
    </row>
    <row r="2403" spans="1:6" x14ac:dyDescent="0.25">
      <c r="A2403" t="s">
        <v>4200</v>
      </c>
      <c r="B2403" t="s">
        <v>3700</v>
      </c>
      <c r="C2403" t="s">
        <v>3701</v>
      </c>
      <c r="D2403" t="str">
        <f>HYPERLINK("http://service.sap.com/sap/support/notes/1697229","1697229")</f>
        <v>1697229</v>
      </c>
      <c r="E2403">
        <v>3</v>
      </c>
      <c r="F2403" t="s">
        <v>3704</v>
      </c>
    </row>
    <row r="2404" spans="1:6" x14ac:dyDescent="0.25">
      <c r="A2404" t="s">
        <v>4200</v>
      </c>
      <c r="B2404" t="s">
        <v>3700</v>
      </c>
      <c r="C2404" t="s">
        <v>3701</v>
      </c>
      <c r="D2404" t="str">
        <f>HYPERLINK("http://service.sap.com/sap/support/notes/1703106","1703106")</f>
        <v>1703106</v>
      </c>
      <c r="E2404">
        <v>3</v>
      </c>
      <c r="F2404" t="s">
        <v>3705</v>
      </c>
    </row>
    <row r="2405" spans="1:6" x14ac:dyDescent="0.25">
      <c r="A2405" t="s">
        <v>4200</v>
      </c>
      <c r="B2405" t="s">
        <v>3700</v>
      </c>
      <c r="C2405" t="s">
        <v>3701</v>
      </c>
      <c r="D2405" t="str">
        <f>HYPERLINK("http://service.sap.com/sap/support/notes/1716530","1716530")</f>
        <v>1716530</v>
      </c>
      <c r="E2405">
        <v>1</v>
      </c>
      <c r="F2405" t="s">
        <v>3706</v>
      </c>
    </row>
    <row r="2406" spans="1:6" x14ac:dyDescent="0.25">
      <c r="A2406" t="s">
        <v>4200</v>
      </c>
      <c r="B2406" t="s">
        <v>3700</v>
      </c>
      <c r="C2406" t="s">
        <v>3701</v>
      </c>
      <c r="D2406" t="str">
        <f>HYPERLINK("http://service.sap.com/sap/support/notes/1725285","1725285")</f>
        <v>1725285</v>
      </c>
      <c r="E2406">
        <v>2</v>
      </c>
      <c r="F2406" t="s">
        <v>3707</v>
      </c>
    </row>
    <row r="2407" spans="1:6" x14ac:dyDescent="0.25">
      <c r="A2407" t="s">
        <v>4200</v>
      </c>
      <c r="B2407" t="s">
        <v>3700</v>
      </c>
      <c r="C2407" t="s">
        <v>3701</v>
      </c>
      <c r="D2407" t="str">
        <f>HYPERLINK("http://service.sap.com/sap/support/notes/1726150","1726150")</f>
        <v>1726150</v>
      </c>
      <c r="E2407">
        <v>1</v>
      </c>
      <c r="F2407" t="s">
        <v>3708</v>
      </c>
    </row>
    <row r="2408" spans="1:6" x14ac:dyDescent="0.25">
      <c r="A2408" t="s">
        <v>4200</v>
      </c>
      <c r="B2408" t="s">
        <v>3700</v>
      </c>
      <c r="C2408" t="s">
        <v>3701</v>
      </c>
      <c r="D2408" t="str">
        <f>HYPERLINK("http://service.sap.com/sap/support/notes/1730024","1730024")</f>
        <v>1730024</v>
      </c>
      <c r="E2408">
        <v>1</v>
      </c>
      <c r="F2408" t="s">
        <v>3709</v>
      </c>
    </row>
    <row r="2409" spans="1:6" x14ac:dyDescent="0.25">
      <c r="A2409" t="s">
        <v>4200</v>
      </c>
      <c r="B2409" t="s">
        <v>3700</v>
      </c>
      <c r="C2409" t="s">
        <v>3701</v>
      </c>
      <c r="D2409" t="str">
        <f>HYPERLINK("http://service.sap.com/sap/support/notes/1731822","1731822")</f>
        <v>1731822</v>
      </c>
      <c r="E2409">
        <v>2</v>
      </c>
      <c r="F2409" t="s">
        <v>3710</v>
      </c>
    </row>
    <row r="2410" spans="1:6" x14ac:dyDescent="0.25">
      <c r="A2410" t="s">
        <v>4200</v>
      </c>
      <c r="B2410" t="s">
        <v>3700</v>
      </c>
      <c r="C2410" t="s">
        <v>3701</v>
      </c>
      <c r="D2410" t="str">
        <f>HYPERLINK("http://service.sap.com/sap/support/notes/1738350","1738350")</f>
        <v>1738350</v>
      </c>
      <c r="E2410">
        <v>1</v>
      </c>
      <c r="F2410" t="s">
        <v>3711</v>
      </c>
    </row>
    <row r="2411" spans="1:6" x14ac:dyDescent="0.25">
      <c r="A2411" t="s">
        <v>4200</v>
      </c>
      <c r="B2411" t="s">
        <v>3700</v>
      </c>
      <c r="C2411" t="s">
        <v>3701</v>
      </c>
      <c r="D2411" t="str">
        <f>HYPERLINK("http://service.sap.com/sap/support/notes/1739920","1739920")</f>
        <v>1739920</v>
      </c>
      <c r="E2411">
        <v>1</v>
      </c>
      <c r="F2411" t="s">
        <v>3712</v>
      </c>
    </row>
    <row r="2412" spans="1:6" x14ac:dyDescent="0.25">
      <c r="A2412" t="s">
        <v>4200</v>
      </c>
      <c r="B2412" t="s">
        <v>3700</v>
      </c>
      <c r="C2412" t="s">
        <v>3701</v>
      </c>
      <c r="D2412" t="str">
        <f>HYPERLINK("http://service.sap.com/sap/support/notes/1748607","1748607")</f>
        <v>1748607</v>
      </c>
      <c r="E2412">
        <v>1</v>
      </c>
      <c r="F2412" t="s">
        <v>3713</v>
      </c>
    </row>
    <row r="2413" spans="1:6" x14ac:dyDescent="0.25">
      <c r="A2413" t="s">
        <v>4200</v>
      </c>
      <c r="B2413" t="s">
        <v>3700</v>
      </c>
      <c r="C2413" t="s">
        <v>3701</v>
      </c>
      <c r="D2413" t="str">
        <f>HYPERLINK("http://service.sap.com/sap/support/notes/1749828","1749828")</f>
        <v>1749828</v>
      </c>
      <c r="E2413">
        <v>1</v>
      </c>
      <c r="F2413" t="s">
        <v>3714</v>
      </c>
    </row>
    <row r="2414" spans="1:6" x14ac:dyDescent="0.25">
      <c r="A2414" t="s">
        <v>4200</v>
      </c>
      <c r="B2414" t="s">
        <v>3715</v>
      </c>
    </row>
    <row r="2415" spans="1:6" x14ac:dyDescent="0.25">
      <c r="A2415" t="s">
        <v>4200</v>
      </c>
      <c r="B2415" t="s">
        <v>3716</v>
      </c>
      <c r="C2415" t="s">
        <v>3717</v>
      </c>
      <c r="D2415" t="str">
        <f>HYPERLINK("http://service.sap.com/sap/support/notes/1758875","1758875")</f>
        <v>1758875</v>
      </c>
      <c r="E2415">
        <v>2</v>
      </c>
      <c r="F2415" t="s">
        <v>3718</v>
      </c>
    </row>
    <row r="2416" spans="1:6" x14ac:dyDescent="0.25">
      <c r="A2416" t="s">
        <v>4200</v>
      </c>
      <c r="B2416" t="s">
        <v>3719</v>
      </c>
      <c r="C2416" t="s">
        <v>2999</v>
      </c>
      <c r="D2416" t="str">
        <f>HYPERLINK("http://service.sap.com/sap/support/notes/1653495","1653495")</f>
        <v>1653495</v>
      </c>
      <c r="E2416">
        <v>4</v>
      </c>
      <c r="F2416" t="s">
        <v>3720</v>
      </c>
    </row>
    <row r="2417" spans="1:6" x14ac:dyDescent="0.25">
      <c r="A2417" t="s">
        <v>4200</v>
      </c>
      <c r="B2417" t="s">
        <v>3719</v>
      </c>
      <c r="C2417" t="s">
        <v>2999</v>
      </c>
      <c r="D2417" t="str">
        <f>HYPERLINK("http://service.sap.com/sap/support/notes/1682945","1682945")</f>
        <v>1682945</v>
      </c>
      <c r="E2417">
        <v>4</v>
      </c>
      <c r="F2417" t="s">
        <v>3721</v>
      </c>
    </row>
    <row r="2418" spans="1:6" x14ac:dyDescent="0.25">
      <c r="A2418" t="s">
        <v>4200</v>
      </c>
      <c r="B2418" t="s">
        <v>3719</v>
      </c>
      <c r="C2418" t="s">
        <v>2999</v>
      </c>
      <c r="D2418" t="str">
        <f>HYPERLINK("http://service.sap.com/sap/support/notes/1695567","1695567")</f>
        <v>1695567</v>
      </c>
      <c r="E2418">
        <v>2</v>
      </c>
      <c r="F2418" t="s">
        <v>3722</v>
      </c>
    </row>
    <row r="2419" spans="1:6" x14ac:dyDescent="0.25">
      <c r="A2419" t="s">
        <v>4200</v>
      </c>
      <c r="B2419" t="s">
        <v>3719</v>
      </c>
      <c r="C2419" t="s">
        <v>2999</v>
      </c>
      <c r="D2419" t="str">
        <f>HYPERLINK("http://service.sap.com/sap/support/notes/1696291","1696291")</f>
        <v>1696291</v>
      </c>
      <c r="E2419">
        <v>3</v>
      </c>
      <c r="F2419" t="s">
        <v>3723</v>
      </c>
    </row>
    <row r="2420" spans="1:6" x14ac:dyDescent="0.25">
      <c r="A2420" t="s">
        <v>4200</v>
      </c>
      <c r="B2420" t="s">
        <v>3719</v>
      </c>
      <c r="C2420" t="s">
        <v>2999</v>
      </c>
      <c r="D2420" t="str">
        <f>HYPERLINK("http://service.sap.com/sap/support/notes/1699333","1699333")</f>
        <v>1699333</v>
      </c>
      <c r="E2420">
        <v>13</v>
      </c>
      <c r="F2420" t="s">
        <v>3724</v>
      </c>
    </row>
    <row r="2421" spans="1:6" x14ac:dyDescent="0.25">
      <c r="A2421" t="s">
        <v>4200</v>
      </c>
      <c r="B2421" t="s">
        <v>3719</v>
      </c>
      <c r="C2421" t="s">
        <v>2999</v>
      </c>
      <c r="D2421" t="str">
        <f>HYPERLINK("http://service.sap.com/sap/support/notes/1712948","1712948")</f>
        <v>1712948</v>
      </c>
      <c r="E2421">
        <v>8</v>
      </c>
      <c r="F2421" t="s">
        <v>3725</v>
      </c>
    </row>
    <row r="2422" spans="1:6" x14ac:dyDescent="0.25">
      <c r="A2422" t="s">
        <v>4200</v>
      </c>
      <c r="B2422" t="s">
        <v>3719</v>
      </c>
      <c r="C2422" t="s">
        <v>2999</v>
      </c>
      <c r="D2422" t="str">
        <f>HYPERLINK("http://service.sap.com/sap/support/notes/1716234","1716234")</f>
        <v>1716234</v>
      </c>
      <c r="E2422">
        <v>3</v>
      </c>
      <c r="F2422" t="s">
        <v>3726</v>
      </c>
    </row>
    <row r="2423" spans="1:6" x14ac:dyDescent="0.25">
      <c r="A2423" t="s">
        <v>4200</v>
      </c>
      <c r="B2423" t="s">
        <v>3727</v>
      </c>
      <c r="C2423" t="s">
        <v>3728</v>
      </c>
      <c r="D2423" t="str">
        <f>HYPERLINK("http://service.sap.com/sap/support/notes/1706309","1706309")</f>
        <v>1706309</v>
      </c>
      <c r="E2423">
        <v>1</v>
      </c>
      <c r="F2423" t="s">
        <v>3729</v>
      </c>
    </row>
    <row r="2424" spans="1:6" x14ac:dyDescent="0.25">
      <c r="A2424" t="s">
        <v>4200</v>
      </c>
      <c r="B2424" t="s">
        <v>3727</v>
      </c>
      <c r="C2424" t="s">
        <v>3728</v>
      </c>
      <c r="D2424" t="str">
        <f>HYPERLINK("http://service.sap.com/sap/support/notes/1724689","1724689")</f>
        <v>1724689</v>
      </c>
      <c r="E2424">
        <v>2</v>
      </c>
      <c r="F2424" t="s">
        <v>3730</v>
      </c>
    </row>
    <row r="2425" spans="1:6" x14ac:dyDescent="0.25">
      <c r="A2425" t="s">
        <v>4200</v>
      </c>
      <c r="B2425" t="s">
        <v>3727</v>
      </c>
      <c r="C2425" t="s">
        <v>3728</v>
      </c>
      <c r="D2425" t="str">
        <f>HYPERLINK("http://service.sap.com/sap/support/notes/1726599","1726599")</f>
        <v>1726599</v>
      </c>
      <c r="E2425">
        <v>3</v>
      </c>
      <c r="F2425" t="s">
        <v>3731</v>
      </c>
    </row>
    <row r="2426" spans="1:6" x14ac:dyDescent="0.25">
      <c r="A2426" t="s">
        <v>4200</v>
      </c>
      <c r="B2426" t="s">
        <v>3727</v>
      </c>
      <c r="C2426" t="s">
        <v>3728</v>
      </c>
      <c r="D2426" t="str">
        <f>HYPERLINK("http://service.sap.com/sap/support/notes/1730946","1730946")</f>
        <v>1730946</v>
      </c>
      <c r="E2426">
        <v>8</v>
      </c>
      <c r="F2426" t="s">
        <v>3732</v>
      </c>
    </row>
    <row r="2427" spans="1:6" x14ac:dyDescent="0.25">
      <c r="A2427" t="s">
        <v>4200</v>
      </c>
      <c r="B2427" t="s">
        <v>3727</v>
      </c>
      <c r="C2427" t="s">
        <v>3728</v>
      </c>
      <c r="D2427" t="str">
        <f>HYPERLINK("http://service.sap.com/sap/support/notes/1737268","1737268")</f>
        <v>1737268</v>
      </c>
      <c r="E2427">
        <v>2</v>
      </c>
      <c r="F2427" t="s">
        <v>3733</v>
      </c>
    </row>
    <row r="2428" spans="1:6" x14ac:dyDescent="0.25">
      <c r="A2428" t="s">
        <v>4200</v>
      </c>
      <c r="B2428" t="s">
        <v>3727</v>
      </c>
      <c r="C2428" t="s">
        <v>3728</v>
      </c>
      <c r="D2428" t="str">
        <f>HYPERLINK("http://service.sap.com/sap/support/notes/1737629","1737629")</f>
        <v>1737629</v>
      </c>
      <c r="E2428">
        <v>1</v>
      </c>
      <c r="F2428" t="s">
        <v>3734</v>
      </c>
    </row>
    <row r="2429" spans="1:6" x14ac:dyDescent="0.25">
      <c r="A2429" t="s">
        <v>4200</v>
      </c>
      <c r="B2429" t="s">
        <v>3727</v>
      </c>
      <c r="C2429" t="s">
        <v>3728</v>
      </c>
      <c r="D2429" t="str">
        <f>HYPERLINK("http://service.sap.com/sap/support/notes/1741902","1741902")</f>
        <v>1741902</v>
      </c>
      <c r="E2429">
        <v>2</v>
      </c>
      <c r="F2429" t="s">
        <v>3735</v>
      </c>
    </row>
    <row r="2430" spans="1:6" x14ac:dyDescent="0.25">
      <c r="A2430" t="s">
        <v>4200</v>
      </c>
      <c r="B2430" t="s">
        <v>3727</v>
      </c>
      <c r="C2430" t="s">
        <v>3728</v>
      </c>
      <c r="D2430" t="str">
        <f>HYPERLINK("http://service.sap.com/sap/support/notes/1744595","1744595")</f>
        <v>1744595</v>
      </c>
      <c r="E2430">
        <v>3</v>
      </c>
      <c r="F2430" t="s">
        <v>3736</v>
      </c>
    </row>
    <row r="2431" spans="1:6" x14ac:dyDescent="0.25">
      <c r="A2431" t="s">
        <v>4200</v>
      </c>
      <c r="B2431" t="s">
        <v>3727</v>
      </c>
      <c r="C2431" t="s">
        <v>3728</v>
      </c>
      <c r="D2431" t="str">
        <f>HYPERLINK("http://service.sap.com/sap/support/notes/1749046","1749046")</f>
        <v>1749046</v>
      </c>
      <c r="E2431">
        <v>4</v>
      </c>
      <c r="F2431" t="s">
        <v>3737</v>
      </c>
    </row>
    <row r="2432" spans="1:6" x14ac:dyDescent="0.25">
      <c r="A2432" t="s">
        <v>4200</v>
      </c>
      <c r="B2432" t="s">
        <v>3738</v>
      </c>
      <c r="C2432" t="s">
        <v>3739</v>
      </c>
      <c r="D2432" t="str">
        <f>HYPERLINK("http://service.sap.com/sap/support/notes/1734020","1734020")</f>
        <v>1734020</v>
      </c>
      <c r="E2432">
        <v>1</v>
      </c>
      <c r="F2432" t="s">
        <v>3740</v>
      </c>
    </row>
    <row r="2433" spans="1:6" x14ac:dyDescent="0.25">
      <c r="A2433" t="s">
        <v>4200</v>
      </c>
      <c r="B2433" t="s">
        <v>3738</v>
      </c>
      <c r="C2433" t="s">
        <v>3739</v>
      </c>
      <c r="D2433" t="str">
        <f>HYPERLINK("http://service.sap.com/sap/support/notes/1744913","1744913")</f>
        <v>1744913</v>
      </c>
      <c r="E2433">
        <v>2</v>
      </c>
      <c r="F2433" t="s">
        <v>3741</v>
      </c>
    </row>
    <row r="2434" spans="1:6" x14ac:dyDescent="0.25">
      <c r="A2434" t="s">
        <v>4200</v>
      </c>
      <c r="B2434" t="s">
        <v>3738</v>
      </c>
      <c r="C2434" t="s">
        <v>3739</v>
      </c>
      <c r="D2434" t="str">
        <f>HYPERLINK("http://service.sap.com/sap/support/notes/1746618","1746618")</f>
        <v>1746618</v>
      </c>
      <c r="E2434">
        <v>1</v>
      </c>
      <c r="F2434" t="s">
        <v>3742</v>
      </c>
    </row>
    <row r="2435" spans="1:6" x14ac:dyDescent="0.25">
      <c r="A2435" t="s">
        <v>4200</v>
      </c>
      <c r="B2435" t="s">
        <v>3738</v>
      </c>
      <c r="C2435" t="s">
        <v>3739</v>
      </c>
      <c r="D2435" t="str">
        <f>HYPERLINK("http://service.sap.com/sap/support/notes/1750700","1750700")</f>
        <v>1750700</v>
      </c>
      <c r="E2435">
        <v>1</v>
      </c>
      <c r="F2435" t="s">
        <v>3743</v>
      </c>
    </row>
    <row r="2436" spans="1:6" x14ac:dyDescent="0.25">
      <c r="A2436" t="s">
        <v>4200</v>
      </c>
      <c r="B2436" t="s">
        <v>3744</v>
      </c>
      <c r="C2436" t="s">
        <v>3745</v>
      </c>
      <c r="D2436" t="str">
        <f>HYPERLINK("http://service.sap.com/sap/support/notes/1753660","1753660")</f>
        <v>1753660</v>
      </c>
      <c r="E2436">
        <v>2</v>
      </c>
      <c r="F2436" t="s">
        <v>3746</v>
      </c>
    </row>
    <row r="2437" spans="1:6" x14ac:dyDescent="0.25">
      <c r="A2437" t="s">
        <v>4200</v>
      </c>
      <c r="B2437" t="s">
        <v>3747</v>
      </c>
    </row>
    <row r="2438" spans="1:6" x14ac:dyDescent="0.25">
      <c r="A2438" t="s">
        <v>4200</v>
      </c>
      <c r="B2438" t="s">
        <v>3748</v>
      </c>
      <c r="C2438" t="s">
        <v>3717</v>
      </c>
      <c r="D2438" t="str">
        <f>HYPERLINK("http://service.sap.com/sap/support/notes/1724660","1724660")</f>
        <v>1724660</v>
      </c>
      <c r="E2438">
        <v>3</v>
      </c>
      <c r="F2438" t="s">
        <v>3749</v>
      </c>
    </row>
    <row r="2439" spans="1:6" x14ac:dyDescent="0.25">
      <c r="A2439" t="s">
        <v>4200</v>
      </c>
      <c r="B2439" t="s">
        <v>3748</v>
      </c>
      <c r="C2439" t="s">
        <v>3717</v>
      </c>
      <c r="D2439" t="str">
        <f>HYPERLINK("http://service.sap.com/sap/support/notes/1731016","1731016")</f>
        <v>1731016</v>
      </c>
      <c r="E2439">
        <v>3</v>
      </c>
      <c r="F2439" t="s">
        <v>3750</v>
      </c>
    </row>
    <row r="2440" spans="1:6" x14ac:dyDescent="0.25">
      <c r="A2440" t="s">
        <v>4200</v>
      </c>
      <c r="B2440" t="s">
        <v>3751</v>
      </c>
      <c r="C2440" t="s">
        <v>218</v>
      </c>
      <c r="D2440" t="str">
        <f>HYPERLINK("http://service.sap.com/sap/support/notes/1717837","1717837")</f>
        <v>1717837</v>
      </c>
      <c r="E2440">
        <v>3</v>
      </c>
      <c r="F2440" t="s">
        <v>3752</v>
      </c>
    </row>
    <row r="2441" spans="1:6" x14ac:dyDescent="0.25">
      <c r="A2441" t="s">
        <v>4200</v>
      </c>
      <c r="B2441" t="s">
        <v>3751</v>
      </c>
      <c r="C2441" t="s">
        <v>218</v>
      </c>
      <c r="D2441" t="str">
        <f>HYPERLINK("http://service.sap.com/sap/support/notes/1724215","1724215")</f>
        <v>1724215</v>
      </c>
      <c r="E2441">
        <v>2</v>
      </c>
      <c r="F2441" t="s">
        <v>3753</v>
      </c>
    </row>
    <row r="2442" spans="1:6" x14ac:dyDescent="0.25">
      <c r="A2442" t="s">
        <v>4200</v>
      </c>
      <c r="B2442" t="s">
        <v>3751</v>
      </c>
      <c r="C2442" t="s">
        <v>218</v>
      </c>
      <c r="D2442" t="str">
        <f>HYPERLINK("http://service.sap.com/sap/support/notes/1725176","1725176")</f>
        <v>1725176</v>
      </c>
      <c r="E2442">
        <v>4</v>
      </c>
      <c r="F2442" t="s">
        <v>3754</v>
      </c>
    </row>
    <row r="2443" spans="1:6" x14ac:dyDescent="0.25">
      <c r="A2443" t="s">
        <v>4200</v>
      </c>
      <c r="B2443" t="s">
        <v>3751</v>
      </c>
      <c r="C2443" t="s">
        <v>218</v>
      </c>
      <c r="D2443" t="str">
        <f>HYPERLINK("http://service.sap.com/sap/support/notes/1737087","1737087")</f>
        <v>1737087</v>
      </c>
      <c r="E2443">
        <v>2</v>
      </c>
      <c r="F2443" t="s">
        <v>3755</v>
      </c>
    </row>
    <row r="2444" spans="1:6" x14ac:dyDescent="0.25">
      <c r="A2444" t="s">
        <v>4200</v>
      </c>
      <c r="B2444" t="s">
        <v>3751</v>
      </c>
      <c r="C2444" t="s">
        <v>218</v>
      </c>
      <c r="D2444" t="str">
        <f>HYPERLINK("http://service.sap.com/sap/support/notes/1737576","1737576")</f>
        <v>1737576</v>
      </c>
      <c r="E2444">
        <v>1</v>
      </c>
      <c r="F2444" t="s">
        <v>3756</v>
      </c>
    </row>
    <row r="2445" spans="1:6" x14ac:dyDescent="0.25">
      <c r="A2445" t="s">
        <v>4200</v>
      </c>
      <c r="B2445" t="s">
        <v>3751</v>
      </c>
      <c r="C2445" t="s">
        <v>218</v>
      </c>
      <c r="D2445" t="str">
        <f>HYPERLINK("http://service.sap.com/sap/support/notes/1738149","1738149")</f>
        <v>1738149</v>
      </c>
      <c r="E2445">
        <v>3</v>
      </c>
      <c r="F2445" t="s">
        <v>3757</v>
      </c>
    </row>
    <row r="2446" spans="1:6" x14ac:dyDescent="0.25">
      <c r="A2446" t="s">
        <v>4200</v>
      </c>
      <c r="B2446" t="s">
        <v>3751</v>
      </c>
      <c r="C2446" t="s">
        <v>218</v>
      </c>
      <c r="D2446" t="str">
        <f>HYPERLINK("http://service.sap.com/sap/support/notes/1740282","1740282")</f>
        <v>1740282</v>
      </c>
      <c r="E2446">
        <v>2</v>
      </c>
      <c r="F2446" t="s">
        <v>3758</v>
      </c>
    </row>
    <row r="2447" spans="1:6" x14ac:dyDescent="0.25">
      <c r="A2447" t="s">
        <v>4200</v>
      </c>
      <c r="B2447" t="s">
        <v>3751</v>
      </c>
      <c r="C2447" t="s">
        <v>218</v>
      </c>
      <c r="D2447" t="str">
        <f>HYPERLINK("http://service.sap.com/sap/support/notes/1746223","1746223")</f>
        <v>1746223</v>
      </c>
      <c r="E2447">
        <v>1</v>
      </c>
      <c r="F2447" t="s">
        <v>3759</v>
      </c>
    </row>
    <row r="2448" spans="1:6" x14ac:dyDescent="0.25">
      <c r="A2448" t="s">
        <v>4200</v>
      </c>
      <c r="B2448" t="s">
        <v>3751</v>
      </c>
      <c r="C2448" t="s">
        <v>218</v>
      </c>
      <c r="D2448" t="str">
        <f>HYPERLINK("http://service.sap.com/sap/support/notes/1747964","1747964")</f>
        <v>1747964</v>
      </c>
      <c r="E2448">
        <v>3</v>
      </c>
      <c r="F2448" t="s">
        <v>3760</v>
      </c>
    </row>
    <row r="2449" spans="1:6" x14ac:dyDescent="0.25">
      <c r="A2449" t="s">
        <v>4200</v>
      </c>
      <c r="B2449" t="s">
        <v>3751</v>
      </c>
      <c r="C2449" t="s">
        <v>218</v>
      </c>
      <c r="D2449" t="str">
        <f>HYPERLINK("http://service.sap.com/sap/support/notes/1750151","1750151")</f>
        <v>1750151</v>
      </c>
      <c r="E2449">
        <v>2</v>
      </c>
      <c r="F2449" t="s">
        <v>3761</v>
      </c>
    </row>
    <row r="2450" spans="1:6" x14ac:dyDescent="0.25">
      <c r="A2450" t="s">
        <v>4200</v>
      </c>
      <c r="B2450" t="s">
        <v>3751</v>
      </c>
      <c r="C2450" t="s">
        <v>218</v>
      </c>
      <c r="D2450" t="str">
        <f>HYPERLINK("http://service.sap.com/sap/support/notes/1755461","1755461")</f>
        <v>1755461</v>
      </c>
      <c r="E2450">
        <v>3</v>
      </c>
      <c r="F2450" t="s">
        <v>3762</v>
      </c>
    </row>
    <row r="2451" spans="1:6" x14ac:dyDescent="0.25">
      <c r="A2451" t="s">
        <v>4200</v>
      </c>
      <c r="B2451" t="s">
        <v>3751</v>
      </c>
      <c r="C2451" t="s">
        <v>218</v>
      </c>
      <c r="D2451" t="str">
        <f>HYPERLINK("http://service.sap.com/sap/support/notes/1758863","1758863")</f>
        <v>1758863</v>
      </c>
      <c r="E2451">
        <v>4</v>
      </c>
      <c r="F2451" t="s">
        <v>3763</v>
      </c>
    </row>
    <row r="2452" spans="1:6" x14ac:dyDescent="0.25">
      <c r="A2452" t="s">
        <v>4200</v>
      </c>
      <c r="B2452" t="s">
        <v>3764</v>
      </c>
      <c r="C2452" t="s">
        <v>3765</v>
      </c>
      <c r="D2452" t="str">
        <f>HYPERLINK("http://service.sap.com/sap/support/notes/1610354","1610354")</f>
        <v>1610354</v>
      </c>
      <c r="E2452">
        <v>1</v>
      </c>
      <c r="F2452" t="s">
        <v>3766</v>
      </c>
    </row>
    <row r="2453" spans="1:6" x14ac:dyDescent="0.25">
      <c r="A2453" t="s">
        <v>4200</v>
      </c>
      <c r="B2453" t="s">
        <v>3764</v>
      </c>
      <c r="C2453" t="s">
        <v>3765</v>
      </c>
      <c r="D2453" t="str">
        <f>HYPERLINK("http://service.sap.com/sap/support/notes/1704822","1704822")</f>
        <v>1704822</v>
      </c>
      <c r="E2453">
        <v>2</v>
      </c>
      <c r="F2453" t="s">
        <v>3767</v>
      </c>
    </row>
    <row r="2454" spans="1:6" x14ac:dyDescent="0.25">
      <c r="A2454" t="s">
        <v>4200</v>
      </c>
      <c r="B2454" t="s">
        <v>3764</v>
      </c>
      <c r="C2454" t="s">
        <v>3765</v>
      </c>
      <c r="D2454" t="str">
        <f>HYPERLINK("http://service.sap.com/sap/support/notes/1707411","1707411")</f>
        <v>1707411</v>
      </c>
      <c r="E2454">
        <v>1</v>
      </c>
      <c r="F2454" t="s">
        <v>3768</v>
      </c>
    </row>
    <row r="2455" spans="1:6" x14ac:dyDescent="0.25">
      <c r="A2455" t="s">
        <v>4200</v>
      </c>
      <c r="B2455" t="s">
        <v>3764</v>
      </c>
      <c r="C2455" t="s">
        <v>3765</v>
      </c>
      <c r="D2455" t="str">
        <f>HYPERLINK("http://service.sap.com/sap/support/notes/1722631","1722631")</f>
        <v>1722631</v>
      </c>
      <c r="E2455">
        <v>1</v>
      </c>
      <c r="F2455" t="s">
        <v>3769</v>
      </c>
    </row>
    <row r="2456" spans="1:6" x14ac:dyDescent="0.25">
      <c r="A2456" t="s">
        <v>4200</v>
      </c>
      <c r="B2456" t="s">
        <v>3764</v>
      </c>
      <c r="C2456" t="s">
        <v>3765</v>
      </c>
      <c r="D2456" t="str">
        <f>HYPERLINK("http://service.sap.com/sap/support/notes/1723346","1723346")</f>
        <v>1723346</v>
      </c>
      <c r="E2456">
        <v>2</v>
      </c>
      <c r="F2456" t="s">
        <v>3770</v>
      </c>
    </row>
    <row r="2457" spans="1:6" x14ac:dyDescent="0.25">
      <c r="A2457" t="s">
        <v>4200</v>
      </c>
      <c r="B2457" t="s">
        <v>3764</v>
      </c>
      <c r="C2457" t="s">
        <v>3765</v>
      </c>
      <c r="D2457" t="str">
        <f>HYPERLINK("http://service.sap.com/sap/support/notes/1723841","1723841")</f>
        <v>1723841</v>
      </c>
      <c r="E2457">
        <v>2</v>
      </c>
      <c r="F2457" t="s">
        <v>3771</v>
      </c>
    </row>
    <row r="2458" spans="1:6" x14ac:dyDescent="0.25">
      <c r="A2458" t="s">
        <v>4200</v>
      </c>
      <c r="B2458" t="s">
        <v>3764</v>
      </c>
      <c r="C2458" t="s">
        <v>3765</v>
      </c>
      <c r="D2458" t="str">
        <f>HYPERLINK("http://service.sap.com/sap/support/notes/1724234","1724234")</f>
        <v>1724234</v>
      </c>
      <c r="E2458">
        <v>1</v>
      </c>
      <c r="F2458" t="s">
        <v>3772</v>
      </c>
    </row>
    <row r="2459" spans="1:6" x14ac:dyDescent="0.25">
      <c r="A2459" t="s">
        <v>4200</v>
      </c>
      <c r="B2459" t="s">
        <v>3764</v>
      </c>
      <c r="C2459" t="s">
        <v>3765</v>
      </c>
      <c r="D2459" t="str">
        <f>HYPERLINK("http://service.sap.com/sap/support/notes/1724476","1724476")</f>
        <v>1724476</v>
      </c>
      <c r="E2459">
        <v>1</v>
      </c>
      <c r="F2459" t="s">
        <v>3773</v>
      </c>
    </row>
    <row r="2460" spans="1:6" x14ac:dyDescent="0.25">
      <c r="A2460" t="s">
        <v>4200</v>
      </c>
      <c r="B2460" t="s">
        <v>3764</v>
      </c>
      <c r="C2460" t="s">
        <v>3765</v>
      </c>
      <c r="D2460" t="str">
        <f>HYPERLINK("http://service.sap.com/sap/support/notes/1726904","1726904")</f>
        <v>1726904</v>
      </c>
      <c r="E2460">
        <v>2</v>
      </c>
      <c r="F2460" t="s">
        <v>3774</v>
      </c>
    </row>
    <row r="2461" spans="1:6" x14ac:dyDescent="0.25">
      <c r="A2461" t="s">
        <v>4200</v>
      </c>
      <c r="B2461" t="s">
        <v>3764</v>
      </c>
      <c r="C2461" t="s">
        <v>3765</v>
      </c>
      <c r="D2461" t="str">
        <f>HYPERLINK("http://service.sap.com/sap/support/notes/1731451","1731451")</f>
        <v>1731451</v>
      </c>
      <c r="E2461">
        <v>1</v>
      </c>
      <c r="F2461" t="s">
        <v>3775</v>
      </c>
    </row>
    <row r="2462" spans="1:6" x14ac:dyDescent="0.25">
      <c r="A2462" t="s">
        <v>4200</v>
      </c>
      <c r="B2462" t="s">
        <v>3764</v>
      </c>
      <c r="C2462" t="s">
        <v>3765</v>
      </c>
      <c r="D2462" t="str">
        <f>HYPERLINK("http://service.sap.com/sap/support/notes/1732638","1732638")</f>
        <v>1732638</v>
      </c>
      <c r="E2462">
        <v>1</v>
      </c>
      <c r="F2462" t="s">
        <v>3776</v>
      </c>
    </row>
    <row r="2463" spans="1:6" x14ac:dyDescent="0.25">
      <c r="A2463" t="s">
        <v>4200</v>
      </c>
      <c r="B2463" t="s">
        <v>3764</v>
      </c>
      <c r="C2463" t="s">
        <v>3765</v>
      </c>
      <c r="D2463" t="str">
        <f>HYPERLINK("http://service.sap.com/sap/support/notes/1733248","1733248")</f>
        <v>1733248</v>
      </c>
      <c r="E2463">
        <v>2</v>
      </c>
      <c r="F2463" t="s">
        <v>3777</v>
      </c>
    </row>
    <row r="2464" spans="1:6" x14ac:dyDescent="0.25">
      <c r="A2464" t="s">
        <v>4200</v>
      </c>
      <c r="B2464" t="s">
        <v>3764</v>
      </c>
      <c r="C2464" t="s">
        <v>3765</v>
      </c>
      <c r="D2464" t="str">
        <f>HYPERLINK("http://service.sap.com/sap/support/notes/1737011","1737011")</f>
        <v>1737011</v>
      </c>
      <c r="E2464">
        <v>1</v>
      </c>
      <c r="F2464" t="s">
        <v>3778</v>
      </c>
    </row>
    <row r="2465" spans="1:6" x14ac:dyDescent="0.25">
      <c r="A2465" t="s">
        <v>4200</v>
      </c>
      <c r="B2465" t="s">
        <v>3764</v>
      </c>
      <c r="C2465" t="s">
        <v>3765</v>
      </c>
      <c r="D2465" t="str">
        <f>HYPERLINK("http://service.sap.com/sap/support/notes/1737641","1737641")</f>
        <v>1737641</v>
      </c>
      <c r="E2465">
        <v>2</v>
      </c>
      <c r="F2465" t="s">
        <v>3779</v>
      </c>
    </row>
    <row r="2466" spans="1:6" x14ac:dyDescent="0.25">
      <c r="A2466" t="s">
        <v>4200</v>
      </c>
      <c r="B2466" t="s">
        <v>3764</v>
      </c>
      <c r="C2466" t="s">
        <v>3765</v>
      </c>
      <c r="D2466" t="str">
        <f>HYPERLINK("http://service.sap.com/sap/support/notes/1738271","1738271")</f>
        <v>1738271</v>
      </c>
      <c r="E2466">
        <v>1</v>
      </c>
      <c r="F2466" t="s">
        <v>3780</v>
      </c>
    </row>
    <row r="2467" spans="1:6" x14ac:dyDescent="0.25">
      <c r="A2467" t="s">
        <v>4200</v>
      </c>
      <c r="B2467" t="s">
        <v>3764</v>
      </c>
      <c r="C2467" t="s">
        <v>3765</v>
      </c>
      <c r="D2467" t="str">
        <f>HYPERLINK("http://service.sap.com/sap/support/notes/1740963","1740963")</f>
        <v>1740963</v>
      </c>
      <c r="E2467">
        <v>1</v>
      </c>
      <c r="F2467" t="s">
        <v>3781</v>
      </c>
    </row>
    <row r="2468" spans="1:6" x14ac:dyDescent="0.25">
      <c r="A2468" t="s">
        <v>4200</v>
      </c>
      <c r="B2468" t="s">
        <v>3764</v>
      </c>
      <c r="C2468" t="s">
        <v>3765</v>
      </c>
      <c r="D2468" t="str">
        <f>HYPERLINK("http://service.sap.com/sap/support/notes/1743242","1743242")</f>
        <v>1743242</v>
      </c>
      <c r="E2468">
        <v>1</v>
      </c>
      <c r="F2468" t="s">
        <v>3782</v>
      </c>
    </row>
    <row r="2469" spans="1:6" x14ac:dyDescent="0.25">
      <c r="A2469" t="s">
        <v>4200</v>
      </c>
      <c r="B2469" t="s">
        <v>3764</v>
      </c>
      <c r="C2469" t="s">
        <v>3765</v>
      </c>
      <c r="D2469" t="str">
        <f>HYPERLINK("http://service.sap.com/sap/support/notes/1746113","1746113")</f>
        <v>1746113</v>
      </c>
      <c r="E2469">
        <v>1</v>
      </c>
      <c r="F2469" t="s">
        <v>3783</v>
      </c>
    </row>
    <row r="2470" spans="1:6" x14ac:dyDescent="0.25">
      <c r="A2470" t="s">
        <v>4200</v>
      </c>
      <c r="B2470" t="s">
        <v>3764</v>
      </c>
      <c r="C2470" t="s">
        <v>3765</v>
      </c>
      <c r="D2470" t="str">
        <f>HYPERLINK("http://service.sap.com/sap/support/notes/1747221","1747221")</f>
        <v>1747221</v>
      </c>
      <c r="E2470">
        <v>1</v>
      </c>
      <c r="F2470" t="s">
        <v>3784</v>
      </c>
    </row>
    <row r="2471" spans="1:6" x14ac:dyDescent="0.25">
      <c r="A2471" t="s">
        <v>4200</v>
      </c>
      <c r="B2471" t="s">
        <v>3764</v>
      </c>
      <c r="C2471" t="s">
        <v>3765</v>
      </c>
      <c r="D2471" t="str">
        <f>HYPERLINK("http://service.sap.com/sap/support/notes/1748411","1748411")</f>
        <v>1748411</v>
      </c>
      <c r="E2471">
        <v>3</v>
      </c>
      <c r="F2471" t="s">
        <v>3785</v>
      </c>
    </row>
    <row r="2472" spans="1:6" x14ac:dyDescent="0.25">
      <c r="A2472" t="s">
        <v>4200</v>
      </c>
      <c r="B2472" t="s">
        <v>3764</v>
      </c>
      <c r="C2472" t="s">
        <v>3765</v>
      </c>
      <c r="D2472" t="str">
        <f>HYPERLINK("http://service.sap.com/sap/support/notes/1750304","1750304")</f>
        <v>1750304</v>
      </c>
      <c r="E2472">
        <v>2</v>
      </c>
      <c r="F2472" t="s">
        <v>3786</v>
      </c>
    </row>
    <row r="2473" spans="1:6" x14ac:dyDescent="0.25">
      <c r="A2473" t="s">
        <v>4200</v>
      </c>
      <c r="B2473" t="s">
        <v>3764</v>
      </c>
      <c r="C2473" t="s">
        <v>3765</v>
      </c>
      <c r="D2473" t="str">
        <f>HYPERLINK("http://service.sap.com/sap/support/notes/1755467","1755467")</f>
        <v>1755467</v>
      </c>
      <c r="E2473">
        <v>2</v>
      </c>
      <c r="F2473" t="s">
        <v>3787</v>
      </c>
    </row>
    <row r="2474" spans="1:6" x14ac:dyDescent="0.25">
      <c r="A2474" t="s">
        <v>4200</v>
      </c>
      <c r="B2474" t="s">
        <v>3764</v>
      </c>
      <c r="C2474" t="s">
        <v>3765</v>
      </c>
      <c r="D2474" t="str">
        <f>HYPERLINK("http://service.sap.com/sap/support/notes/1756060","1756060")</f>
        <v>1756060</v>
      </c>
      <c r="E2474">
        <v>3</v>
      </c>
      <c r="F2474" t="s">
        <v>3788</v>
      </c>
    </row>
    <row r="2475" spans="1:6" x14ac:dyDescent="0.25">
      <c r="A2475" t="s">
        <v>4200</v>
      </c>
      <c r="B2475" t="s">
        <v>3764</v>
      </c>
      <c r="C2475" t="s">
        <v>3765</v>
      </c>
      <c r="D2475" t="str">
        <f>HYPERLINK("http://service.sap.com/sap/support/notes/1756459","1756459")</f>
        <v>1756459</v>
      </c>
      <c r="E2475">
        <v>2</v>
      </c>
      <c r="F2475" t="s">
        <v>3789</v>
      </c>
    </row>
    <row r="2476" spans="1:6" x14ac:dyDescent="0.25">
      <c r="A2476" t="s">
        <v>4200</v>
      </c>
      <c r="B2476" t="s">
        <v>3764</v>
      </c>
      <c r="C2476" t="s">
        <v>3765</v>
      </c>
      <c r="D2476" t="str">
        <f>HYPERLINK("http://service.sap.com/sap/support/notes/1757734","1757734")</f>
        <v>1757734</v>
      </c>
      <c r="E2476">
        <v>2</v>
      </c>
      <c r="F2476" t="s">
        <v>3790</v>
      </c>
    </row>
    <row r="2477" spans="1:6" x14ac:dyDescent="0.25">
      <c r="A2477" t="s">
        <v>4200</v>
      </c>
      <c r="B2477" t="s">
        <v>3764</v>
      </c>
      <c r="C2477" t="s">
        <v>3765</v>
      </c>
      <c r="D2477" t="str">
        <f>HYPERLINK("http://service.sap.com/sap/support/notes/1757995","1757995")</f>
        <v>1757995</v>
      </c>
      <c r="E2477">
        <v>2</v>
      </c>
      <c r="F2477" t="s">
        <v>3791</v>
      </c>
    </row>
    <row r="2478" spans="1:6" x14ac:dyDescent="0.25">
      <c r="A2478" t="s">
        <v>4200</v>
      </c>
      <c r="B2478" t="s">
        <v>3764</v>
      </c>
      <c r="C2478" t="s">
        <v>3765</v>
      </c>
      <c r="D2478" t="str">
        <f>HYPERLINK("http://service.sap.com/sap/support/notes/1758442","1758442")</f>
        <v>1758442</v>
      </c>
      <c r="E2478">
        <v>3</v>
      </c>
      <c r="F2478" t="s">
        <v>3792</v>
      </c>
    </row>
    <row r="2479" spans="1:6" x14ac:dyDescent="0.25">
      <c r="A2479" t="s">
        <v>4200</v>
      </c>
      <c r="B2479" t="s">
        <v>3764</v>
      </c>
      <c r="C2479" t="s">
        <v>3765</v>
      </c>
      <c r="D2479" t="str">
        <f>HYPERLINK("http://service.sap.com/sap/support/notes/1761607","1761607")</f>
        <v>1761607</v>
      </c>
      <c r="E2479">
        <v>3</v>
      </c>
      <c r="F2479" t="s">
        <v>3793</v>
      </c>
    </row>
    <row r="2480" spans="1:6" x14ac:dyDescent="0.25">
      <c r="A2480" t="s">
        <v>4200</v>
      </c>
      <c r="B2480" t="s">
        <v>3764</v>
      </c>
      <c r="C2480" t="s">
        <v>3765</v>
      </c>
      <c r="D2480" t="str">
        <f>HYPERLINK("http://service.sap.com/sap/support/notes/1762635","1762635")</f>
        <v>1762635</v>
      </c>
      <c r="E2480">
        <v>2</v>
      </c>
      <c r="F2480" t="s">
        <v>3794</v>
      </c>
    </row>
    <row r="2481" spans="1:6" x14ac:dyDescent="0.25">
      <c r="A2481" t="s">
        <v>4200</v>
      </c>
      <c r="B2481" t="s">
        <v>3764</v>
      </c>
      <c r="C2481" t="s">
        <v>3765</v>
      </c>
      <c r="D2481" t="str">
        <f>HYPERLINK("http://service.sap.com/sap/support/notes/1766086","1766086")</f>
        <v>1766086</v>
      </c>
      <c r="E2481">
        <v>1</v>
      </c>
      <c r="F2481" t="s">
        <v>3795</v>
      </c>
    </row>
    <row r="2482" spans="1:6" x14ac:dyDescent="0.25">
      <c r="A2482" t="s">
        <v>4200</v>
      </c>
      <c r="B2482" t="s">
        <v>3764</v>
      </c>
      <c r="C2482" t="s">
        <v>3765</v>
      </c>
      <c r="D2482" t="str">
        <f>HYPERLINK("http://service.sap.com/sap/support/notes/1766262","1766262")</f>
        <v>1766262</v>
      </c>
      <c r="E2482">
        <v>1</v>
      </c>
      <c r="F2482" t="s">
        <v>3796</v>
      </c>
    </row>
    <row r="2483" spans="1:6" x14ac:dyDescent="0.25">
      <c r="A2483" t="s">
        <v>4200</v>
      </c>
      <c r="B2483" t="s">
        <v>3797</v>
      </c>
      <c r="C2483" t="s">
        <v>3798</v>
      </c>
      <c r="D2483" t="str">
        <f>HYPERLINK("http://service.sap.com/sap/support/notes/1723964","1723964")</f>
        <v>1723964</v>
      </c>
      <c r="E2483">
        <v>1</v>
      </c>
      <c r="F2483" t="s">
        <v>3799</v>
      </c>
    </row>
    <row r="2484" spans="1:6" x14ac:dyDescent="0.25">
      <c r="A2484" t="s">
        <v>4200</v>
      </c>
      <c r="B2484" t="s">
        <v>3797</v>
      </c>
      <c r="C2484" t="s">
        <v>3798</v>
      </c>
      <c r="D2484" t="str">
        <f>HYPERLINK("http://service.sap.com/sap/support/notes/1724886","1724886")</f>
        <v>1724886</v>
      </c>
      <c r="E2484">
        <v>1</v>
      </c>
      <c r="F2484" t="s">
        <v>3800</v>
      </c>
    </row>
    <row r="2485" spans="1:6" x14ac:dyDescent="0.25">
      <c r="A2485" t="s">
        <v>4200</v>
      </c>
      <c r="B2485" t="s">
        <v>3797</v>
      </c>
      <c r="C2485" t="s">
        <v>3798</v>
      </c>
      <c r="D2485" t="str">
        <f>HYPERLINK("http://service.sap.com/sap/support/notes/1728594","1728594")</f>
        <v>1728594</v>
      </c>
      <c r="E2485">
        <v>1</v>
      </c>
      <c r="F2485" t="s">
        <v>3801</v>
      </c>
    </row>
    <row r="2486" spans="1:6" x14ac:dyDescent="0.25">
      <c r="A2486" t="s">
        <v>4200</v>
      </c>
      <c r="B2486" t="s">
        <v>3797</v>
      </c>
      <c r="C2486" t="s">
        <v>3798</v>
      </c>
      <c r="D2486" t="str">
        <f>HYPERLINK("http://service.sap.com/sap/support/notes/1730305","1730305")</f>
        <v>1730305</v>
      </c>
      <c r="E2486">
        <v>2</v>
      </c>
      <c r="F2486" t="s">
        <v>3802</v>
      </c>
    </row>
    <row r="2487" spans="1:6" x14ac:dyDescent="0.25">
      <c r="A2487" t="s">
        <v>4200</v>
      </c>
      <c r="B2487" t="s">
        <v>3797</v>
      </c>
      <c r="C2487" t="s">
        <v>3798</v>
      </c>
      <c r="D2487" t="str">
        <f>HYPERLINK("http://service.sap.com/sap/support/notes/1732696","1732696")</f>
        <v>1732696</v>
      </c>
      <c r="E2487">
        <v>2</v>
      </c>
      <c r="F2487" t="s">
        <v>3803</v>
      </c>
    </row>
    <row r="2488" spans="1:6" x14ac:dyDescent="0.25">
      <c r="A2488" t="s">
        <v>4200</v>
      </c>
      <c r="B2488" t="s">
        <v>3797</v>
      </c>
      <c r="C2488" t="s">
        <v>3798</v>
      </c>
      <c r="D2488" t="str">
        <f>HYPERLINK("http://service.sap.com/sap/support/notes/1734159","1734159")</f>
        <v>1734159</v>
      </c>
      <c r="E2488">
        <v>1</v>
      </c>
      <c r="F2488" t="s">
        <v>3804</v>
      </c>
    </row>
    <row r="2489" spans="1:6" x14ac:dyDescent="0.25">
      <c r="A2489" t="s">
        <v>4200</v>
      </c>
      <c r="B2489" t="s">
        <v>3797</v>
      </c>
      <c r="C2489" t="s">
        <v>3798</v>
      </c>
      <c r="D2489" t="str">
        <f>HYPERLINK("http://service.sap.com/sap/support/notes/1736849","1736849")</f>
        <v>1736849</v>
      </c>
      <c r="E2489">
        <v>2</v>
      </c>
      <c r="F2489" t="s">
        <v>3805</v>
      </c>
    </row>
    <row r="2490" spans="1:6" x14ac:dyDescent="0.25">
      <c r="A2490" t="s">
        <v>4200</v>
      </c>
      <c r="B2490" t="s">
        <v>3797</v>
      </c>
      <c r="C2490" t="s">
        <v>3798</v>
      </c>
      <c r="D2490" t="str">
        <f>HYPERLINK("http://service.sap.com/sap/support/notes/1737924","1737924")</f>
        <v>1737924</v>
      </c>
      <c r="E2490">
        <v>2</v>
      </c>
      <c r="F2490" t="s">
        <v>3806</v>
      </c>
    </row>
    <row r="2491" spans="1:6" x14ac:dyDescent="0.25">
      <c r="A2491" t="s">
        <v>4200</v>
      </c>
      <c r="B2491" t="s">
        <v>3797</v>
      </c>
      <c r="C2491" t="s">
        <v>3798</v>
      </c>
      <c r="D2491" t="str">
        <f>HYPERLINK("http://service.sap.com/sap/support/notes/1740117","1740117")</f>
        <v>1740117</v>
      </c>
      <c r="E2491">
        <v>1</v>
      </c>
      <c r="F2491" t="s">
        <v>3802</v>
      </c>
    </row>
    <row r="2492" spans="1:6" x14ac:dyDescent="0.25">
      <c r="A2492" t="s">
        <v>4200</v>
      </c>
      <c r="B2492" t="s">
        <v>3797</v>
      </c>
      <c r="C2492" t="s">
        <v>3798</v>
      </c>
      <c r="D2492" t="str">
        <f>HYPERLINK("http://service.sap.com/sap/support/notes/1741894","1741894")</f>
        <v>1741894</v>
      </c>
      <c r="E2492">
        <v>3</v>
      </c>
      <c r="F2492" t="s">
        <v>3807</v>
      </c>
    </row>
    <row r="2493" spans="1:6" x14ac:dyDescent="0.25">
      <c r="A2493" t="s">
        <v>4200</v>
      </c>
      <c r="B2493" t="s">
        <v>3797</v>
      </c>
      <c r="C2493" t="s">
        <v>3798</v>
      </c>
      <c r="D2493" t="str">
        <f>HYPERLINK("http://service.sap.com/sap/support/notes/1742578","1742578")</f>
        <v>1742578</v>
      </c>
      <c r="E2493">
        <v>2</v>
      </c>
      <c r="F2493" t="s">
        <v>3808</v>
      </c>
    </row>
    <row r="2494" spans="1:6" x14ac:dyDescent="0.25">
      <c r="A2494" t="s">
        <v>4200</v>
      </c>
      <c r="B2494" t="s">
        <v>3797</v>
      </c>
      <c r="C2494" t="s">
        <v>3798</v>
      </c>
      <c r="D2494" t="str">
        <f>HYPERLINK("http://service.sap.com/sap/support/notes/1743096","1743096")</f>
        <v>1743096</v>
      </c>
      <c r="E2494">
        <v>2</v>
      </c>
      <c r="F2494" t="s">
        <v>3809</v>
      </c>
    </row>
    <row r="2495" spans="1:6" x14ac:dyDescent="0.25">
      <c r="A2495" t="s">
        <v>4200</v>
      </c>
      <c r="B2495" t="s">
        <v>3797</v>
      </c>
      <c r="C2495" t="s">
        <v>3798</v>
      </c>
      <c r="D2495" t="str">
        <f>HYPERLINK("http://service.sap.com/sap/support/notes/1743266","1743266")</f>
        <v>1743266</v>
      </c>
      <c r="E2495">
        <v>4</v>
      </c>
      <c r="F2495" t="s">
        <v>3810</v>
      </c>
    </row>
    <row r="2496" spans="1:6" x14ac:dyDescent="0.25">
      <c r="A2496" t="s">
        <v>4200</v>
      </c>
      <c r="B2496" t="s">
        <v>3797</v>
      </c>
      <c r="C2496" t="s">
        <v>3798</v>
      </c>
      <c r="D2496" t="str">
        <f>HYPERLINK("http://service.sap.com/sap/support/notes/1743464","1743464")</f>
        <v>1743464</v>
      </c>
      <c r="E2496">
        <v>1</v>
      </c>
      <c r="F2496" t="s">
        <v>3811</v>
      </c>
    </row>
    <row r="2497" spans="1:6" x14ac:dyDescent="0.25">
      <c r="A2497" t="s">
        <v>4200</v>
      </c>
      <c r="B2497" t="s">
        <v>3797</v>
      </c>
      <c r="C2497" t="s">
        <v>3798</v>
      </c>
      <c r="D2497" t="str">
        <f>HYPERLINK("http://service.sap.com/sap/support/notes/1746690","1746690")</f>
        <v>1746690</v>
      </c>
      <c r="E2497">
        <v>1</v>
      </c>
      <c r="F2497" t="s">
        <v>3812</v>
      </c>
    </row>
    <row r="2498" spans="1:6" x14ac:dyDescent="0.25">
      <c r="A2498" t="s">
        <v>4200</v>
      </c>
      <c r="B2498" t="s">
        <v>3797</v>
      </c>
      <c r="C2498" t="s">
        <v>3798</v>
      </c>
      <c r="D2498" t="str">
        <f>HYPERLINK("http://service.sap.com/sap/support/notes/1748178","1748178")</f>
        <v>1748178</v>
      </c>
      <c r="E2498">
        <v>1</v>
      </c>
      <c r="F2498" t="s">
        <v>3813</v>
      </c>
    </row>
    <row r="2499" spans="1:6" x14ac:dyDescent="0.25">
      <c r="A2499" t="s">
        <v>4200</v>
      </c>
      <c r="B2499" t="s">
        <v>3797</v>
      </c>
      <c r="C2499" t="s">
        <v>3798</v>
      </c>
      <c r="D2499" t="str">
        <f>HYPERLINK("http://service.sap.com/sap/support/notes/1751101","1751101")</f>
        <v>1751101</v>
      </c>
      <c r="E2499">
        <v>1</v>
      </c>
      <c r="F2499" t="s">
        <v>3814</v>
      </c>
    </row>
    <row r="2500" spans="1:6" x14ac:dyDescent="0.25">
      <c r="A2500" t="s">
        <v>4200</v>
      </c>
      <c r="B2500" t="s">
        <v>3797</v>
      </c>
      <c r="C2500" t="s">
        <v>3798</v>
      </c>
      <c r="D2500" t="str">
        <f>HYPERLINK("http://service.sap.com/sap/support/notes/1751747","1751747")</f>
        <v>1751747</v>
      </c>
      <c r="E2500">
        <v>2</v>
      </c>
      <c r="F2500" t="s">
        <v>3815</v>
      </c>
    </row>
    <row r="2501" spans="1:6" x14ac:dyDescent="0.25">
      <c r="A2501" t="s">
        <v>4200</v>
      </c>
      <c r="B2501" t="s">
        <v>3797</v>
      </c>
      <c r="C2501" t="s">
        <v>3798</v>
      </c>
      <c r="D2501" t="str">
        <f>HYPERLINK("http://service.sap.com/sap/support/notes/1757500","1757500")</f>
        <v>1757500</v>
      </c>
      <c r="E2501">
        <v>3</v>
      </c>
      <c r="F2501" t="s">
        <v>3816</v>
      </c>
    </row>
    <row r="2502" spans="1:6" x14ac:dyDescent="0.25">
      <c r="A2502" t="s">
        <v>4200</v>
      </c>
      <c r="B2502" t="s">
        <v>3817</v>
      </c>
      <c r="C2502" t="s">
        <v>2477</v>
      </c>
      <c r="D2502" t="str">
        <f>HYPERLINK("http://service.sap.com/sap/support/notes/1634700","1634700")</f>
        <v>1634700</v>
      </c>
      <c r="E2502">
        <v>6</v>
      </c>
      <c r="F2502" t="s">
        <v>3818</v>
      </c>
    </row>
    <row r="2503" spans="1:6" x14ac:dyDescent="0.25">
      <c r="A2503" t="s">
        <v>4200</v>
      </c>
      <c r="B2503" t="s">
        <v>3817</v>
      </c>
      <c r="C2503" t="s">
        <v>2477</v>
      </c>
      <c r="D2503" t="str">
        <f>HYPERLINK("http://service.sap.com/sap/support/notes/1674867","1674867")</f>
        <v>1674867</v>
      </c>
      <c r="E2503">
        <v>4</v>
      </c>
      <c r="F2503" t="s">
        <v>3819</v>
      </c>
    </row>
    <row r="2504" spans="1:6" x14ac:dyDescent="0.25">
      <c r="A2504" t="s">
        <v>4200</v>
      </c>
      <c r="B2504" t="s">
        <v>3817</v>
      </c>
      <c r="C2504" t="s">
        <v>2477</v>
      </c>
      <c r="D2504" t="str">
        <f>HYPERLINK("http://service.sap.com/sap/support/notes/1685061","1685061")</f>
        <v>1685061</v>
      </c>
      <c r="E2504">
        <v>3</v>
      </c>
      <c r="F2504" t="s">
        <v>3820</v>
      </c>
    </row>
    <row r="2505" spans="1:6" x14ac:dyDescent="0.25">
      <c r="A2505" t="s">
        <v>4200</v>
      </c>
      <c r="B2505" t="s">
        <v>3817</v>
      </c>
      <c r="C2505" t="s">
        <v>2477</v>
      </c>
      <c r="D2505" t="str">
        <f>HYPERLINK("http://service.sap.com/sap/support/notes/1724211","1724211")</f>
        <v>1724211</v>
      </c>
      <c r="E2505">
        <v>4</v>
      </c>
      <c r="F2505" t="s">
        <v>3821</v>
      </c>
    </row>
    <row r="2506" spans="1:6" x14ac:dyDescent="0.25">
      <c r="A2506" t="s">
        <v>4200</v>
      </c>
      <c r="B2506" t="s">
        <v>3817</v>
      </c>
      <c r="C2506" t="s">
        <v>2477</v>
      </c>
      <c r="D2506" t="str">
        <f>HYPERLINK("http://service.sap.com/sap/support/notes/1725062","1725062")</f>
        <v>1725062</v>
      </c>
      <c r="E2506">
        <v>2</v>
      </c>
      <c r="F2506" t="s">
        <v>3822</v>
      </c>
    </row>
    <row r="2507" spans="1:6" x14ac:dyDescent="0.25">
      <c r="A2507" t="s">
        <v>4200</v>
      </c>
      <c r="B2507" t="s">
        <v>3817</v>
      </c>
      <c r="C2507" t="s">
        <v>2477</v>
      </c>
      <c r="D2507" t="str">
        <f>HYPERLINK("http://service.sap.com/sap/support/notes/1725547","1725547")</f>
        <v>1725547</v>
      </c>
      <c r="E2507">
        <v>4</v>
      </c>
      <c r="F2507" t="s">
        <v>3823</v>
      </c>
    </row>
    <row r="2508" spans="1:6" x14ac:dyDescent="0.25">
      <c r="A2508" t="s">
        <v>4200</v>
      </c>
      <c r="B2508" t="s">
        <v>3817</v>
      </c>
      <c r="C2508" t="s">
        <v>2477</v>
      </c>
      <c r="D2508" t="str">
        <f>HYPERLINK("http://service.sap.com/sap/support/notes/1726347","1726347")</f>
        <v>1726347</v>
      </c>
      <c r="E2508">
        <v>3</v>
      </c>
      <c r="F2508" t="s">
        <v>3824</v>
      </c>
    </row>
    <row r="2509" spans="1:6" x14ac:dyDescent="0.25">
      <c r="A2509" t="s">
        <v>4200</v>
      </c>
      <c r="B2509" t="s">
        <v>3817</v>
      </c>
      <c r="C2509" t="s">
        <v>2477</v>
      </c>
      <c r="D2509" t="str">
        <f>HYPERLINK("http://service.sap.com/sap/support/notes/1726892","1726892")</f>
        <v>1726892</v>
      </c>
      <c r="E2509">
        <v>2</v>
      </c>
      <c r="F2509" t="s">
        <v>3825</v>
      </c>
    </row>
    <row r="2510" spans="1:6" x14ac:dyDescent="0.25">
      <c r="A2510" t="s">
        <v>4200</v>
      </c>
      <c r="B2510" t="s">
        <v>3817</v>
      </c>
      <c r="C2510" t="s">
        <v>2477</v>
      </c>
      <c r="D2510" t="str">
        <f>HYPERLINK("http://service.sap.com/sap/support/notes/1728530","1728530")</f>
        <v>1728530</v>
      </c>
      <c r="E2510">
        <v>2</v>
      </c>
      <c r="F2510" t="s">
        <v>3826</v>
      </c>
    </row>
    <row r="2511" spans="1:6" x14ac:dyDescent="0.25">
      <c r="A2511" t="s">
        <v>4200</v>
      </c>
      <c r="B2511" t="s">
        <v>3817</v>
      </c>
      <c r="C2511" t="s">
        <v>2477</v>
      </c>
      <c r="D2511" t="str">
        <f>HYPERLINK("http://service.sap.com/sap/support/notes/1731643","1731643")</f>
        <v>1731643</v>
      </c>
      <c r="E2511">
        <v>1</v>
      </c>
      <c r="F2511" t="s">
        <v>3827</v>
      </c>
    </row>
    <row r="2512" spans="1:6" x14ac:dyDescent="0.25">
      <c r="A2512" t="s">
        <v>4200</v>
      </c>
      <c r="B2512" t="s">
        <v>3817</v>
      </c>
      <c r="C2512" t="s">
        <v>2477</v>
      </c>
      <c r="D2512" t="str">
        <f>HYPERLINK("http://service.sap.com/sap/support/notes/1732024","1732024")</f>
        <v>1732024</v>
      </c>
      <c r="E2512">
        <v>1</v>
      </c>
      <c r="F2512" t="s">
        <v>3828</v>
      </c>
    </row>
    <row r="2513" spans="1:6" x14ac:dyDescent="0.25">
      <c r="A2513" t="s">
        <v>4200</v>
      </c>
      <c r="B2513" t="s">
        <v>3817</v>
      </c>
      <c r="C2513" t="s">
        <v>2477</v>
      </c>
      <c r="D2513" t="str">
        <f>HYPERLINK("http://service.sap.com/sap/support/notes/1732138","1732138")</f>
        <v>1732138</v>
      </c>
      <c r="E2513">
        <v>1</v>
      </c>
      <c r="F2513" t="s">
        <v>3829</v>
      </c>
    </row>
    <row r="2514" spans="1:6" x14ac:dyDescent="0.25">
      <c r="A2514" t="s">
        <v>4200</v>
      </c>
      <c r="B2514" t="s">
        <v>3817</v>
      </c>
      <c r="C2514" t="s">
        <v>2477</v>
      </c>
      <c r="D2514" t="str">
        <f>HYPERLINK("http://service.sap.com/sap/support/notes/1733312","1733312")</f>
        <v>1733312</v>
      </c>
      <c r="E2514">
        <v>2</v>
      </c>
      <c r="F2514" t="s">
        <v>3830</v>
      </c>
    </row>
    <row r="2515" spans="1:6" x14ac:dyDescent="0.25">
      <c r="A2515" t="s">
        <v>4200</v>
      </c>
      <c r="B2515" t="s">
        <v>3817</v>
      </c>
      <c r="C2515" t="s">
        <v>2477</v>
      </c>
      <c r="D2515" t="str">
        <f>HYPERLINK("http://service.sap.com/sap/support/notes/1733366","1733366")</f>
        <v>1733366</v>
      </c>
      <c r="E2515">
        <v>1</v>
      </c>
      <c r="F2515" t="s">
        <v>3831</v>
      </c>
    </row>
    <row r="2516" spans="1:6" x14ac:dyDescent="0.25">
      <c r="A2516" t="s">
        <v>4200</v>
      </c>
      <c r="B2516" t="s">
        <v>3817</v>
      </c>
      <c r="C2516" t="s">
        <v>2477</v>
      </c>
      <c r="D2516" t="str">
        <f>HYPERLINK("http://service.sap.com/sap/support/notes/1734242","1734242")</f>
        <v>1734242</v>
      </c>
      <c r="E2516">
        <v>1</v>
      </c>
      <c r="F2516" t="s">
        <v>3832</v>
      </c>
    </row>
    <row r="2517" spans="1:6" x14ac:dyDescent="0.25">
      <c r="A2517" t="s">
        <v>4200</v>
      </c>
      <c r="B2517" t="s">
        <v>3817</v>
      </c>
      <c r="C2517" t="s">
        <v>2477</v>
      </c>
      <c r="D2517" t="str">
        <f>HYPERLINK("http://service.sap.com/sap/support/notes/1736142","1736142")</f>
        <v>1736142</v>
      </c>
      <c r="E2517">
        <v>7</v>
      </c>
      <c r="F2517" t="s">
        <v>3833</v>
      </c>
    </row>
    <row r="2518" spans="1:6" x14ac:dyDescent="0.25">
      <c r="A2518" t="s">
        <v>4200</v>
      </c>
      <c r="B2518" t="s">
        <v>3817</v>
      </c>
      <c r="C2518" t="s">
        <v>2477</v>
      </c>
      <c r="D2518" t="str">
        <f>HYPERLINK("http://service.sap.com/sap/support/notes/1738036","1738036")</f>
        <v>1738036</v>
      </c>
      <c r="E2518">
        <v>1</v>
      </c>
      <c r="F2518" t="s">
        <v>3834</v>
      </c>
    </row>
    <row r="2519" spans="1:6" x14ac:dyDescent="0.25">
      <c r="A2519" t="s">
        <v>4200</v>
      </c>
      <c r="B2519" t="s">
        <v>3817</v>
      </c>
      <c r="C2519" t="s">
        <v>2477</v>
      </c>
      <c r="D2519" t="str">
        <f>HYPERLINK("http://service.sap.com/sap/support/notes/1739849","1739849")</f>
        <v>1739849</v>
      </c>
      <c r="E2519">
        <v>1</v>
      </c>
      <c r="F2519" t="s">
        <v>3835</v>
      </c>
    </row>
    <row r="2520" spans="1:6" x14ac:dyDescent="0.25">
      <c r="A2520" t="s">
        <v>4200</v>
      </c>
      <c r="B2520" t="s">
        <v>3817</v>
      </c>
      <c r="C2520" t="s">
        <v>2477</v>
      </c>
      <c r="D2520" t="str">
        <f>HYPERLINK("http://service.sap.com/sap/support/notes/1742005","1742005")</f>
        <v>1742005</v>
      </c>
      <c r="E2520">
        <v>2</v>
      </c>
      <c r="F2520" t="s">
        <v>3836</v>
      </c>
    </row>
    <row r="2521" spans="1:6" x14ac:dyDescent="0.25">
      <c r="A2521" t="s">
        <v>4200</v>
      </c>
      <c r="B2521" t="s">
        <v>3817</v>
      </c>
      <c r="C2521" t="s">
        <v>2477</v>
      </c>
      <c r="D2521" t="str">
        <f>HYPERLINK("http://service.sap.com/sap/support/notes/1748973","1748973")</f>
        <v>1748973</v>
      </c>
      <c r="E2521">
        <v>2</v>
      </c>
      <c r="F2521" t="s">
        <v>3837</v>
      </c>
    </row>
    <row r="2522" spans="1:6" x14ac:dyDescent="0.25">
      <c r="A2522" t="s">
        <v>4200</v>
      </c>
      <c r="B2522" t="s">
        <v>3817</v>
      </c>
      <c r="C2522" t="s">
        <v>2477</v>
      </c>
      <c r="D2522" t="str">
        <f>HYPERLINK("http://service.sap.com/sap/support/notes/1749003","1749003")</f>
        <v>1749003</v>
      </c>
      <c r="E2522">
        <v>2</v>
      </c>
      <c r="F2522" t="s">
        <v>3838</v>
      </c>
    </row>
    <row r="2523" spans="1:6" x14ac:dyDescent="0.25">
      <c r="A2523" t="s">
        <v>4200</v>
      </c>
      <c r="B2523" t="s">
        <v>3817</v>
      </c>
      <c r="C2523" t="s">
        <v>2477</v>
      </c>
      <c r="D2523" t="str">
        <f>HYPERLINK("http://service.sap.com/sap/support/notes/1749054","1749054")</f>
        <v>1749054</v>
      </c>
      <c r="E2523">
        <v>3</v>
      </c>
      <c r="F2523" t="s">
        <v>3839</v>
      </c>
    </row>
    <row r="2524" spans="1:6" x14ac:dyDescent="0.25">
      <c r="A2524" t="s">
        <v>4200</v>
      </c>
      <c r="B2524" t="s">
        <v>3817</v>
      </c>
      <c r="C2524" t="s">
        <v>2477</v>
      </c>
      <c r="D2524" t="str">
        <f>HYPERLINK("http://service.sap.com/sap/support/notes/1755709","1755709")</f>
        <v>1755709</v>
      </c>
      <c r="E2524">
        <v>2</v>
      </c>
      <c r="F2524" t="s">
        <v>3840</v>
      </c>
    </row>
    <row r="2525" spans="1:6" x14ac:dyDescent="0.25">
      <c r="A2525" t="s">
        <v>4200</v>
      </c>
      <c r="B2525" t="s">
        <v>3841</v>
      </c>
      <c r="C2525" t="s">
        <v>3842</v>
      </c>
      <c r="D2525" t="str">
        <f>HYPERLINK("http://service.sap.com/sap/support/notes/1683194","1683194")</f>
        <v>1683194</v>
      </c>
      <c r="E2525">
        <v>5</v>
      </c>
      <c r="F2525" t="s">
        <v>3843</v>
      </c>
    </row>
    <row r="2526" spans="1:6" x14ac:dyDescent="0.25">
      <c r="A2526" t="s">
        <v>4200</v>
      </c>
      <c r="B2526" t="s">
        <v>3841</v>
      </c>
      <c r="C2526" t="s">
        <v>3842</v>
      </c>
      <c r="D2526" t="str">
        <f>HYPERLINK("http://service.sap.com/sap/support/notes/1744498","1744498")</f>
        <v>1744498</v>
      </c>
      <c r="E2526">
        <v>1</v>
      </c>
      <c r="F2526" t="s">
        <v>3844</v>
      </c>
    </row>
    <row r="2527" spans="1:6" x14ac:dyDescent="0.25">
      <c r="A2527" t="s">
        <v>4200</v>
      </c>
      <c r="B2527" t="s">
        <v>3845</v>
      </c>
      <c r="C2527" t="s">
        <v>1762</v>
      </c>
      <c r="D2527" t="str">
        <f>HYPERLINK("http://service.sap.com/sap/support/notes/1714749","1714749")</f>
        <v>1714749</v>
      </c>
      <c r="E2527">
        <v>3</v>
      </c>
      <c r="F2527" t="s">
        <v>3846</v>
      </c>
    </row>
    <row r="2528" spans="1:6" x14ac:dyDescent="0.25">
      <c r="A2528" t="s">
        <v>4200</v>
      </c>
      <c r="B2528" t="s">
        <v>3845</v>
      </c>
      <c r="C2528" t="s">
        <v>1762</v>
      </c>
      <c r="D2528" t="str">
        <f>HYPERLINK("http://service.sap.com/sap/support/notes/1719360","1719360")</f>
        <v>1719360</v>
      </c>
      <c r="E2528">
        <v>1</v>
      </c>
      <c r="F2528" t="s">
        <v>3847</v>
      </c>
    </row>
    <row r="2529" spans="1:6" x14ac:dyDescent="0.25">
      <c r="A2529" t="s">
        <v>4200</v>
      </c>
      <c r="B2529" t="s">
        <v>3845</v>
      </c>
      <c r="C2529" t="s">
        <v>1762</v>
      </c>
      <c r="D2529" t="str">
        <f>HYPERLINK("http://service.sap.com/sap/support/notes/1735416","1735416")</f>
        <v>1735416</v>
      </c>
      <c r="E2529">
        <v>2</v>
      </c>
      <c r="F2529" t="s">
        <v>3848</v>
      </c>
    </row>
    <row r="2530" spans="1:6" x14ac:dyDescent="0.25">
      <c r="A2530" t="s">
        <v>4200</v>
      </c>
      <c r="B2530" t="s">
        <v>3845</v>
      </c>
      <c r="C2530" t="s">
        <v>1762</v>
      </c>
      <c r="D2530" t="str">
        <f>HYPERLINK("http://service.sap.com/sap/support/notes/1735417","1735417")</f>
        <v>1735417</v>
      </c>
      <c r="E2530">
        <v>1</v>
      </c>
      <c r="F2530" t="s">
        <v>3849</v>
      </c>
    </row>
    <row r="2531" spans="1:6" x14ac:dyDescent="0.25">
      <c r="A2531" t="s">
        <v>4200</v>
      </c>
      <c r="B2531" t="s">
        <v>3845</v>
      </c>
      <c r="C2531" t="s">
        <v>1762</v>
      </c>
      <c r="D2531" t="str">
        <f>HYPERLINK("http://service.sap.com/sap/support/notes/1750818","1750818")</f>
        <v>1750818</v>
      </c>
      <c r="E2531">
        <v>3</v>
      </c>
      <c r="F2531" t="s">
        <v>3850</v>
      </c>
    </row>
    <row r="2532" spans="1:6" x14ac:dyDescent="0.25">
      <c r="A2532" t="s">
        <v>4200</v>
      </c>
      <c r="B2532" t="s">
        <v>3845</v>
      </c>
      <c r="C2532" t="s">
        <v>1762</v>
      </c>
      <c r="D2532" t="str">
        <f>HYPERLINK("http://service.sap.com/sap/support/notes/1755777","1755777")</f>
        <v>1755777</v>
      </c>
      <c r="E2532">
        <v>4</v>
      </c>
      <c r="F2532" t="s">
        <v>3851</v>
      </c>
    </row>
    <row r="2533" spans="1:6" x14ac:dyDescent="0.25">
      <c r="A2533" t="s">
        <v>4200</v>
      </c>
      <c r="B2533" t="s">
        <v>3845</v>
      </c>
      <c r="C2533" t="s">
        <v>1762</v>
      </c>
      <c r="D2533" t="str">
        <f>HYPERLINK("http://service.sap.com/sap/support/notes/1761307","1761307")</f>
        <v>1761307</v>
      </c>
      <c r="E2533">
        <v>3</v>
      </c>
      <c r="F2533" t="s">
        <v>3852</v>
      </c>
    </row>
    <row r="2534" spans="1:6" x14ac:dyDescent="0.25">
      <c r="A2534" t="s">
        <v>4200</v>
      </c>
      <c r="B2534" t="s">
        <v>3853</v>
      </c>
      <c r="C2534" t="s">
        <v>3854</v>
      </c>
      <c r="D2534" t="str">
        <f>HYPERLINK("http://service.sap.com/sap/support/notes/1729726","1729726")</f>
        <v>1729726</v>
      </c>
      <c r="E2534">
        <v>3</v>
      </c>
      <c r="F2534" t="s">
        <v>3855</v>
      </c>
    </row>
    <row r="2535" spans="1:6" x14ac:dyDescent="0.25">
      <c r="A2535" t="s">
        <v>4200</v>
      </c>
      <c r="B2535" t="s">
        <v>3853</v>
      </c>
      <c r="C2535" t="s">
        <v>3854</v>
      </c>
      <c r="D2535" t="str">
        <f>HYPERLINK("http://service.sap.com/sap/support/notes/1748798","1748798")</f>
        <v>1748798</v>
      </c>
      <c r="E2535">
        <v>2</v>
      </c>
      <c r="F2535" t="s">
        <v>3856</v>
      </c>
    </row>
    <row r="2536" spans="1:6" x14ac:dyDescent="0.25">
      <c r="A2536" t="s">
        <v>4200</v>
      </c>
      <c r="B2536" t="s">
        <v>3857</v>
      </c>
      <c r="C2536" t="s">
        <v>3858</v>
      </c>
    </row>
    <row r="2537" spans="1:6" x14ac:dyDescent="0.25">
      <c r="A2537" t="s">
        <v>4200</v>
      </c>
      <c r="B2537" t="s">
        <v>3859</v>
      </c>
      <c r="C2537" t="s">
        <v>3860</v>
      </c>
      <c r="D2537" t="str">
        <f>HYPERLINK("http://service.sap.com/sap/support/notes/1722666","1722666")</f>
        <v>1722666</v>
      </c>
      <c r="E2537">
        <v>1</v>
      </c>
      <c r="F2537" t="s">
        <v>3861</v>
      </c>
    </row>
    <row r="2538" spans="1:6" x14ac:dyDescent="0.25">
      <c r="A2538" t="s">
        <v>4200</v>
      </c>
      <c r="B2538" t="s">
        <v>3859</v>
      </c>
      <c r="C2538" t="s">
        <v>3860</v>
      </c>
      <c r="D2538" t="str">
        <f>HYPERLINK("http://service.sap.com/sap/support/notes/1738758","1738758")</f>
        <v>1738758</v>
      </c>
      <c r="E2538">
        <v>1</v>
      </c>
      <c r="F2538" t="s">
        <v>3862</v>
      </c>
    </row>
    <row r="2539" spans="1:6" x14ac:dyDescent="0.25">
      <c r="A2539" t="s">
        <v>4200</v>
      </c>
      <c r="B2539" t="s">
        <v>3859</v>
      </c>
      <c r="C2539" t="s">
        <v>3860</v>
      </c>
      <c r="D2539" t="str">
        <f>HYPERLINK("http://service.sap.com/sap/support/notes/1743945","1743945")</f>
        <v>1743945</v>
      </c>
      <c r="E2539">
        <v>1</v>
      </c>
      <c r="F2539" t="s">
        <v>3863</v>
      </c>
    </row>
    <row r="2540" spans="1:6" x14ac:dyDescent="0.25">
      <c r="A2540" t="s">
        <v>4200</v>
      </c>
      <c r="B2540" t="s">
        <v>3859</v>
      </c>
      <c r="C2540" t="s">
        <v>3860</v>
      </c>
      <c r="D2540" t="str">
        <f>HYPERLINK("http://service.sap.com/sap/support/notes/1747999","1747999")</f>
        <v>1747999</v>
      </c>
      <c r="E2540">
        <v>1</v>
      </c>
      <c r="F2540" t="s">
        <v>3864</v>
      </c>
    </row>
    <row r="2541" spans="1:6" x14ac:dyDescent="0.25">
      <c r="A2541" t="s">
        <v>4200</v>
      </c>
      <c r="B2541" t="s">
        <v>3859</v>
      </c>
      <c r="C2541" t="s">
        <v>3860</v>
      </c>
      <c r="D2541" t="str">
        <f>HYPERLINK("http://service.sap.com/sap/support/notes/1766725","1766725")</f>
        <v>1766725</v>
      </c>
      <c r="E2541">
        <v>1</v>
      </c>
      <c r="F2541" t="s">
        <v>3865</v>
      </c>
    </row>
    <row r="2542" spans="1:6" x14ac:dyDescent="0.25">
      <c r="A2542" t="s">
        <v>4200</v>
      </c>
      <c r="B2542" t="s">
        <v>3859</v>
      </c>
      <c r="C2542" t="s">
        <v>3860</v>
      </c>
      <c r="D2542" t="str">
        <f>HYPERLINK("http://service.sap.com/sap/support/notes/1770695","1770695")</f>
        <v>1770695</v>
      </c>
      <c r="E2542">
        <v>2</v>
      </c>
      <c r="F2542" t="s">
        <v>3866</v>
      </c>
    </row>
    <row r="2543" spans="1:6" x14ac:dyDescent="0.25">
      <c r="A2543" t="s">
        <v>4200</v>
      </c>
      <c r="B2543" t="s">
        <v>3867</v>
      </c>
      <c r="C2543" t="s">
        <v>198</v>
      </c>
      <c r="D2543" t="str">
        <f>HYPERLINK("http://service.sap.com/sap/support/notes/1714535","1714535")</f>
        <v>1714535</v>
      </c>
      <c r="E2543">
        <v>1</v>
      </c>
      <c r="F2543" t="s">
        <v>3868</v>
      </c>
    </row>
    <row r="2544" spans="1:6" x14ac:dyDescent="0.25">
      <c r="A2544" t="s">
        <v>4200</v>
      </c>
      <c r="B2544" t="s">
        <v>3867</v>
      </c>
      <c r="C2544" t="s">
        <v>198</v>
      </c>
      <c r="D2544" t="str">
        <f>HYPERLINK("http://service.sap.com/sap/support/notes/1727615","1727615")</f>
        <v>1727615</v>
      </c>
      <c r="E2544">
        <v>1</v>
      </c>
      <c r="F2544" t="s">
        <v>3869</v>
      </c>
    </row>
    <row r="2545" spans="1:6" x14ac:dyDescent="0.25">
      <c r="A2545" t="s">
        <v>4200</v>
      </c>
      <c r="B2545" t="s">
        <v>3867</v>
      </c>
      <c r="C2545" t="s">
        <v>198</v>
      </c>
      <c r="D2545" t="str">
        <f>HYPERLINK("http://service.sap.com/sap/support/notes/1728931","1728931")</f>
        <v>1728931</v>
      </c>
      <c r="E2545">
        <v>1</v>
      </c>
      <c r="F2545" t="s">
        <v>3870</v>
      </c>
    </row>
    <row r="2546" spans="1:6" x14ac:dyDescent="0.25">
      <c r="A2546" t="s">
        <v>4200</v>
      </c>
      <c r="B2546" t="s">
        <v>3867</v>
      </c>
      <c r="C2546" t="s">
        <v>198</v>
      </c>
      <c r="D2546" t="str">
        <f>HYPERLINK("http://service.sap.com/sap/support/notes/1738438","1738438")</f>
        <v>1738438</v>
      </c>
      <c r="E2546">
        <v>1</v>
      </c>
      <c r="F2546" t="s">
        <v>3871</v>
      </c>
    </row>
    <row r="2547" spans="1:6" x14ac:dyDescent="0.25">
      <c r="A2547" t="s">
        <v>4200</v>
      </c>
      <c r="B2547" t="s">
        <v>3867</v>
      </c>
      <c r="C2547" t="s">
        <v>198</v>
      </c>
      <c r="D2547" t="str">
        <f>HYPERLINK("http://service.sap.com/sap/support/notes/1739444","1739444")</f>
        <v>1739444</v>
      </c>
      <c r="E2547">
        <v>2</v>
      </c>
      <c r="F2547" t="s">
        <v>3872</v>
      </c>
    </row>
    <row r="2548" spans="1:6" x14ac:dyDescent="0.25">
      <c r="A2548" t="s">
        <v>4200</v>
      </c>
      <c r="B2548" t="s">
        <v>3867</v>
      </c>
      <c r="C2548" t="s">
        <v>198</v>
      </c>
      <c r="D2548" t="str">
        <f>HYPERLINK("http://service.sap.com/sap/support/notes/1740746","1740746")</f>
        <v>1740746</v>
      </c>
      <c r="E2548">
        <v>2</v>
      </c>
      <c r="F2548" t="s">
        <v>3873</v>
      </c>
    </row>
    <row r="2549" spans="1:6" x14ac:dyDescent="0.25">
      <c r="A2549" t="s">
        <v>4200</v>
      </c>
      <c r="B2549" t="s">
        <v>3867</v>
      </c>
      <c r="C2549" t="s">
        <v>198</v>
      </c>
      <c r="D2549" t="str">
        <f>HYPERLINK("http://service.sap.com/sap/support/notes/1745896","1745896")</f>
        <v>1745896</v>
      </c>
      <c r="E2549">
        <v>2</v>
      </c>
      <c r="F2549" t="s">
        <v>3874</v>
      </c>
    </row>
    <row r="2550" spans="1:6" x14ac:dyDescent="0.25">
      <c r="A2550" t="s">
        <v>4200</v>
      </c>
      <c r="B2550" t="s">
        <v>3867</v>
      </c>
      <c r="C2550" t="s">
        <v>198</v>
      </c>
      <c r="D2550" t="str">
        <f>HYPERLINK("http://service.sap.com/sap/support/notes/1755310","1755310")</f>
        <v>1755310</v>
      </c>
      <c r="E2550">
        <v>1</v>
      </c>
      <c r="F2550" t="s">
        <v>3875</v>
      </c>
    </row>
    <row r="2551" spans="1:6" x14ac:dyDescent="0.25">
      <c r="A2551" t="s">
        <v>4200</v>
      </c>
      <c r="B2551" t="s">
        <v>3867</v>
      </c>
      <c r="C2551" t="s">
        <v>198</v>
      </c>
      <c r="D2551" t="str">
        <f>HYPERLINK("http://service.sap.com/sap/support/notes/1758888","1758888")</f>
        <v>1758888</v>
      </c>
      <c r="E2551">
        <v>1</v>
      </c>
      <c r="F2551" t="s">
        <v>3876</v>
      </c>
    </row>
    <row r="2552" spans="1:6" x14ac:dyDescent="0.25">
      <c r="A2552" t="s">
        <v>4200</v>
      </c>
      <c r="B2552" t="s">
        <v>3867</v>
      </c>
      <c r="C2552" t="s">
        <v>198</v>
      </c>
      <c r="D2552" t="str">
        <f>HYPERLINK("http://service.sap.com/sap/support/notes/1759488","1759488")</f>
        <v>1759488</v>
      </c>
      <c r="E2552">
        <v>4</v>
      </c>
      <c r="F2552" t="s">
        <v>3877</v>
      </c>
    </row>
    <row r="2553" spans="1:6" x14ac:dyDescent="0.25">
      <c r="A2553" t="s">
        <v>4200</v>
      </c>
      <c r="B2553" t="s">
        <v>3867</v>
      </c>
      <c r="C2553" t="s">
        <v>198</v>
      </c>
      <c r="D2553" t="str">
        <f>HYPERLINK("http://service.sap.com/sap/support/notes/1760059","1760059")</f>
        <v>1760059</v>
      </c>
      <c r="E2553">
        <v>1</v>
      </c>
      <c r="F2553" t="s">
        <v>3878</v>
      </c>
    </row>
    <row r="2554" spans="1:6" x14ac:dyDescent="0.25">
      <c r="A2554" t="s">
        <v>4200</v>
      </c>
      <c r="B2554" t="s">
        <v>3867</v>
      </c>
      <c r="C2554" t="s">
        <v>198</v>
      </c>
      <c r="D2554" t="str">
        <f>HYPERLINK("http://service.sap.com/sap/support/notes/1762063","1762063")</f>
        <v>1762063</v>
      </c>
      <c r="E2554">
        <v>1</v>
      </c>
      <c r="F2554" t="s">
        <v>3879</v>
      </c>
    </row>
    <row r="2555" spans="1:6" x14ac:dyDescent="0.25">
      <c r="A2555" t="s">
        <v>4200</v>
      </c>
      <c r="B2555" t="s">
        <v>3867</v>
      </c>
      <c r="C2555" t="s">
        <v>198</v>
      </c>
      <c r="D2555" t="str">
        <f>HYPERLINK("http://service.sap.com/sap/support/notes/1763179","1763179")</f>
        <v>1763179</v>
      </c>
      <c r="E2555">
        <v>1</v>
      </c>
      <c r="F2555" t="s">
        <v>3880</v>
      </c>
    </row>
    <row r="2556" spans="1:6" x14ac:dyDescent="0.25">
      <c r="A2556" t="s">
        <v>4200</v>
      </c>
      <c r="B2556" t="s">
        <v>3867</v>
      </c>
      <c r="C2556" t="s">
        <v>198</v>
      </c>
      <c r="D2556" t="str">
        <f>HYPERLINK("http://service.sap.com/sap/support/notes/1765182","1765182")</f>
        <v>1765182</v>
      </c>
      <c r="E2556">
        <v>2</v>
      </c>
      <c r="F2556" t="s">
        <v>3881</v>
      </c>
    </row>
    <row r="2557" spans="1:6" x14ac:dyDescent="0.25">
      <c r="A2557" t="s">
        <v>4200</v>
      </c>
      <c r="B2557" t="s">
        <v>3882</v>
      </c>
      <c r="C2557" t="s">
        <v>3883</v>
      </c>
      <c r="D2557" t="str">
        <f>HYPERLINK("http://service.sap.com/sap/support/notes/1728787","1728787")</f>
        <v>1728787</v>
      </c>
      <c r="E2557">
        <v>6</v>
      </c>
      <c r="F2557" t="s">
        <v>3884</v>
      </c>
    </row>
    <row r="2558" spans="1:6" x14ac:dyDescent="0.25">
      <c r="A2558" t="s">
        <v>4200</v>
      </c>
      <c r="B2558" t="s">
        <v>3882</v>
      </c>
      <c r="C2558" t="s">
        <v>3883</v>
      </c>
      <c r="D2558" t="str">
        <f>HYPERLINK("http://service.sap.com/sap/support/notes/1728791","1728791")</f>
        <v>1728791</v>
      </c>
      <c r="E2558">
        <v>4</v>
      </c>
      <c r="F2558" t="s">
        <v>3885</v>
      </c>
    </row>
    <row r="2559" spans="1:6" x14ac:dyDescent="0.25">
      <c r="A2559" t="s">
        <v>4200</v>
      </c>
      <c r="B2559" t="s">
        <v>3882</v>
      </c>
      <c r="C2559" t="s">
        <v>3883</v>
      </c>
      <c r="D2559" t="str">
        <f>HYPERLINK("http://service.sap.com/sap/support/notes/1732316","1732316")</f>
        <v>1732316</v>
      </c>
      <c r="E2559">
        <v>5</v>
      </c>
      <c r="F2559" t="s">
        <v>3886</v>
      </c>
    </row>
    <row r="2560" spans="1:6" x14ac:dyDescent="0.25">
      <c r="A2560" t="s">
        <v>4200</v>
      </c>
      <c r="B2560" t="s">
        <v>3882</v>
      </c>
      <c r="C2560" t="s">
        <v>3883</v>
      </c>
      <c r="D2560" t="str">
        <f>HYPERLINK("http://service.sap.com/sap/support/notes/1742189","1742189")</f>
        <v>1742189</v>
      </c>
      <c r="E2560">
        <v>4</v>
      </c>
      <c r="F2560" t="s">
        <v>3887</v>
      </c>
    </row>
    <row r="2561" spans="1:6" x14ac:dyDescent="0.25">
      <c r="A2561" t="s">
        <v>4200</v>
      </c>
      <c r="B2561" t="s">
        <v>3882</v>
      </c>
      <c r="C2561" t="s">
        <v>3883</v>
      </c>
      <c r="D2561" t="str">
        <f>HYPERLINK("http://service.sap.com/sap/support/notes/1746025","1746025")</f>
        <v>1746025</v>
      </c>
      <c r="E2561">
        <v>3</v>
      </c>
      <c r="F2561" t="s">
        <v>3888</v>
      </c>
    </row>
    <row r="2562" spans="1:6" x14ac:dyDescent="0.25">
      <c r="A2562" t="s">
        <v>4200</v>
      </c>
      <c r="B2562" t="s">
        <v>3882</v>
      </c>
      <c r="C2562" t="s">
        <v>3883</v>
      </c>
      <c r="D2562" t="str">
        <f>HYPERLINK("http://service.sap.com/sap/support/notes/1747625","1747625")</f>
        <v>1747625</v>
      </c>
      <c r="E2562">
        <v>7</v>
      </c>
      <c r="F2562" t="s">
        <v>3889</v>
      </c>
    </row>
    <row r="2563" spans="1:6" x14ac:dyDescent="0.25">
      <c r="A2563" t="s">
        <v>4200</v>
      </c>
      <c r="B2563" t="s">
        <v>3882</v>
      </c>
      <c r="C2563" t="s">
        <v>3883</v>
      </c>
      <c r="D2563" t="str">
        <f>HYPERLINK("http://service.sap.com/sap/support/notes/1750105","1750105")</f>
        <v>1750105</v>
      </c>
      <c r="E2563">
        <v>3</v>
      </c>
      <c r="F2563" t="s">
        <v>3890</v>
      </c>
    </row>
    <row r="2564" spans="1:6" x14ac:dyDescent="0.25">
      <c r="A2564" t="s">
        <v>4200</v>
      </c>
      <c r="B2564" t="s">
        <v>3882</v>
      </c>
      <c r="C2564" t="s">
        <v>3883</v>
      </c>
      <c r="D2564" t="str">
        <f>HYPERLINK("http://service.sap.com/sap/support/notes/1760547","1760547")</f>
        <v>1760547</v>
      </c>
      <c r="E2564">
        <v>1</v>
      </c>
      <c r="F2564" t="s">
        <v>3891</v>
      </c>
    </row>
    <row r="2565" spans="1:6" x14ac:dyDescent="0.25">
      <c r="A2565" t="s">
        <v>4200</v>
      </c>
      <c r="B2565" t="s">
        <v>3882</v>
      </c>
      <c r="C2565" t="s">
        <v>3883</v>
      </c>
      <c r="D2565" t="str">
        <f>HYPERLINK("http://service.sap.com/sap/support/notes/1766329","1766329")</f>
        <v>1766329</v>
      </c>
      <c r="E2565">
        <v>2</v>
      </c>
      <c r="F2565" t="s">
        <v>3892</v>
      </c>
    </row>
    <row r="2566" spans="1:6" x14ac:dyDescent="0.25">
      <c r="A2566" t="s">
        <v>4200</v>
      </c>
      <c r="B2566" t="s">
        <v>3882</v>
      </c>
      <c r="C2566" t="s">
        <v>3883</v>
      </c>
      <c r="D2566" t="str">
        <f>HYPERLINK("http://service.sap.com/sap/support/notes/1766795","1766795")</f>
        <v>1766795</v>
      </c>
      <c r="E2566">
        <v>1</v>
      </c>
      <c r="F2566" t="s">
        <v>3893</v>
      </c>
    </row>
    <row r="2567" spans="1:6" x14ac:dyDescent="0.25">
      <c r="A2567" t="s">
        <v>4200</v>
      </c>
      <c r="B2567" t="s">
        <v>3882</v>
      </c>
      <c r="C2567" t="s">
        <v>3883</v>
      </c>
      <c r="D2567" t="str">
        <f>HYPERLINK("http://service.sap.com/sap/support/notes/1772916","1772916")</f>
        <v>1772916</v>
      </c>
      <c r="E2567">
        <v>1</v>
      </c>
      <c r="F2567" t="s">
        <v>3894</v>
      </c>
    </row>
    <row r="2568" spans="1:6" x14ac:dyDescent="0.25">
      <c r="A2568" t="s">
        <v>4200</v>
      </c>
      <c r="B2568" t="s">
        <v>3895</v>
      </c>
      <c r="C2568" t="s">
        <v>3896</v>
      </c>
      <c r="D2568" t="str">
        <f>HYPERLINK("http://service.sap.com/sap/support/notes/1687268","1687268")</f>
        <v>1687268</v>
      </c>
      <c r="E2568">
        <v>8</v>
      </c>
      <c r="F2568" t="s">
        <v>3897</v>
      </c>
    </row>
    <row r="2569" spans="1:6" x14ac:dyDescent="0.25">
      <c r="A2569" t="s">
        <v>4200</v>
      </c>
      <c r="B2569" t="s">
        <v>3895</v>
      </c>
      <c r="C2569" t="s">
        <v>3896</v>
      </c>
      <c r="D2569" t="str">
        <f>HYPERLINK("http://service.sap.com/sap/support/notes/1710181","1710181")</f>
        <v>1710181</v>
      </c>
      <c r="E2569">
        <v>7</v>
      </c>
      <c r="F2569" t="s">
        <v>3898</v>
      </c>
    </row>
    <row r="2570" spans="1:6" x14ac:dyDescent="0.25">
      <c r="A2570" t="s">
        <v>4200</v>
      </c>
      <c r="B2570" t="s">
        <v>3895</v>
      </c>
      <c r="C2570" t="s">
        <v>3896</v>
      </c>
      <c r="D2570" t="str">
        <f>HYPERLINK("http://service.sap.com/sap/support/notes/1730606","1730606")</f>
        <v>1730606</v>
      </c>
      <c r="E2570">
        <v>2</v>
      </c>
      <c r="F2570" t="s">
        <v>3899</v>
      </c>
    </row>
    <row r="2571" spans="1:6" x14ac:dyDescent="0.25">
      <c r="A2571" t="s">
        <v>4200</v>
      </c>
      <c r="B2571" t="s">
        <v>3895</v>
      </c>
      <c r="C2571" t="s">
        <v>3896</v>
      </c>
      <c r="D2571" t="str">
        <f>HYPERLINK("http://service.sap.com/sap/support/notes/1733498","1733498")</f>
        <v>1733498</v>
      </c>
      <c r="E2571">
        <v>3</v>
      </c>
      <c r="F2571" t="s">
        <v>3900</v>
      </c>
    </row>
    <row r="2572" spans="1:6" x14ac:dyDescent="0.25">
      <c r="A2572" t="s">
        <v>4200</v>
      </c>
      <c r="B2572" t="s">
        <v>3895</v>
      </c>
      <c r="C2572" t="s">
        <v>3896</v>
      </c>
      <c r="D2572" t="str">
        <f>HYPERLINK("http://service.sap.com/sap/support/notes/1735693","1735693")</f>
        <v>1735693</v>
      </c>
      <c r="E2572">
        <v>3</v>
      </c>
      <c r="F2572" t="s">
        <v>3901</v>
      </c>
    </row>
    <row r="2573" spans="1:6" x14ac:dyDescent="0.25">
      <c r="A2573" t="s">
        <v>4200</v>
      </c>
      <c r="B2573" t="s">
        <v>3895</v>
      </c>
      <c r="C2573" t="s">
        <v>3896</v>
      </c>
      <c r="D2573" t="str">
        <f>HYPERLINK("http://service.sap.com/sap/support/notes/1761055","1761055")</f>
        <v>1761055</v>
      </c>
      <c r="E2573">
        <v>1</v>
      </c>
      <c r="F2573" t="s">
        <v>3902</v>
      </c>
    </row>
    <row r="2574" spans="1:6" x14ac:dyDescent="0.25">
      <c r="A2574" t="s">
        <v>4200</v>
      </c>
      <c r="B2574" t="s">
        <v>3895</v>
      </c>
      <c r="C2574" t="s">
        <v>3896</v>
      </c>
      <c r="D2574" t="str">
        <f>HYPERLINK("http://service.sap.com/sap/support/notes/1765939","1765939")</f>
        <v>1765939</v>
      </c>
      <c r="E2574">
        <v>1</v>
      </c>
      <c r="F2574" t="s">
        <v>3903</v>
      </c>
    </row>
    <row r="2575" spans="1:6" x14ac:dyDescent="0.25">
      <c r="A2575" t="s">
        <v>4200</v>
      </c>
      <c r="B2575" t="s">
        <v>3904</v>
      </c>
      <c r="C2575" t="s">
        <v>3905</v>
      </c>
    </row>
    <row r="2576" spans="1:6" x14ac:dyDescent="0.25">
      <c r="A2576" t="s">
        <v>4200</v>
      </c>
      <c r="B2576" t="s">
        <v>3906</v>
      </c>
      <c r="C2576" t="s">
        <v>198</v>
      </c>
      <c r="D2576" t="str">
        <f>HYPERLINK("http://service.sap.com/sap/support/notes/1556583","1556583")</f>
        <v>1556583</v>
      </c>
      <c r="E2576">
        <v>6</v>
      </c>
      <c r="F2576" t="s">
        <v>3907</v>
      </c>
    </row>
    <row r="2577" spans="1:6" x14ac:dyDescent="0.25">
      <c r="A2577" t="s">
        <v>4200</v>
      </c>
      <c r="B2577" t="s">
        <v>3908</v>
      </c>
      <c r="C2577" t="s">
        <v>3909</v>
      </c>
      <c r="D2577" t="str">
        <f>HYPERLINK("http://service.sap.com/sap/support/notes/1709106","1709106")</f>
        <v>1709106</v>
      </c>
      <c r="E2577">
        <v>1</v>
      </c>
      <c r="F2577" t="s">
        <v>3910</v>
      </c>
    </row>
    <row r="2578" spans="1:6" x14ac:dyDescent="0.25">
      <c r="A2578" t="s">
        <v>4200</v>
      </c>
      <c r="B2578" t="s">
        <v>3911</v>
      </c>
      <c r="C2578" t="s">
        <v>3912</v>
      </c>
      <c r="D2578" t="str">
        <f>HYPERLINK("http://service.sap.com/sap/support/notes/1716030","1716030")</f>
        <v>1716030</v>
      </c>
      <c r="E2578">
        <v>4</v>
      </c>
      <c r="F2578" t="s">
        <v>3913</v>
      </c>
    </row>
    <row r="2579" spans="1:6" x14ac:dyDescent="0.25">
      <c r="A2579" t="s">
        <v>4200</v>
      </c>
      <c r="B2579" t="s">
        <v>3914</v>
      </c>
      <c r="C2579" t="s">
        <v>3915</v>
      </c>
      <c r="D2579" t="str">
        <f>HYPERLINK("http://service.sap.com/sap/support/notes/1101676","1101676")</f>
        <v>1101676</v>
      </c>
      <c r="E2579">
        <v>4</v>
      </c>
      <c r="F2579" t="s">
        <v>3916</v>
      </c>
    </row>
    <row r="2580" spans="1:6" x14ac:dyDescent="0.25">
      <c r="A2580" t="s">
        <v>4200</v>
      </c>
      <c r="B2580" t="s">
        <v>3914</v>
      </c>
      <c r="C2580" t="s">
        <v>3915</v>
      </c>
      <c r="D2580" t="str">
        <f>HYPERLINK("http://service.sap.com/sap/support/notes/1540960","1540960")</f>
        <v>1540960</v>
      </c>
      <c r="E2580">
        <v>2</v>
      </c>
      <c r="F2580" t="s">
        <v>3917</v>
      </c>
    </row>
    <row r="2581" spans="1:6" x14ac:dyDescent="0.25">
      <c r="A2581" t="s">
        <v>4200</v>
      </c>
      <c r="B2581" t="s">
        <v>3914</v>
      </c>
      <c r="C2581" t="s">
        <v>3915</v>
      </c>
      <c r="D2581" t="str">
        <f>HYPERLINK("http://service.sap.com/sap/support/notes/1613813","1613813")</f>
        <v>1613813</v>
      </c>
      <c r="E2581">
        <v>2</v>
      </c>
      <c r="F2581" t="s">
        <v>3918</v>
      </c>
    </row>
    <row r="2582" spans="1:6" x14ac:dyDescent="0.25">
      <c r="A2582" t="s">
        <v>4200</v>
      </c>
      <c r="B2582" t="s">
        <v>3914</v>
      </c>
      <c r="C2582" t="s">
        <v>3915</v>
      </c>
      <c r="D2582" t="str">
        <f>HYPERLINK("http://service.sap.com/sap/support/notes/1637683","1637683")</f>
        <v>1637683</v>
      </c>
      <c r="E2582">
        <v>2</v>
      </c>
      <c r="F2582" t="s">
        <v>3919</v>
      </c>
    </row>
    <row r="2583" spans="1:6" x14ac:dyDescent="0.25">
      <c r="A2583" t="s">
        <v>4200</v>
      </c>
      <c r="B2583" t="s">
        <v>3914</v>
      </c>
      <c r="C2583" t="s">
        <v>3915</v>
      </c>
      <c r="D2583" t="str">
        <f>HYPERLINK("http://service.sap.com/sap/support/notes/1682602","1682602")</f>
        <v>1682602</v>
      </c>
      <c r="E2583">
        <v>3</v>
      </c>
      <c r="F2583" t="s">
        <v>3920</v>
      </c>
    </row>
    <row r="2584" spans="1:6" x14ac:dyDescent="0.25">
      <c r="A2584" t="s">
        <v>4200</v>
      </c>
      <c r="B2584" t="s">
        <v>3914</v>
      </c>
      <c r="C2584" t="s">
        <v>3915</v>
      </c>
      <c r="D2584" t="str">
        <f>HYPERLINK("http://service.sap.com/sap/support/notes/1706296","1706296")</f>
        <v>1706296</v>
      </c>
      <c r="E2584">
        <v>3</v>
      </c>
      <c r="F2584" t="s">
        <v>3921</v>
      </c>
    </row>
    <row r="2585" spans="1:6" x14ac:dyDescent="0.25">
      <c r="A2585" t="s">
        <v>4200</v>
      </c>
      <c r="B2585" t="s">
        <v>3914</v>
      </c>
      <c r="C2585" t="s">
        <v>3915</v>
      </c>
      <c r="D2585" t="str">
        <f>HYPERLINK("http://service.sap.com/sap/support/notes/1722578","1722578")</f>
        <v>1722578</v>
      </c>
      <c r="E2585">
        <v>2</v>
      </c>
      <c r="F2585" t="s">
        <v>3922</v>
      </c>
    </row>
    <row r="2586" spans="1:6" x14ac:dyDescent="0.25">
      <c r="A2586" t="s">
        <v>4200</v>
      </c>
      <c r="B2586" t="s">
        <v>3914</v>
      </c>
      <c r="C2586" t="s">
        <v>3915</v>
      </c>
      <c r="D2586" t="str">
        <f>HYPERLINK("http://service.sap.com/sap/support/notes/1727279","1727279")</f>
        <v>1727279</v>
      </c>
      <c r="E2586">
        <v>2</v>
      </c>
      <c r="F2586" t="s">
        <v>3923</v>
      </c>
    </row>
    <row r="2587" spans="1:6" x14ac:dyDescent="0.25">
      <c r="A2587" t="s">
        <v>4200</v>
      </c>
      <c r="B2587" t="s">
        <v>3914</v>
      </c>
      <c r="C2587" t="s">
        <v>3915</v>
      </c>
      <c r="D2587" t="str">
        <f>HYPERLINK("http://service.sap.com/sap/support/notes/1727552","1727552")</f>
        <v>1727552</v>
      </c>
      <c r="E2587">
        <v>1</v>
      </c>
      <c r="F2587" t="s">
        <v>3924</v>
      </c>
    </row>
    <row r="2588" spans="1:6" x14ac:dyDescent="0.25">
      <c r="A2588" t="s">
        <v>4200</v>
      </c>
      <c r="B2588" t="s">
        <v>3914</v>
      </c>
      <c r="C2588" t="s">
        <v>3915</v>
      </c>
      <c r="D2588" t="str">
        <f>HYPERLINK("http://service.sap.com/sap/support/notes/1727686","1727686")</f>
        <v>1727686</v>
      </c>
      <c r="E2588">
        <v>2</v>
      </c>
      <c r="F2588" t="s">
        <v>3925</v>
      </c>
    </row>
    <row r="2589" spans="1:6" x14ac:dyDescent="0.25">
      <c r="A2589" t="s">
        <v>4200</v>
      </c>
      <c r="B2589" t="s">
        <v>3914</v>
      </c>
      <c r="C2589" t="s">
        <v>3915</v>
      </c>
      <c r="D2589" t="str">
        <f>HYPERLINK("http://service.sap.com/sap/support/notes/1730007","1730007")</f>
        <v>1730007</v>
      </c>
      <c r="E2589">
        <v>2</v>
      </c>
      <c r="F2589" t="s">
        <v>3926</v>
      </c>
    </row>
    <row r="2590" spans="1:6" x14ac:dyDescent="0.25">
      <c r="A2590" t="s">
        <v>4200</v>
      </c>
      <c r="B2590" t="s">
        <v>3914</v>
      </c>
      <c r="C2590" t="s">
        <v>3915</v>
      </c>
      <c r="D2590" t="str">
        <f>HYPERLINK("http://service.sap.com/sap/support/notes/1731965","1731965")</f>
        <v>1731965</v>
      </c>
      <c r="E2590">
        <v>2</v>
      </c>
      <c r="F2590" t="s">
        <v>3927</v>
      </c>
    </row>
    <row r="2591" spans="1:6" x14ac:dyDescent="0.25">
      <c r="A2591" t="s">
        <v>4200</v>
      </c>
      <c r="B2591" t="s">
        <v>3914</v>
      </c>
      <c r="C2591" t="s">
        <v>3915</v>
      </c>
      <c r="D2591" t="str">
        <f>HYPERLINK("http://service.sap.com/sap/support/notes/1733624","1733624")</f>
        <v>1733624</v>
      </c>
      <c r="E2591">
        <v>4</v>
      </c>
      <c r="F2591" t="s">
        <v>3928</v>
      </c>
    </row>
    <row r="2592" spans="1:6" x14ac:dyDescent="0.25">
      <c r="A2592" t="s">
        <v>4200</v>
      </c>
      <c r="B2592" t="s">
        <v>3914</v>
      </c>
      <c r="C2592" t="s">
        <v>3915</v>
      </c>
      <c r="D2592" t="str">
        <f>HYPERLINK("http://service.sap.com/sap/support/notes/1734655","1734655")</f>
        <v>1734655</v>
      </c>
      <c r="E2592">
        <v>2</v>
      </c>
      <c r="F2592" t="s">
        <v>3929</v>
      </c>
    </row>
    <row r="2593" spans="1:6" x14ac:dyDescent="0.25">
      <c r="A2593" t="s">
        <v>4200</v>
      </c>
      <c r="B2593" t="s">
        <v>3914</v>
      </c>
      <c r="C2593" t="s">
        <v>3915</v>
      </c>
      <c r="D2593" t="str">
        <f>HYPERLINK("http://service.sap.com/sap/support/notes/1735297","1735297")</f>
        <v>1735297</v>
      </c>
      <c r="E2593">
        <v>2</v>
      </c>
      <c r="F2593" t="s">
        <v>3930</v>
      </c>
    </row>
    <row r="2594" spans="1:6" x14ac:dyDescent="0.25">
      <c r="A2594" t="s">
        <v>4200</v>
      </c>
      <c r="B2594" t="s">
        <v>3914</v>
      </c>
      <c r="C2594" t="s">
        <v>3915</v>
      </c>
      <c r="D2594" t="str">
        <f>HYPERLINK("http://service.sap.com/sap/support/notes/1737480","1737480")</f>
        <v>1737480</v>
      </c>
      <c r="E2594">
        <v>2</v>
      </c>
      <c r="F2594" t="s">
        <v>3931</v>
      </c>
    </row>
    <row r="2595" spans="1:6" x14ac:dyDescent="0.25">
      <c r="A2595" t="s">
        <v>4200</v>
      </c>
      <c r="B2595" t="s">
        <v>3914</v>
      </c>
      <c r="C2595" t="s">
        <v>3915</v>
      </c>
      <c r="D2595" t="str">
        <f>HYPERLINK("http://service.sap.com/sap/support/notes/1739902","1739902")</f>
        <v>1739902</v>
      </c>
      <c r="E2595">
        <v>2</v>
      </c>
      <c r="F2595" t="s">
        <v>3932</v>
      </c>
    </row>
    <row r="2596" spans="1:6" x14ac:dyDescent="0.25">
      <c r="A2596" t="s">
        <v>4200</v>
      </c>
      <c r="B2596" t="s">
        <v>3914</v>
      </c>
      <c r="C2596" t="s">
        <v>3915</v>
      </c>
      <c r="D2596" t="str">
        <f>HYPERLINK("http://service.sap.com/sap/support/notes/1741230","1741230")</f>
        <v>1741230</v>
      </c>
      <c r="E2596">
        <v>3</v>
      </c>
      <c r="F2596" t="s">
        <v>3933</v>
      </c>
    </row>
    <row r="2597" spans="1:6" x14ac:dyDescent="0.25">
      <c r="A2597" t="s">
        <v>4200</v>
      </c>
      <c r="B2597" t="s">
        <v>3914</v>
      </c>
      <c r="C2597" t="s">
        <v>3915</v>
      </c>
      <c r="D2597" t="str">
        <f>HYPERLINK("http://service.sap.com/sap/support/notes/1747212","1747212")</f>
        <v>1747212</v>
      </c>
      <c r="E2597">
        <v>1</v>
      </c>
      <c r="F2597" t="s">
        <v>3934</v>
      </c>
    </row>
    <row r="2598" spans="1:6" x14ac:dyDescent="0.25">
      <c r="A2598" t="s">
        <v>4200</v>
      </c>
      <c r="B2598" t="s">
        <v>3914</v>
      </c>
      <c r="C2598" t="s">
        <v>3915</v>
      </c>
      <c r="D2598" t="str">
        <f>HYPERLINK("http://service.sap.com/sap/support/notes/1757830","1757830")</f>
        <v>1757830</v>
      </c>
      <c r="E2598">
        <v>2</v>
      </c>
      <c r="F2598" t="s">
        <v>3935</v>
      </c>
    </row>
    <row r="2599" spans="1:6" x14ac:dyDescent="0.25">
      <c r="A2599" t="s">
        <v>4200</v>
      </c>
      <c r="B2599" t="s">
        <v>3914</v>
      </c>
      <c r="C2599" t="s">
        <v>3915</v>
      </c>
      <c r="D2599" t="str">
        <f>HYPERLINK("http://service.sap.com/sap/support/notes/1761011","1761011")</f>
        <v>1761011</v>
      </c>
      <c r="E2599">
        <v>1</v>
      </c>
      <c r="F2599" t="s">
        <v>3936</v>
      </c>
    </row>
    <row r="2600" spans="1:6" x14ac:dyDescent="0.25">
      <c r="A2600" t="s">
        <v>4200</v>
      </c>
      <c r="B2600" t="s">
        <v>3914</v>
      </c>
      <c r="C2600" t="s">
        <v>3915</v>
      </c>
      <c r="D2600" t="str">
        <f>HYPERLINK("http://service.sap.com/sap/support/notes/1761158","1761158")</f>
        <v>1761158</v>
      </c>
      <c r="E2600">
        <v>2</v>
      </c>
      <c r="F2600" t="s">
        <v>3937</v>
      </c>
    </row>
    <row r="2601" spans="1:6" x14ac:dyDescent="0.25">
      <c r="A2601" t="s">
        <v>4200</v>
      </c>
      <c r="B2601" t="s">
        <v>3938</v>
      </c>
      <c r="C2601" t="s">
        <v>3939</v>
      </c>
      <c r="D2601" t="str">
        <f>HYPERLINK("http://service.sap.com/sap/support/notes/1650681","1650681")</f>
        <v>1650681</v>
      </c>
      <c r="E2601">
        <v>4</v>
      </c>
      <c r="F2601" t="s">
        <v>3940</v>
      </c>
    </row>
    <row r="2602" spans="1:6" x14ac:dyDescent="0.25">
      <c r="A2602" t="s">
        <v>4200</v>
      </c>
      <c r="B2602" t="s">
        <v>3938</v>
      </c>
      <c r="C2602" t="s">
        <v>3939</v>
      </c>
      <c r="D2602" t="str">
        <f>HYPERLINK("http://service.sap.com/sap/support/notes/1676063","1676063")</f>
        <v>1676063</v>
      </c>
      <c r="E2602">
        <v>2</v>
      </c>
      <c r="F2602" t="s">
        <v>3941</v>
      </c>
    </row>
    <row r="2603" spans="1:6" x14ac:dyDescent="0.25">
      <c r="A2603" t="s">
        <v>4200</v>
      </c>
      <c r="B2603" t="s">
        <v>3938</v>
      </c>
      <c r="C2603" t="s">
        <v>3939</v>
      </c>
      <c r="D2603" t="str">
        <f>HYPERLINK("http://service.sap.com/sap/support/notes/1687115","1687115")</f>
        <v>1687115</v>
      </c>
      <c r="E2603">
        <v>7</v>
      </c>
      <c r="F2603" t="s">
        <v>3942</v>
      </c>
    </row>
    <row r="2604" spans="1:6" x14ac:dyDescent="0.25">
      <c r="A2604" t="s">
        <v>4200</v>
      </c>
      <c r="B2604" t="s">
        <v>3938</v>
      </c>
      <c r="C2604" t="s">
        <v>3939</v>
      </c>
      <c r="D2604" t="str">
        <f>HYPERLINK("http://service.sap.com/sap/support/notes/1704264","1704264")</f>
        <v>1704264</v>
      </c>
      <c r="E2604">
        <v>3</v>
      </c>
      <c r="F2604" t="s">
        <v>3943</v>
      </c>
    </row>
    <row r="2605" spans="1:6" x14ac:dyDescent="0.25">
      <c r="A2605" t="s">
        <v>4200</v>
      </c>
      <c r="B2605" t="s">
        <v>3938</v>
      </c>
      <c r="C2605" t="s">
        <v>3939</v>
      </c>
      <c r="D2605" t="str">
        <f>HYPERLINK("http://service.sap.com/sap/support/notes/1705567","1705567")</f>
        <v>1705567</v>
      </c>
      <c r="E2605">
        <v>2</v>
      </c>
      <c r="F2605" t="s">
        <v>3944</v>
      </c>
    </row>
    <row r="2606" spans="1:6" x14ac:dyDescent="0.25">
      <c r="A2606" t="s">
        <v>4200</v>
      </c>
      <c r="B2606" t="s">
        <v>3938</v>
      </c>
      <c r="C2606" t="s">
        <v>3939</v>
      </c>
      <c r="D2606" t="str">
        <f>HYPERLINK("http://service.sap.com/sap/support/notes/1710328","1710328")</f>
        <v>1710328</v>
      </c>
      <c r="E2606">
        <v>6</v>
      </c>
      <c r="F2606" t="s">
        <v>3945</v>
      </c>
    </row>
    <row r="2607" spans="1:6" x14ac:dyDescent="0.25">
      <c r="A2607" t="s">
        <v>4200</v>
      </c>
      <c r="B2607" t="s">
        <v>3938</v>
      </c>
      <c r="C2607" t="s">
        <v>3939</v>
      </c>
      <c r="D2607" t="str">
        <f>HYPERLINK("http://service.sap.com/sap/support/notes/1712382","1712382")</f>
        <v>1712382</v>
      </c>
      <c r="E2607">
        <v>5</v>
      </c>
      <c r="F2607" t="s">
        <v>3946</v>
      </c>
    </row>
    <row r="2608" spans="1:6" x14ac:dyDescent="0.25">
      <c r="A2608" t="s">
        <v>4200</v>
      </c>
      <c r="B2608" t="s">
        <v>3938</v>
      </c>
      <c r="C2608" t="s">
        <v>3939</v>
      </c>
      <c r="D2608" t="str">
        <f>HYPERLINK("http://service.sap.com/sap/support/notes/1721900","1721900")</f>
        <v>1721900</v>
      </c>
      <c r="E2608">
        <v>2</v>
      </c>
      <c r="F2608" t="s">
        <v>3947</v>
      </c>
    </row>
    <row r="2609" spans="1:6" x14ac:dyDescent="0.25">
      <c r="A2609" t="s">
        <v>4200</v>
      </c>
      <c r="B2609" t="s">
        <v>3938</v>
      </c>
      <c r="C2609" t="s">
        <v>3939</v>
      </c>
      <c r="D2609" t="str">
        <f>HYPERLINK("http://service.sap.com/sap/support/notes/1723787","1723787")</f>
        <v>1723787</v>
      </c>
      <c r="E2609">
        <v>3</v>
      </c>
      <c r="F2609" t="s">
        <v>3948</v>
      </c>
    </row>
    <row r="2610" spans="1:6" x14ac:dyDescent="0.25">
      <c r="A2610" t="s">
        <v>4200</v>
      </c>
      <c r="B2610" t="s">
        <v>3938</v>
      </c>
      <c r="C2610" t="s">
        <v>3939</v>
      </c>
      <c r="D2610" t="str">
        <f>HYPERLINK("http://service.sap.com/sap/support/notes/1723899","1723899")</f>
        <v>1723899</v>
      </c>
      <c r="E2610">
        <v>4</v>
      </c>
      <c r="F2610" t="s">
        <v>3949</v>
      </c>
    </row>
    <row r="2611" spans="1:6" x14ac:dyDescent="0.25">
      <c r="A2611" t="s">
        <v>4200</v>
      </c>
      <c r="B2611" t="s">
        <v>3938</v>
      </c>
      <c r="C2611" t="s">
        <v>3939</v>
      </c>
      <c r="D2611" t="str">
        <f>HYPERLINK("http://service.sap.com/sap/support/notes/1724627","1724627")</f>
        <v>1724627</v>
      </c>
      <c r="E2611">
        <v>1</v>
      </c>
      <c r="F2611" t="s">
        <v>3950</v>
      </c>
    </row>
    <row r="2612" spans="1:6" x14ac:dyDescent="0.25">
      <c r="A2612" t="s">
        <v>4200</v>
      </c>
      <c r="B2612" t="s">
        <v>3938</v>
      </c>
      <c r="C2612" t="s">
        <v>3939</v>
      </c>
      <c r="D2612" t="str">
        <f>HYPERLINK("http://service.sap.com/sap/support/notes/1726234","1726234")</f>
        <v>1726234</v>
      </c>
      <c r="E2612">
        <v>4</v>
      </c>
      <c r="F2612" t="s">
        <v>3951</v>
      </c>
    </row>
    <row r="2613" spans="1:6" x14ac:dyDescent="0.25">
      <c r="A2613" t="s">
        <v>4200</v>
      </c>
      <c r="B2613" t="s">
        <v>3938</v>
      </c>
      <c r="C2613" t="s">
        <v>3939</v>
      </c>
      <c r="D2613" t="str">
        <f>HYPERLINK("http://service.sap.com/sap/support/notes/1726700","1726700")</f>
        <v>1726700</v>
      </c>
      <c r="E2613">
        <v>3</v>
      </c>
      <c r="F2613" t="s">
        <v>3952</v>
      </c>
    </row>
    <row r="2614" spans="1:6" x14ac:dyDescent="0.25">
      <c r="A2614" t="s">
        <v>4200</v>
      </c>
      <c r="B2614" t="s">
        <v>3938</v>
      </c>
      <c r="C2614" t="s">
        <v>3939</v>
      </c>
      <c r="D2614" t="str">
        <f>HYPERLINK("http://service.sap.com/sap/support/notes/1729387","1729387")</f>
        <v>1729387</v>
      </c>
      <c r="E2614">
        <v>10</v>
      </c>
      <c r="F2614" t="s">
        <v>3953</v>
      </c>
    </row>
    <row r="2615" spans="1:6" x14ac:dyDescent="0.25">
      <c r="A2615" t="s">
        <v>4200</v>
      </c>
      <c r="B2615" t="s">
        <v>3938</v>
      </c>
      <c r="C2615" t="s">
        <v>3939</v>
      </c>
      <c r="D2615" t="str">
        <f>HYPERLINK("http://service.sap.com/sap/support/notes/1730244","1730244")</f>
        <v>1730244</v>
      </c>
      <c r="E2615">
        <v>2</v>
      </c>
      <c r="F2615" t="s">
        <v>3954</v>
      </c>
    </row>
    <row r="2616" spans="1:6" x14ac:dyDescent="0.25">
      <c r="A2616" t="s">
        <v>4200</v>
      </c>
      <c r="B2616" t="s">
        <v>3938</v>
      </c>
      <c r="C2616" t="s">
        <v>3939</v>
      </c>
      <c r="D2616" t="str">
        <f>HYPERLINK("http://service.sap.com/sap/support/notes/1731788","1731788")</f>
        <v>1731788</v>
      </c>
      <c r="E2616">
        <v>2</v>
      </c>
      <c r="F2616" t="s">
        <v>3955</v>
      </c>
    </row>
    <row r="2617" spans="1:6" x14ac:dyDescent="0.25">
      <c r="A2617" t="s">
        <v>4200</v>
      </c>
      <c r="B2617" t="s">
        <v>3938</v>
      </c>
      <c r="C2617" t="s">
        <v>3939</v>
      </c>
      <c r="D2617" t="str">
        <f>HYPERLINK("http://service.sap.com/sap/support/notes/1732242","1732242")</f>
        <v>1732242</v>
      </c>
      <c r="E2617">
        <v>5</v>
      </c>
      <c r="F2617" t="s">
        <v>3956</v>
      </c>
    </row>
    <row r="2618" spans="1:6" x14ac:dyDescent="0.25">
      <c r="A2618" t="s">
        <v>4200</v>
      </c>
      <c r="B2618" t="s">
        <v>3938</v>
      </c>
      <c r="C2618" t="s">
        <v>3939</v>
      </c>
      <c r="D2618" t="str">
        <f>HYPERLINK("http://service.sap.com/sap/support/notes/1746481","1746481")</f>
        <v>1746481</v>
      </c>
      <c r="E2618">
        <v>1</v>
      </c>
      <c r="F2618" t="s">
        <v>3957</v>
      </c>
    </row>
    <row r="2619" spans="1:6" x14ac:dyDescent="0.25">
      <c r="A2619" t="s">
        <v>4200</v>
      </c>
      <c r="B2619" t="s">
        <v>3958</v>
      </c>
      <c r="C2619" t="s">
        <v>3959</v>
      </c>
      <c r="D2619" t="str">
        <f>HYPERLINK("http://service.sap.com/sap/support/notes/1636877","1636877")</f>
        <v>1636877</v>
      </c>
      <c r="E2619">
        <v>2</v>
      </c>
      <c r="F2619" t="s">
        <v>3960</v>
      </c>
    </row>
    <row r="2620" spans="1:6" x14ac:dyDescent="0.25">
      <c r="A2620" t="s">
        <v>4200</v>
      </c>
      <c r="B2620" t="s">
        <v>3958</v>
      </c>
      <c r="C2620" t="s">
        <v>3959</v>
      </c>
      <c r="D2620" t="str">
        <f>HYPERLINK("http://service.sap.com/sap/support/notes/1639964","1639964")</f>
        <v>1639964</v>
      </c>
      <c r="E2620">
        <v>1</v>
      </c>
      <c r="F2620" t="s">
        <v>3961</v>
      </c>
    </row>
    <row r="2621" spans="1:6" x14ac:dyDescent="0.25">
      <c r="A2621" t="s">
        <v>4200</v>
      </c>
      <c r="B2621" t="s">
        <v>3958</v>
      </c>
      <c r="C2621" t="s">
        <v>3959</v>
      </c>
      <c r="D2621" t="str">
        <f>HYPERLINK("http://service.sap.com/sap/support/notes/1687791","1687791")</f>
        <v>1687791</v>
      </c>
      <c r="E2621">
        <v>4</v>
      </c>
      <c r="F2621" t="s">
        <v>3962</v>
      </c>
    </row>
    <row r="2622" spans="1:6" x14ac:dyDescent="0.25">
      <c r="A2622" t="s">
        <v>4200</v>
      </c>
      <c r="B2622" t="s">
        <v>3958</v>
      </c>
      <c r="C2622" t="s">
        <v>3959</v>
      </c>
      <c r="D2622" t="str">
        <f>HYPERLINK("http://service.sap.com/sap/support/notes/1709166","1709166")</f>
        <v>1709166</v>
      </c>
      <c r="E2622">
        <v>2</v>
      </c>
      <c r="F2622" t="s">
        <v>3963</v>
      </c>
    </row>
    <row r="2623" spans="1:6" x14ac:dyDescent="0.25">
      <c r="A2623" t="s">
        <v>4200</v>
      </c>
      <c r="B2623" t="s">
        <v>3958</v>
      </c>
      <c r="C2623" t="s">
        <v>3959</v>
      </c>
      <c r="D2623" t="str">
        <f>HYPERLINK("http://service.sap.com/sap/support/notes/1727283","1727283")</f>
        <v>1727283</v>
      </c>
      <c r="E2623">
        <v>2</v>
      </c>
      <c r="F2623" t="s">
        <v>3964</v>
      </c>
    </row>
    <row r="2624" spans="1:6" x14ac:dyDescent="0.25">
      <c r="A2624" t="s">
        <v>4200</v>
      </c>
      <c r="B2624" t="s">
        <v>3958</v>
      </c>
      <c r="C2624" t="s">
        <v>3959</v>
      </c>
      <c r="D2624" t="str">
        <f>HYPERLINK("http://service.sap.com/sap/support/notes/1728286","1728286")</f>
        <v>1728286</v>
      </c>
      <c r="E2624">
        <v>1</v>
      </c>
      <c r="F2624" t="s">
        <v>3965</v>
      </c>
    </row>
    <row r="2625" spans="1:6" x14ac:dyDescent="0.25">
      <c r="A2625" t="s">
        <v>4200</v>
      </c>
      <c r="B2625" t="s">
        <v>3966</v>
      </c>
      <c r="C2625" t="s">
        <v>3967</v>
      </c>
    </row>
    <row r="2626" spans="1:6" x14ac:dyDescent="0.25">
      <c r="A2626" t="s">
        <v>4200</v>
      </c>
      <c r="B2626" t="s">
        <v>3968</v>
      </c>
      <c r="C2626" t="s">
        <v>198</v>
      </c>
    </row>
    <row r="2627" spans="1:6" x14ac:dyDescent="0.25">
      <c r="A2627" t="s">
        <v>4200</v>
      </c>
      <c r="B2627" t="s">
        <v>3969</v>
      </c>
      <c r="C2627" t="s">
        <v>201</v>
      </c>
      <c r="D2627" t="str">
        <f>HYPERLINK("http://service.sap.com/sap/support/notes/1747049","1747049")</f>
        <v>1747049</v>
      </c>
      <c r="E2627">
        <v>1</v>
      </c>
      <c r="F2627" t="s">
        <v>3970</v>
      </c>
    </row>
    <row r="2628" spans="1:6" x14ac:dyDescent="0.25">
      <c r="A2628" t="s">
        <v>4200</v>
      </c>
      <c r="B2628" t="s">
        <v>3971</v>
      </c>
      <c r="C2628" t="s">
        <v>3972</v>
      </c>
      <c r="D2628" t="str">
        <f>HYPERLINK("http://service.sap.com/sap/support/notes/1666270","1666270")</f>
        <v>1666270</v>
      </c>
      <c r="E2628">
        <v>2</v>
      </c>
      <c r="F2628" t="s">
        <v>3973</v>
      </c>
    </row>
    <row r="2629" spans="1:6" x14ac:dyDescent="0.25">
      <c r="A2629" t="s">
        <v>4200</v>
      </c>
      <c r="B2629" t="s">
        <v>3971</v>
      </c>
      <c r="C2629" t="s">
        <v>3972</v>
      </c>
      <c r="D2629" t="str">
        <f>HYPERLINK("http://service.sap.com/sap/support/notes/1729236","1729236")</f>
        <v>1729236</v>
      </c>
      <c r="E2629">
        <v>4</v>
      </c>
      <c r="F2629" t="s">
        <v>3974</v>
      </c>
    </row>
    <row r="2630" spans="1:6" x14ac:dyDescent="0.25">
      <c r="A2630" t="s">
        <v>4200</v>
      </c>
      <c r="B2630" t="s">
        <v>3971</v>
      </c>
      <c r="C2630" t="s">
        <v>3972</v>
      </c>
      <c r="D2630" t="str">
        <f>HYPERLINK("http://service.sap.com/sap/support/notes/1729238","1729238")</f>
        <v>1729238</v>
      </c>
      <c r="E2630">
        <v>1</v>
      </c>
      <c r="F2630" t="s">
        <v>3975</v>
      </c>
    </row>
    <row r="2631" spans="1:6" x14ac:dyDescent="0.25">
      <c r="A2631" t="s">
        <v>4200</v>
      </c>
      <c r="B2631" t="s">
        <v>3976</v>
      </c>
      <c r="C2631" t="s">
        <v>3977</v>
      </c>
      <c r="D2631" t="str">
        <f>HYPERLINK("http://service.sap.com/sap/support/notes/1726118","1726118")</f>
        <v>1726118</v>
      </c>
      <c r="E2631">
        <v>2</v>
      </c>
      <c r="F2631" t="s">
        <v>3978</v>
      </c>
    </row>
    <row r="2632" spans="1:6" x14ac:dyDescent="0.25">
      <c r="A2632" t="s">
        <v>4200</v>
      </c>
      <c r="B2632" t="s">
        <v>3976</v>
      </c>
      <c r="C2632" t="s">
        <v>3977</v>
      </c>
      <c r="D2632" t="str">
        <f>HYPERLINK("http://service.sap.com/sap/support/notes/1726184","1726184")</f>
        <v>1726184</v>
      </c>
      <c r="E2632">
        <v>3</v>
      </c>
      <c r="F2632" t="s">
        <v>3979</v>
      </c>
    </row>
    <row r="2633" spans="1:6" x14ac:dyDescent="0.25">
      <c r="A2633" t="s">
        <v>4200</v>
      </c>
      <c r="B2633" t="s">
        <v>3976</v>
      </c>
      <c r="C2633" t="s">
        <v>3977</v>
      </c>
      <c r="D2633" t="str">
        <f>HYPERLINK("http://service.sap.com/sap/support/notes/1743387","1743387")</f>
        <v>1743387</v>
      </c>
      <c r="E2633">
        <v>2</v>
      </c>
      <c r="F2633" t="s">
        <v>3980</v>
      </c>
    </row>
    <row r="2634" spans="1:6" x14ac:dyDescent="0.25">
      <c r="A2634" t="s">
        <v>4200</v>
      </c>
      <c r="B2634" t="s">
        <v>3981</v>
      </c>
      <c r="C2634" t="s">
        <v>3982</v>
      </c>
    </row>
    <row r="2635" spans="1:6" x14ac:dyDescent="0.25">
      <c r="A2635" t="s">
        <v>4200</v>
      </c>
      <c r="B2635" t="s">
        <v>3983</v>
      </c>
      <c r="C2635" t="s">
        <v>198</v>
      </c>
      <c r="D2635" t="str">
        <f>HYPERLINK("http://service.sap.com/sap/support/notes/1752576","1752576")</f>
        <v>1752576</v>
      </c>
      <c r="E2635">
        <v>4</v>
      </c>
      <c r="F2635" t="s">
        <v>3984</v>
      </c>
    </row>
    <row r="2636" spans="1:6" x14ac:dyDescent="0.25">
      <c r="A2636" t="s">
        <v>4200</v>
      </c>
      <c r="B2636" t="s">
        <v>3985</v>
      </c>
      <c r="C2636" t="s">
        <v>3986</v>
      </c>
      <c r="D2636" t="str">
        <f>HYPERLINK("http://service.sap.com/sap/support/notes/1711011","1711011")</f>
        <v>1711011</v>
      </c>
      <c r="E2636">
        <v>35</v>
      </c>
      <c r="F2636" t="s">
        <v>3987</v>
      </c>
    </row>
    <row r="2637" spans="1:6" x14ac:dyDescent="0.25">
      <c r="A2637" t="s">
        <v>4200</v>
      </c>
      <c r="B2637" t="s">
        <v>3985</v>
      </c>
      <c r="C2637" t="s">
        <v>3986</v>
      </c>
      <c r="D2637" t="str">
        <f>HYPERLINK("http://service.sap.com/sap/support/notes/1729611","1729611")</f>
        <v>1729611</v>
      </c>
      <c r="E2637">
        <v>4</v>
      </c>
      <c r="F2637" t="s">
        <v>3988</v>
      </c>
    </row>
    <row r="2638" spans="1:6" x14ac:dyDescent="0.25">
      <c r="A2638" t="s">
        <v>4200</v>
      </c>
      <c r="B2638" t="s">
        <v>3985</v>
      </c>
      <c r="C2638" t="s">
        <v>3986</v>
      </c>
      <c r="D2638" t="str">
        <f>HYPERLINK("http://service.sap.com/sap/support/notes/1734373","1734373")</f>
        <v>1734373</v>
      </c>
      <c r="E2638">
        <v>15</v>
      </c>
      <c r="F2638" t="s">
        <v>3989</v>
      </c>
    </row>
    <row r="2639" spans="1:6" x14ac:dyDescent="0.25">
      <c r="A2639" t="s">
        <v>4200</v>
      </c>
      <c r="B2639" t="s">
        <v>3985</v>
      </c>
      <c r="C2639" t="s">
        <v>3986</v>
      </c>
      <c r="D2639" t="str">
        <f>HYPERLINK("http://service.sap.com/sap/support/notes/1736153","1736153")</f>
        <v>1736153</v>
      </c>
      <c r="E2639">
        <v>2</v>
      </c>
      <c r="F2639" t="s">
        <v>3990</v>
      </c>
    </row>
    <row r="2640" spans="1:6" x14ac:dyDescent="0.25">
      <c r="A2640" t="s">
        <v>4200</v>
      </c>
      <c r="B2640" t="s">
        <v>3985</v>
      </c>
      <c r="C2640" t="s">
        <v>3986</v>
      </c>
      <c r="D2640" t="str">
        <f>HYPERLINK("http://service.sap.com/sap/support/notes/1739123","1739123")</f>
        <v>1739123</v>
      </c>
      <c r="E2640">
        <v>2</v>
      </c>
      <c r="F2640" t="s">
        <v>3991</v>
      </c>
    </row>
    <row r="2641" spans="1:6" x14ac:dyDescent="0.25">
      <c r="A2641" t="s">
        <v>4200</v>
      </c>
      <c r="B2641" t="s">
        <v>3992</v>
      </c>
      <c r="C2641" t="s">
        <v>3993</v>
      </c>
    </row>
    <row r="2642" spans="1:6" x14ac:dyDescent="0.25">
      <c r="A2642" t="s">
        <v>4200</v>
      </c>
      <c r="B2642" t="s">
        <v>3994</v>
      </c>
      <c r="C2642" t="s">
        <v>198</v>
      </c>
      <c r="D2642" t="str">
        <f>HYPERLINK("http://service.sap.com/sap/support/notes/1714707","1714707")</f>
        <v>1714707</v>
      </c>
      <c r="E2642">
        <v>2</v>
      </c>
      <c r="F2642" t="s">
        <v>3995</v>
      </c>
    </row>
    <row r="2643" spans="1:6" x14ac:dyDescent="0.25">
      <c r="A2643" t="s">
        <v>4200</v>
      </c>
      <c r="B2643" t="s">
        <v>3996</v>
      </c>
      <c r="C2643" t="s">
        <v>2999</v>
      </c>
      <c r="D2643" t="str">
        <f>HYPERLINK("http://service.sap.com/sap/support/notes/1661516","1661516")</f>
        <v>1661516</v>
      </c>
      <c r="E2643">
        <v>2</v>
      </c>
      <c r="F2643" t="s">
        <v>3997</v>
      </c>
    </row>
    <row r="2644" spans="1:6" x14ac:dyDescent="0.25">
      <c r="A2644" t="s">
        <v>4200</v>
      </c>
      <c r="B2644" t="s">
        <v>3996</v>
      </c>
      <c r="C2644" t="s">
        <v>2999</v>
      </c>
      <c r="D2644" t="str">
        <f>HYPERLINK("http://service.sap.com/sap/support/notes/1678603","1678603")</f>
        <v>1678603</v>
      </c>
      <c r="E2644">
        <v>5</v>
      </c>
      <c r="F2644" t="s">
        <v>3998</v>
      </c>
    </row>
    <row r="2645" spans="1:6" x14ac:dyDescent="0.25">
      <c r="A2645" t="s">
        <v>4200</v>
      </c>
      <c r="B2645" t="s">
        <v>3996</v>
      </c>
      <c r="C2645" t="s">
        <v>2999</v>
      </c>
      <c r="D2645" t="str">
        <f>HYPERLINK("http://service.sap.com/sap/support/notes/1683281","1683281")</f>
        <v>1683281</v>
      </c>
      <c r="E2645">
        <v>2</v>
      </c>
      <c r="F2645" t="s">
        <v>3999</v>
      </c>
    </row>
    <row r="2646" spans="1:6" x14ac:dyDescent="0.25">
      <c r="A2646" t="s">
        <v>4200</v>
      </c>
      <c r="B2646" t="s">
        <v>3996</v>
      </c>
      <c r="C2646" t="s">
        <v>2999</v>
      </c>
      <c r="D2646" t="str">
        <f>HYPERLINK("http://service.sap.com/sap/support/notes/1709763","1709763")</f>
        <v>1709763</v>
      </c>
      <c r="E2646">
        <v>4</v>
      </c>
      <c r="F2646" t="s">
        <v>4000</v>
      </c>
    </row>
    <row r="2647" spans="1:6" x14ac:dyDescent="0.25">
      <c r="A2647" t="s">
        <v>4200</v>
      </c>
      <c r="B2647" t="s">
        <v>3996</v>
      </c>
      <c r="C2647" t="s">
        <v>2999</v>
      </c>
      <c r="D2647" t="str">
        <f>HYPERLINK("http://service.sap.com/sap/support/notes/1723343","1723343")</f>
        <v>1723343</v>
      </c>
      <c r="E2647">
        <v>2</v>
      </c>
      <c r="F2647" t="s">
        <v>4001</v>
      </c>
    </row>
    <row r="2648" spans="1:6" x14ac:dyDescent="0.25">
      <c r="A2648" t="s">
        <v>4200</v>
      </c>
      <c r="B2648" t="s">
        <v>3996</v>
      </c>
      <c r="C2648" t="s">
        <v>2999</v>
      </c>
      <c r="D2648" t="str">
        <f>HYPERLINK("http://service.sap.com/sap/support/notes/1734702","1734702")</f>
        <v>1734702</v>
      </c>
      <c r="E2648">
        <v>4</v>
      </c>
      <c r="F2648" t="s">
        <v>4002</v>
      </c>
    </row>
    <row r="2649" spans="1:6" x14ac:dyDescent="0.25">
      <c r="A2649" t="s">
        <v>4200</v>
      </c>
      <c r="B2649" t="s">
        <v>3996</v>
      </c>
      <c r="C2649" t="s">
        <v>2999</v>
      </c>
      <c r="D2649" t="str">
        <f>HYPERLINK("http://service.sap.com/sap/support/notes/1735496","1735496")</f>
        <v>1735496</v>
      </c>
      <c r="E2649">
        <v>3</v>
      </c>
      <c r="F2649" t="s">
        <v>4003</v>
      </c>
    </row>
    <row r="2650" spans="1:6" x14ac:dyDescent="0.25">
      <c r="A2650" t="s">
        <v>4200</v>
      </c>
      <c r="B2650" t="s">
        <v>3996</v>
      </c>
      <c r="C2650" t="s">
        <v>2999</v>
      </c>
      <c r="D2650" t="str">
        <f>HYPERLINK("http://service.sap.com/sap/support/notes/1739526","1739526")</f>
        <v>1739526</v>
      </c>
      <c r="E2650">
        <v>7</v>
      </c>
      <c r="F2650" t="s">
        <v>4004</v>
      </c>
    </row>
    <row r="2651" spans="1:6" x14ac:dyDescent="0.25">
      <c r="A2651" t="s">
        <v>4200</v>
      </c>
      <c r="B2651" t="s">
        <v>4005</v>
      </c>
      <c r="C2651" t="s">
        <v>4006</v>
      </c>
      <c r="D2651" t="str">
        <f>HYPERLINK("http://service.sap.com/sap/support/notes/1706856","1706856")</f>
        <v>1706856</v>
      </c>
      <c r="E2651">
        <v>14</v>
      </c>
      <c r="F2651" t="s">
        <v>4007</v>
      </c>
    </row>
    <row r="2652" spans="1:6" x14ac:dyDescent="0.25">
      <c r="A2652" t="s">
        <v>4200</v>
      </c>
      <c r="B2652" t="s">
        <v>4005</v>
      </c>
      <c r="C2652" t="s">
        <v>4006</v>
      </c>
      <c r="D2652" t="str">
        <f>HYPERLINK("http://service.sap.com/sap/support/notes/1727907","1727907")</f>
        <v>1727907</v>
      </c>
      <c r="E2652">
        <v>6</v>
      </c>
      <c r="F2652" t="s">
        <v>4008</v>
      </c>
    </row>
    <row r="2653" spans="1:6" x14ac:dyDescent="0.25">
      <c r="A2653" t="s">
        <v>4200</v>
      </c>
      <c r="B2653" t="s">
        <v>4005</v>
      </c>
      <c r="C2653" t="s">
        <v>4006</v>
      </c>
      <c r="D2653" t="str">
        <f>HYPERLINK("http://service.sap.com/sap/support/notes/1731860","1731860")</f>
        <v>1731860</v>
      </c>
      <c r="E2653">
        <v>7</v>
      </c>
      <c r="F2653" t="s">
        <v>4009</v>
      </c>
    </row>
    <row r="2654" spans="1:6" x14ac:dyDescent="0.25">
      <c r="A2654" t="s">
        <v>4200</v>
      </c>
      <c r="B2654" t="s">
        <v>4005</v>
      </c>
      <c r="C2654" t="s">
        <v>4006</v>
      </c>
      <c r="D2654" t="str">
        <f>HYPERLINK("http://service.sap.com/sap/support/notes/1731894","1731894")</f>
        <v>1731894</v>
      </c>
      <c r="E2654">
        <v>7</v>
      </c>
      <c r="F2654" t="s">
        <v>4010</v>
      </c>
    </row>
    <row r="2655" spans="1:6" x14ac:dyDescent="0.25">
      <c r="A2655" t="s">
        <v>4200</v>
      </c>
      <c r="B2655" t="s">
        <v>4005</v>
      </c>
      <c r="C2655" t="s">
        <v>4006</v>
      </c>
      <c r="D2655" t="str">
        <f>HYPERLINK("http://service.sap.com/sap/support/notes/1731902","1731902")</f>
        <v>1731902</v>
      </c>
      <c r="E2655">
        <v>3</v>
      </c>
      <c r="F2655" t="s">
        <v>4011</v>
      </c>
    </row>
    <row r="2656" spans="1:6" x14ac:dyDescent="0.25">
      <c r="A2656" t="s">
        <v>4200</v>
      </c>
      <c r="B2656" t="s">
        <v>4005</v>
      </c>
      <c r="C2656" t="s">
        <v>4006</v>
      </c>
      <c r="D2656" t="str">
        <f>HYPERLINK("http://service.sap.com/sap/support/notes/1733078","1733078")</f>
        <v>1733078</v>
      </c>
      <c r="E2656">
        <v>3</v>
      </c>
      <c r="F2656" t="s">
        <v>4012</v>
      </c>
    </row>
    <row r="2657" spans="1:6" x14ac:dyDescent="0.25">
      <c r="A2657" t="s">
        <v>4200</v>
      </c>
      <c r="B2657" t="s">
        <v>4005</v>
      </c>
      <c r="C2657" t="s">
        <v>4006</v>
      </c>
      <c r="D2657" t="str">
        <f>HYPERLINK("http://service.sap.com/sap/support/notes/1735908","1735908")</f>
        <v>1735908</v>
      </c>
      <c r="E2657">
        <v>3</v>
      </c>
      <c r="F2657" t="s">
        <v>4013</v>
      </c>
    </row>
    <row r="2658" spans="1:6" x14ac:dyDescent="0.25">
      <c r="A2658" t="s">
        <v>4200</v>
      </c>
      <c r="B2658" t="s">
        <v>4005</v>
      </c>
      <c r="C2658" t="s">
        <v>4006</v>
      </c>
      <c r="D2658" t="str">
        <f>HYPERLINK("http://service.sap.com/sap/support/notes/1737359","1737359")</f>
        <v>1737359</v>
      </c>
      <c r="E2658">
        <v>1</v>
      </c>
      <c r="F2658" t="s">
        <v>4014</v>
      </c>
    </row>
    <row r="2659" spans="1:6" x14ac:dyDescent="0.25">
      <c r="A2659" t="s">
        <v>4200</v>
      </c>
      <c r="B2659" t="s">
        <v>4005</v>
      </c>
      <c r="C2659" t="s">
        <v>4006</v>
      </c>
      <c r="D2659" t="str">
        <f>HYPERLINK("http://service.sap.com/sap/support/notes/1737554","1737554")</f>
        <v>1737554</v>
      </c>
      <c r="E2659">
        <v>3</v>
      </c>
      <c r="F2659" t="s">
        <v>4015</v>
      </c>
    </row>
    <row r="2660" spans="1:6" x14ac:dyDescent="0.25">
      <c r="A2660" t="s">
        <v>4200</v>
      </c>
      <c r="B2660" t="s">
        <v>4005</v>
      </c>
      <c r="C2660" t="s">
        <v>4006</v>
      </c>
      <c r="D2660" t="str">
        <f>HYPERLINK("http://service.sap.com/sap/support/notes/1742066","1742066")</f>
        <v>1742066</v>
      </c>
      <c r="E2660">
        <v>3</v>
      </c>
      <c r="F2660" t="s">
        <v>4016</v>
      </c>
    </row>
    <row r="2661" spans="1:6" x14ac:dyDescent="0.25">
      <c r="A2661" t="s">
        <v>4200</v>
      </c>
      <c r="B2661" t="s">
        <v>4005</v>
      </c>
      <c r="C2661" t="s">
        <v>4006</v>
      </c>
      <c r="D2661" t="str">
        <f>HYPERLINK("http://service.sap.com/sap/support/notes/1748305","1748305")</f>
        <v>1748305</v>
      </c>
      <c r="E2661">
        <v>1</v>
      </c>
      <c r="F2661" t="s">
        <v>4017</v>
      </c>
    </row>
    <row r="2662" spans="1:6" x14ac:dyDescent="0.25">
      <c r="A2662" t="s">
        <v>4200</v>
      </c>
      <c r="B2662" t="s">
        <v>4005</v>
      </c>
      <c r="C2662" t="s">
        <v>4006</v>
      </c>
      <c r="D2662" t="str">
        <f>HYPERLINK("http://service.sap.com/sap/support/notes/1756377","1756377")</f>
        <v>1756377</v>
      </c>
      <c r="E2662">
        <v>5</v>
      </c>
      <c r="F2662" t="s">
        <v>4018</v>
      </c>
    </row>
    <row r="2663" spans="1:6" x14ac:dyDescent="0.25">
      <c r="A2663" t="s">
        <v>4200</v>
      </c>
      <c r="B2663" t="s">
        <v>4019</v>
      </c>
      <c r="C2663" t="s">
        <v>201</v>
      </c>
      <c r="D2663" t="str">
        <f>HYPERLINK("http://service.sap.com/sap/support/notes/1585307","1585307")</f>
        <v>1585307</v>
      </c>
      <c r="E2663">
        <v>2</v>
      </c>
      <c r="F2663" t="s">
        <v>4020</v>
      </c>
    </row>
    <row r="2664" spans="1:6" x14ac:dyDescent="0.25">
      <c r="A2664" t="s">
        <v>4200</v>
      </c>
      <c r="B2664" t="s">
        <v>4019</v>
      </c>
      <c r="C2664" t="s">
        <v>201</v>
      </c>
      <c r="D2664" t="str">
        <f>HYPERLINK("http://service.sap.com/sap/support/notes/1645113","1645113")</f>
        <v>1645113</v>
      </c>
      <c r="E2664">
        <v>3</v>
      </c>
      <c r="F2664" t="s">
        <v>4021</v>
      </c>
    </row>
    <row r="2665" spans="1:6" x14ac:dyDescent="0.25">
      <c r="A2665" t="s">
        <v>4200</v>
      </c>
      <c r="B2665" t="s">
        <v>4019</v>
      </c>
      <c r="C2665" t="s">
        <v>201</v>
      </c>
      <c r="D2665" t="str">
        <f>HYPERLINK("http://service.sap.com/sap/support/notes/1694977","1694977")</f>
        <v>1694977</v>
      </c>
      <c r="E2665">
        <v>14</v>
      </c>
      <c r="F2665" t="s">
        <v>4022</v>
      </c>
    </row>
    <row r="2666" spans="1:6" x14ac:dyDescent="0.25">
      <c r="A2666" t="s">
        <v>4200</v>
      </c>
      <c r="B2666" t="s">
        <v>4019</v>
      </c>
      <c r="C2666" t="s">
        <v>201</v>
      </c>
      <c r="D2666" t="str">
        <f>HYPERLINK("http://service.sap.com/sap/support/notes/1727036","1727036")</f>
        <v>1727036</v>
      </c>
      <c r="E2666">
        <v>4</v>
      </c>
      <c r="F2666" t="s">
        <v>4023</v>
      </c>
    </row>
    <row r="2667" spans="1:6" x14ac:dyDescent="0.25">
      <c r="A2667" t="s">
        <v>4200</v>
      </c>
      <c r="B2667" t="s">
        <v>4019</v>
      </c>
      <c r="C2667" t="s">
        <v>201</v>
      </c>
      <c r="D2667" t="str">
        <f>HYPERLINK("http://service.sap.com/sap/support/notes/1727522","1727522")</f>
        <v>1727522</v>
      </c>
      <c r="E2667">
        <v>3</v>
      </c>
      <c r="F2667" t="s">
        <v>4024</v>
      </c>
    </row>
    <row r="2668" spans="1:6" x14ac:dyDescent="0.25">
      <c r="A2668" t="s">
        <v>4200</v>
      </c>
      <c r="B2668" t="s">
        <v>4019</v>
      </c>
      <c r="C2668" t="s">
        <v>201</v>
      </c>
      <c r="D2668" t="str">
        <f>HYPERLINK("http://service.sap.com/sap/support/notes/1731222","1731222")</f>
        <v>1731222</v>
      </c>
      <c r="E2668">
        <v>1</v>
      </c>
      <c r="F2668" t="s">
        <v>4025</v>
      </c>
    </row>
    <row r="2669" spans="1:6" x14ac:dyDescent="0.25">
      <c r="A2669" t="s">
        <v>4200</v>
      </c>
      <c r="B2669" t="s">
        <v>4019</v>
      </c>
      <c r="C2669" t="s">
        <v>201</v>
      </c>
      <c r="D2669" t="str">
        <f>HYPERLINK("http://service.sap.com/sap/support/notes/1731659","1731659")</f>
        <v>1731659</v>
      </c>
      <c r="E2669">
        <v>1</v>
      </c>
      <c r="F2669" t="s">
        <v>4026</v>
      </c>
    </row>
    <row r="2670" spans="1:6" x14ac:dyDescent="0.25">
      <c r="A2670" t="s">
        <v>4200</v>
      </c>
      <c r="B2670" t="s">
        <v>4019</v>
      </c>
      <c r="C2670" t="s">
        <v>201</v>
      </c>
      <c r="D2670" t="str">
        <f>HYPERLINK("http://service.sap.com/sap/support/notes/1732926","1732926")</f>
        <v>1732926</v>
      </c>
      <c r="E2670">
        <v>3</v>
      </c>
      <c r="F2670" t="s">
        <v>4027</v>
      </c>
    </row>
    <row r="2671" spans="1:6" x14ac:dyDescent="0.25">
      <c r="A2671" t="s">
        <v>4200</v>
      </c>
      <c r="B2671" t="s">
        <v>4019</v>
      </c>
      <c r="C2671" t="s">
        <v>201</v>
      </c>
      <c r="D2671" t="str">
        <f>HYPERLINK("http://service.sap.com/sap/support/notes/1737584","1737584")</f>
        <v>1737584</v>
      </c>
      <c r="E2671">
        <v>1</v>
      </c>
      <c r="F2671" t="s">
        <v>4028</v>
      </c>
    </row>
    <row r="2672" spans="1:6" x14ac:dyDescent="0.25">
      <c r="A2672" t="s">
        <v>4200</v>
      </c>
      <c r="B2672" t="s">
        <v>4019</v>
      </c>
      <c r="C2672" t="s">
        <v>201</v>
      </c>
      <c r="D2672" t="str">
        <f>HYPERLINK("http://service.sap.com/sap/support/notes/1737846","1737846")</f>
        <v>1737846</v>
      </c>
      <c r="E2672">
        <v>2</v>
      </c>
      <c r="F2672" t="s">
        <v>4029</v>
      </c>
    </row>
    <row r="2673" spans="1:6" x14ac:dyDescent="0.25">
      <c r="A2673" t="s">
        <v>4200</v>
      </c>
      <c r="B2673" t="s">
        <v>4019</v>
      </c>
      <c r="C2673" t="s">
        <v>201</v>
      </c>
      <c r="D2673" t="str">
        <f>HYPERLINK("http://service.sap.com/sap/support/notes/1738186","1738186")</f>
        <v>1738186</v>
      </c>
      <c r="E2673">
        <v>2</v>
      </c>
      <c r="F2673" t="s">
        <v>4030</v>
      </c>
    </row>
    <row r="2674" spans="1:6" x14ac:dyDescent="0.25">
      <c r="A2674" t="s">
        <v>4200</v>
      </c>
      <c r="B2674" t="s">
        <v>4019</v>
      </c>
      <c r="C2674" t="s">
        <v>201</v>
      </c>
      <c r="D2674" t="str">
        <f>HYPERLINK("http://service.sap.com/sap/support/notes/1738715","1738715")</f>
        <v>1738715</v>
      </c>
      <c r="E2674">
        <v>2</v>
      </c>
      <c r="F2674" t="s">
        <v>4031</v>
      </c>
    </row>
    <row r="2675" spans="1:6" x14ac:dyDescent="0.25">
      <c r="A2675" t="s">
        <v>4200</v>
      </c>
      <c r="B2675" t="s">
        <v>4019</v>
      </c>
      <c r="C2675" t="s">
        <v>201</v>
      </c>
      <c r="D2675" t="str">
        <f>HYPERLINK("http://service.sap.com/sap/support/notes/1739004","1739004")</f>
        <v>1739004</v>
      </c>
      <c r="E2675">
        <v>10</v>
      </c>
      <c r="F2675" t="s">
        <v>4032</v>
      </c>
    </row>
    <row r="2676" spans="1:6" x14ac:dyDescent="0.25">
      <c r="A2676" t="s">
        <v>4200</v>
      </c>
      <c r="B2676" t="s">
        <v>4019</v>
      </c>
      <c r="C2676" t="s">
        <v>201</v>
      </c>
      <c r="D2676" t="str">
        <f>HYPERLINK("http://service.sap.com/sap/support/notes/1740594","1740594")</f>
        <v>1740594</v>
      </c>
      <c r="E2676">
        <v>4</v>
      </c>
      <c r="F2676" t="s">
        <v>4033</v>
      </c>
    </row>
    <row r="2677" spans="1:6" x14ac:dyDescent="0.25">
      <c r="A2677" t="s">
        <v>4200</v>
      </c>
      <c r="B2677" t="s">
        <v>4019</v>
      </c>
      <c r="C2677" t="s">
        <v>201</v>
      </c>
      <c r="D2677" t="str">
        <f>HYPERLINK("http://service.sap.com/sap/support/notes/1740597","1740597")</f>
        <v>1740597</v>
      </c>
      <c r="E2677">
        <v>2</v>
      </c>
      <c r="F2677" t="s">
        <v>4034</v>
      </c>
    </row>
    <row r="2678" spans="1:6" x14ac:dyDescent="0.25">
      <c r="A2678" t="s">
        <v>4200</v>
      </c>
      <c r="B2678" t="s">
        <v>4019</v>
      </c>
      <c r="C2678" t="s">
        <v>201</v>
      </c>
      <c r="D2678" t="str">
        <f>HYPERLINK("http://service.sap.com/sap/support/notes/1743730","1743730")</f>
        <v>1743730</v>
      </c>
      <c r="E2678">
        <v>3</v>
      </c>
      <c r="F2678" t="s">
        <v>4035</v>
      </c>
    </row>
    <row r="2679" spans="1:6" x14ac:dyDescent="0.25">
      <c r="A2679" t="s">
        <v>4200</v>
      </c>
      <c r="B2679" t="s">
        <v>4019</v>
      </c>
      <c r="C2679" t="s">
        <v>201</v>
      </c>
      <c r="D2679" t="str">
        <f>HYPERLINK("http://service.sap.com/sap/support/notes/1743878","1743878")</f>
        <v>1743878</v>
      </c>
      <c r="E2679">
        <v>3</v>
      </c>
      <c r="F2679" t="s">
        <v>4036</v>
      </c>
    </row>
    <row r="2680" spans="1:6" x14ac:dyDescent="0.25">
      <c r="A2680" t="s">
        <v>4200</v>
      </c>
      <c r="B2680" t="s">
        <v>4019</v>
      </c>
      <c r="C2680" t="s">
        <v>201</v>
      </c>
      <c r="D2680" t="str">
        <f>HYPERLINK("http://service.sap.com/sap/support/notes/1745039","1745039")</f>
        <v>1745039</v>
      </c>
      <c r="E2680">
        <v>1</v>
      </c>
      <c r="F2680" t="s">
        <v>4037</v>
      </c>
    </row>
    <row r="2681" spans="1:6" x14ac:dyDescent="0.25">
      <c r="A2681" t="s">
        <v>4200</v>
      </c>
      <c r="B2681" t="s">
        <v>4019</v>
      </c>
      <c r="C2681" t="s">
        <v>201</v>
      </c>
      <c r="D2681" t="str">
        <f>HYPERLINK("http://service.sap.com/sap/support/notes/1745383","1745383")</f>
        <v>1745383</v>
      </c>
      <c r="E2681">
        <v>2</v>
      </c>
      <c r="F2681" t="s">
        <v>4038</v>
      </c>
    </row>
    <row r="2682" spans="1:6" x14ac:dyDescent="0.25">
      <c r="A2682" t="s">
        <v>4200</v>
      </c>
      <c r="B2682" t="s">
        <v>4019</v>
      </c>
      <c r="C2682" t="s">
        <v>201</v>
      </c>
      <c r="D2682" t="str">
        <f>HYPERLINK("http://service.sap.com/sap/support/notes/1745389","1745389")</f>
        <v>1745389</v>
      </c>
      <c r="E2682">
        <v>1</v>
      </c>
      <c r="F2682" t="s">
        <v>4039</v>
      </c>
    </row>
    <row r="2683" spans="1:6" x14ac:dyDescent="0.25">
      <c r="A2683" t="s">
        <v>4200</v>
      </c>
      <c r="B2683" t="s">
        <v>4019</v>
      </c>
      <c r="C2683" t="s">
        <v>201</v>
      </c>
      <c r="D2683" t="str">
        <f>HYPERLINK("http://service.sap.com/sap/support/notes/1745536","1745536")</f>
        <v>1745536</v>
      </c>
      <c r="E2683">
        <v>1</v>
      </c>
      <c r="F2683" t="s">
        <v>4040</v>
      </c>
    </row>
    <row r="2684" spans="1:6" x14ac:dyDescent="0.25">
      <c r="A2684" t="s">
        <v>4200</v>
      </c>
      <c r="B2684" t="s">
        <v>4019</v>
      </c>
      <c r="C2684" t="s">
        <v>201</v>
      </c>
      <c r="D2684" t="str">
        <f>HYPERLINK("http://service.sap.com/sap/support/notes/1745892","1745892")</f>
        <v>1745892</v>
      </c>
      <c r="E2684">
        <v>1</v>
      </c>
      <c r="F2684" t="s">
        <v>4041</v>
      </c>
    </row>
    <row r="2685" spans="1:6" x14ac:dyDescent="0.25">
      <c r="A2685" t="s">
        <v>4200</v>
      </c>
      <c r="B2685" t="s">
        <v>4019</v>
      </c>
      <c r="C2685" t="s">
        <v>201</v>
      </c>
      <c r="D2685" t="str">
        <f>HYPERLINK("http://service.sap.com/sap/support/notes/1746348","1746348")</f>
        <v>1746348</v>
      </c>
      <c r="E2685">
        <v>2</v>
      </c>
      <c r="F2685" t="s">
        <v>4041</v>
      </c>
    </row>
    <row r="2686" spans="1:6" x14ac:dyDescent="0.25">
      <c r="A2686" t="s">
        <v>4200</v>
      </c>
      <c r="B2686" t="s">
        <v>4019</v>
      </c>
      <c r="C2686" t="s">
        <v>201</v>
      </c>
      <c r="D2686" t="str">
        <f>HYPERLINK("http://service.sap.com/sap/support/notes/1746706","1746706")</f>
        <v>1746706</v>
      </c>
      <c r="E2686">
        <v>1</v>
      </c>
      <c r="F2686" t="s">
        <v>4042</v>
      </c>
    </row>
    <row r="2687" spans="1:6" x14ac:dyDescent="0.25">
      <c r="A2687" t="s">
        <v>4200</v>
      </c>
      <c r="B2687" t="s">
        <v>4019</v>
      </c>
      <c r="C2687" t="s">
        <v>201</v>
      </c>
      <c r="D2687" t="str">
        <f>HYPERLINK("http://service.sap.com/sap/support/notes/1746769","1746769")</f>
        <v>1746769</v>
      </c>
      <c r="E2687">
        <v>1</v>
      </c>
      <c r="F2687" t="s">
        <v>4043</v>
      </c>
    </row>
    <row r="2688" spans="1:6" x14ac:dyDescent="0.25">
      <c r="A2688" t="s">
        <v>4200</v>
      </c>
      <c r="B2688" t="s">
        <v>4019</v>
      </c>
      <c r="C2688" t="s">
        <v>201</v>
      </c>
      <c r="D2688" t="str">
        <f>HYPERLINK("http://service.sap.com/sap/support/notes/1748372","1748372")</f>
        <v>1748372</v>
      </c>
      <c r="E2688">
        <v>4</v>
      </c>
      <c r="F2688" t="s">
        <v>4044</v>
      </c>
    </row>
    <row r="2689" spans="1:6" x14ac:dyDescent="0.25">
      <c r="A2689" t="s">
        <v>4200</v>
      </c>
      <c r="B2689" t="s">
        <v>4019</v>
      </c>
      <c r="C2689" t="s">
        <v>201</v>
      </c>
      <c r="D2689" t="str">
        <f>HYPERLINK("http://service.sap.com/sap/support/notes/1750729","1750729")</f>
        <v>1750729</v>
      </c>
      <c r="E2689">
        <v>1</v>
      </c>
      <c r="F2689" t="s">
        <v>4045</v>
      </c>
    </row>
    <row r="2690" spans="1:6" x14ac:dyDescent="0.25">
      <c r="A2690" t="s">
        <v>4200</v>
      </c>
      <c r="B2690" t="s">
        <v>4019</v>
      </c>
      <c r="C2690" t="s">
        <v>201</v>
      </c>
      <c r="D2690" t="str">
        <f>HYPERLINK("http://service.sap.com/sap/support/notes/1751026","1751026")</f>
        <v>1751026</v>
      </c>
      <c r="E2690">
        <v>1</v>
      </c>
      <c r="F2690" t="s">
        <v>4046</v>
      </c>
    </row>
    <row r="2691" spans="1:6" x14ac:dyDescent="0.25">
      <c r="A2691" t="s">
        <v>4200</v>
      </c>
      <c r="B2691" t="s">
        <v>4019</v>
      </c>
      <c r="C2691" t="s">
        <v>201</v>
      </c>
      <c r="D2691" t="str">
        <f>HYPERLINK("http://service.sap.com/sap/support/notes/1754100","1754100")</f>
        <v>1754100</v>
      </c>
      <c r="E2691">
        <v>9</v>
      </c>
      <c r="F2691" t="s">
        <v>4047</v>
      </c>
    </row>
    <row r="2692" spans="1:6" x14ac:dyDescent="0.25">
      <c r="A2692" t="s">
        <v>4200</v>
      </c>
      <c r="B2692" t="s">
        <v>4019</v>
      </c>
      <c r="C2692" t="s">
        <v>201</v>
      </c>
      <c r="D2692" t="str">
        <f>HYPERLINK("http://service.sap.com/sap/support/notes/1760099","1760099")</f>
        <v>1760099</v>
      </c>
      <c r="E2692">
        <v>2</v>
      </c>
      <c r="F2692" t="s">
        <v>4024</v>
      </c>
    </row>
    <row r="2693" spans="1:6" x14ac:dyDescent="0.25">
      <c r="A2693" t="s">
        <v>4200</v>
      </c>
      <c r="B2693" t="s">
        <v>4048</v>
      </c>
      <c r="C2693" t="s">
        <v>4049</v>
      </c>
      <c r="D2693" t="str">
        <f>HYPERLINK("http://service.sap.com/sap/support/notes/1683781","1683781")</f>
        <v>1683781</v>
      </c>
      <c r="E2693">
        <v>1</v>
      </c>
      <c r="F2693" t="s">
        <v>4050</v>
      </c>
    </row>
    <row r="2694" spans="1:6" x14ac:dyDescent="0.25">
      <c r="A2694" t="s">
        <v>4200</v>
      </c>
      <c r="B2694" t="s">
        <v>4048</v>
      </c>
      <c r="C2694" t="s">
        <v>4049</v>
      </c>
      <c r="D2694" t="str">
        <f>HYPERLINK("http://service.sap.com/sap/support/notes/1746514","1746514")</f>
        <v>1746514</v>
      </c>
      <c r="E2694">
        <v>1</v>
      </c>
      <c r="F2694" t="s">
        <v>4051</v>
      </c>
    </row>
    <row r="2695" spans="1:6" x14ac:dyDescent="0.25">
      <c r="A2695" t="s">
        <v>4200</v>
      </c>
      <c r="B2695" t="s">
        <v>4048</v>
      </c>
      <c r="C2695" t="s">
        <v>4049</v>
      </c>
      <c r="D2695" t="str">
        <f>HYPERLINK("http://service.sap.com/sap/support/notes/1765514","1765514")</f>
        <v>1765514</v>
      </c>
      <c r="E2695">
        <v>1</v>
      </c>
      <c r="F2695" t="s">
        <v>4052</v>
      </c>
    </row>
    <row r="2696" spans="1:6" x14ac:dyDescent="0.25">
      <c r="A2696" t="s">
        <v>4200</v>
      </c>
      <c r="B2696" t="s">
        <v>4053</v>
      </c>
      <c r="C2696" t="s">
        <v>4054</v>
      </c>
      <c r="D2696" t="str">
        <f>HYPERLINK("http://service.sap.com/sap/support/notes/1743312","1743312")</f>
        <v>1743312</v>
      </c>
      <c r="E2696">
        <v>2</v>
      </c>
      <c r="F2696" t="s">
        <v>4055</v>
      </c>
    </row>
    <row r="2697" spans="1:6" x14ac:dyDescent="0.25">
      <c r="A2697" t="s">
        <v>4200</v>
      </c>
      <c r="B2697" t="s">
        <v>4053</v>
      </c>
      <c r="C2697" t="s">
        <v>4054</v>
      </c>
      <c r="D2697" t="str">
        <f>HYPERLINK("http://service.sap.com/sap/support/notes/1755156","1755156")</f>
        <v>1755156</v>
      </c>
      <c r="E2697">
        <v>3</v>
      </c>
      <c r="F2697" t="s">
        <v>4056</v>
      </c>
    </row>
    <row r="2698" spans="1:6" x14ac:dyDescent="0.25">
      <c r="A2698" t="s">
        <v>4200</v>
      </c>
      <c r="B2698" t="s">
        <v>4053</v>
      </c>
      <c r="C2698" t="s">
        <v>4054</v>
      </c>
      <c r="D2698" t="str">
        <f>HYPERLINK("http://service.sap.com/sap/support/notes/1759263","1759263")</f>
        <v>1759263</v>
      </c>
      <c r="E2698">
        <v>2</v>
      </c>
      <c r="F2698" t="s">
        <v>4057</v>
      </c>
    </row>
    <row r="2699" spans="1:6" x14ac:dyDescent="0.25">
      <c r="A2699" t="s">
        <v>4200</v>
      </c>
      <c r="B2699" t="s">
        <v>4053</v>
      </c>
      <c r="C2699" t="s">
        <v>4054</v>
      </c>
      <c r="D2699" t="str">
        <f>HYPERLINK("http://service.sap.com/sap/support/notes/1759757","1759757")</f>
        <v>1759757</v>
      </c>
      <c r="E2699">
        <v>1</v>
      </c>
      <c r="F2699" t="s">
        <v>4058</v>
      </c>
    </row>
    <row r="2700" spans="1:6" x14ac:dyDescent="0.25">
      <c r="A2700" t="s">
        <v>4200</v>
      </c>
      <c r="B2700" t="s">
        <v>4053</v>
      </c>
      <c r="C2700" t="s">
        <v>4054</v>
      </c>
      <c r="D2700" t="str">
        <f>HYPERLINK("http://service.sap.com/sap/support/notes/1766946","1766946")</f>
        <v>1766946</v>
      </c>
      <c r="E2700">
        <v>1</v>
      </c>
      <c r="F2700" t="s">
        <v>4059</v>
      </c>
    </row>
    <row r="2701" spans="1:6" x14ac:dyDescent="0.25">
      <c r="A2701" t="s">
        <v>4200</v>
      </c>
      <c r="B2701" t="s">
        <v>4060</v>
      </c>
      <c r="C2701" t="s">
        <v>198</v>
      </c>
      <c r="D2701" t="str">
        <f>HYPERLINK("http://service.sap.com/sap/support/notes/1702681","1702681")</f>
        <v>1702681</v>
      </c>
      <c r="E2701">
        <v>6</v>
      </c>
      <c r="F2701" t="s">
        <v>4061</v>
      </c>
    </row>
    <row r="2702" spans="1:6" x14ac:dyDescent="0.25">
      <c r="A2702" t="s">
        <v>4200</v>
      </c>
      <c r="B2702" t="s">
        <v>4060</v>
      </c>
      <c r="C2702" t="s">
        <v>198</v>
      </c>
      <c r="D2702" t="str">
        <f>HYPERLINK("http://service.sap.com/sap/support/notes/1712030","1712030")</f>
        <v>1712030</v>
      </c>
      <c r="E2702">
        <v>3</v>
      </c>
      <c r="F2702" t="s">
        <v>4062</v>
      </c>
    </row>
    <row r="2703" spans="1:6" x14ac:dyDescent="0.25">
      <c r="A2703" t="s">
        <v>4200</v>
      </c>
      <c r="B2703" t="s">
        <v>4060</v>
      </c>
      <c r="C2703" t="s">
        <v>198</v>
      </c>
      <c r="D2703" t="str">
        <f>HYPERLINK("http://service.sap.com/sap/support/notes/1714752","1714752")</f>
        <v>1714752</v>
      </c>
      <c r="E2703">
        <v>6</v>
      </c>
      <c r="F2703" t="s">
        <v>4063</v>
      </c>
    </row>
    <row r="2704" spans="1:6" x14ac:dyDescent="0.25">
      <c r="A2704" t="s">
        <v>4200</v>
      </c>
      <c r="B2704" t="s">
        <v>4060</v>
      </c>
      <c r="C2704" t="s">
        <v>198</v>
      </c>
      <c r="D2704" t="str">
        <f>HYPERLINK("http://service.sap.com/sap/support/notes/1718634","1718634")</f>
        <v>1718634</v>
      </c>
      <c r="E2704">
        <v>3</v>
      </c>
      <c r="F2704" t="s">
        <v>4064</v>
      </c>
    </row>
    <row r="2705" spans="1:6" x14ac:dyDescent="0.25">
      <c r="A2705" t="s">
        <v>4200</v>
      </c>
      <c r="B2705" t="s">
        <v>4060</v>
      </c>
      <c r="C2705" t="s">
        <v>198</v>
      </c>
      <c r="D2705" t="str">
        <f>HYPERLINK("http://service.sap.com/sap/support/notes/1720615","1720615")</f>
        <v>1720615</v>
      </c>
      <c r="E2705">
        <v>3</v>
      </c>
      <c r="F2705" t="s">
        <v>4065</v>
      </c>
    </row>
    <row r="2706" spans="1:6" x14ac:dyDescent="0.25">
      <c r="A2706" t="s">
        <v>4200</v>
      </c>
      <c r="B2706" t="s">
        <v>4060</v>
      </c>
      <c r="C2706" t="s">
        <v>198</v>
      </c>
      <c r="D2706" t="str">
        <f>HYPERLINK("http://service.sap.com/sap/support/notes/1722296","1722296")</f>
        <v>1722296</v>
      </c>
      <c r="E2706">
        <v>3</v>
      </c>
      <c r="F2706" t="s">
        <v>4066</v>
      </c>
    </row>
    <row r="2707" spans="1:6" x14ac:dyDescent="0.25">
      <c r="A2707" t="s">
        <v>4200</v>
      </c>
      <c r="B2707" t="s">
        <v>4060</v>
      </c>
      <c r="C2707" t="s">
        <v>198</v>
      </c>
      <c r="D2707" t="str">
        <f>HYPERLINK("http://service.sap.com/sap/support/notes/1726004","1726004")</f>
        <v>1726004</v>
      </c>
      <c r="E2707">
        <v>2</v>
      </c>
      <c r="F2707" t="s">
        <v>4067</v>
      </c>
    </row>
    <row r="2708" spans="1:6" x14ac:dyDescent="0.25">
      <c r="A2708" t="s">
        <v>4200</v>
      </c>
      <c r="B2708" t="s">
        <v>4060</v>
      </c>
      <c r="C2708" t="s">
        <v>198</v>
      </c>
      <c r="D2708" t="str">
        <f>HYPERLINK("http://service.sap.com/sap/support/notes/1726349","1726349")</f>
        <v>1726349</v>
      </c>
      <c r="E2708">
        <v>3</v>
      </c>
      <c r="F2708" t="s">
        <v>4068</v>
      </c>
    </row>
    <row r="2709" spans="1:6" x14ac:dyDescent="0.25">
      <c r="A2709" t="s">
        <v>4200</v>
      </c>
      <c r="B2709" t="s">
        <v>4060</v>
      </c>
      <c r="C2709" t="s">
        <v>198</v>
      </c>
      <c r="D2709" t="str">
        <f>HYPERLINK("http://service.sap.com/sap/support/notes/1726918","1726918")</f>
        <v>1726918</v>
      </c>
      <c r="E2709">
        <v>1</v>
      </c>
      <c r="F2709" t="s">
        <v>4069</v>
      </c>
    </row>
    <row r="2710" spans="1:6" x14ac:dyDescent="0.25">
      <c r="A2710" t="s">
        <v>4200</v>
      </c>
      <c r="B2710" t="s">
        <v>4060</v>
      </c>
      <c r="C2710" t="s">
        <v>198</v>
      </c>
      <c r="D2710" t="str">
        <f>HYPERLINK("http://service.sap.com/sap/support/notes/1727382","1727382")</f>
        <v>1727382</v>
      </c>
      <c r="E2710">
        <v>1</v>
      </c>
      <c r="F2710" t="s">
        <v>4070</v>
      </c>
    </row>
    <row r="2711" spans="1:6" x14ac:dyDescent="0.25">
      <c r="A2711" t="s">
        <v>4200</v>
      </c>
      <c r="B2711" t="s">
        <v>4060</v>
      </c>
      <c r="C2711" t="s">
        <v>198</v>
      </c>
      <c r="D2711" t="str">
        <f>HYPERLINK("http://service.sap.com/sap/support/notes/1727578","1727578")</f>
        <v>1727578</v>
      </c>
      <c r="E2711">
        <v>2</v>
      </c>
      <c r="F2711" t="s">
        <v>4071</v>
      </c>
    </row>
    <row r="2712" spans="1:6" x14ac:dyDescent="0.25">
      <c r="A2712" t="s">
        <v>4200</v>
      </c>
      <c r="B2712" t="s">
        <v>4060</v>
      </c>
      <c r="C2712" t="s">
        <v>198</v>
      </c>
      <c r="D2712" t="str">
        <f>HYPERLINK("http://service.sap.com/sap/support/notes/1727605","1727605")</f>
        <v>1727605</v>
      </c>
      <c r="E2712">
        <v>2</v>
      </c>
      <c r="F2712" t="s">
        <v>4072</v>
      </c>
    </row>
    <row r="2713" spans="1:6" x14ac:dyDescent="0.25">
      <c r="A2713" t="s">
        <v>4200</v>
      </c>
      <c r="B2713" t="s">
        <v>4060</v>
      </c>
      <c r="C2713" t="s">
        <v>198</v>
      </c>
      <c r="D2713" t="str">
        <f>HYPERLINK("http://service.sap.com/sap/support/notes/1728231","1728231")</f>
        <v>1728231</v>
      </c>
      <c r="E2713">
        <v>2</v>
      </c>
      <c r="F2713" t="s">
        <v>4073</v>
      </c>
    </row>
    <row r="2714" spans="1:6" x14ac:dyDescent="0.25">
      <c r="A2714" t="s">
        <v>4200</v>
      </c>
      <c r="B2714" t="s">
        <v>4060</v>
      </c>
      <c r="C2714" t="s">
        <v>198</v>
      </c>
      <c r="D2714" t="str">
        <f>HYPERLINK("http://service.sap.com/sap/support/notes/1729604","1729604")</f>
        <v>1729604</v>
      </c>
      <c r="E2714">
        <v>6</v>
      </c>
      <c r="F2714" t="s">
        <v>4074</v>
      </c>
    </row>
    <row r="2715" spans="1:6" x14ac:dyDescent="0.25">
      <c r="A2715" t="s">
        <v>4200</v>
      </c>
      <c r="B2715" t="s">
        <v>4060</v>
      </c>
      <c r="C2715" t="s">
        <v>198</v>
      </c>
      <c r="D2715" t="str">
        <f>HYPERLINK("http://service.sap.com/sap/support/notes/1729605","1729605")</f>
        <v>1729605</v>
      </c>
      <c r="E2715">
        <v>2</v>
      </c>
      <c r="F2715" t="s">
        <v>4075</v>
      </c>
    </row>
    <row r="2716" spans="1:6" x14ac:dyDescent="0.25">
      <c r="A2716" t="s">
        <v>4200</v>
      </c>
      <c r="B2716" t="s">
        <v>4060</v>
      </c>
      <c r="C2716" t="s">
        <v>198</v>
      </c>
      <c r="D2716" t="str">
        <f>HYPERLINK("http://service.sap.com/sap/support/notes/1730682","1730682")</f>
        <v>1730682</v>
      </c>
      <c r="E2716">
        <v>1</v>
      </c>
      <c r="F2716" t="s">
        <v>4076</v>
      </c>
    </row>
    <row r="2717" spans="1:6" x14ac:dyDescent="0.25">
      <c r="A2717" t="s">
        <v>4200</v>
      </c>
      <c r="B2717" t="s">
        <v>4060</v>
      </c>
      <c r="C2717" t="s">
        <v>198</v>
      </c>
      <c r="D2717" t="str">
        <f>HYPERLINK("http://service.sap.com/sap/support/notes/1731117","1731117")</f>
        <v>1731117</v>
      </c>
      <c r="E2717">
        <v>1</v>
      </c>
      <c r="F2717" t="s">
        <v>4077</v>
      </c>
    </row>
    <row r="2718" spans="1:6" x14ac:dyDescent="0.25">
      <c r="A2718" t="s">
        <v>4200</v>
      </c>
      <c r="B2718" t="s">
        <v>4060</v>
      </c>
      <c r="C2718" t="s">
        <v>198</v>
      </c>
      <c r="D2718" t="str">
        <f>HYPERLINK("http://service.sap.com/sap/support/notes/1731431","1731431")</f>
        <v>1731431</v>
      </c>
      <c r="E2718">
        <v>3</v>
      </c>
      <c r="F2718" t="s">
        <v>4078</v>
      </c>
    </row>
    <row r="2719" spans="1:6" x14ac:dyDescent="0.25">
      <c r="A2719" t="s">
        <v>4200</v>
      </c>
      <c r="B2719" t="s">
        <v>4060</v>
      </c>
      <c r="C2719" t="s">
        <v>198</v>
      </c>
      <c r="D2719" t="str">
        <f>HYPERLINK("http://service.sap.com/sap/support/notes/1732062","1732062")</f>
        <v>1732062</v>
      </c>
      <c r="E2719">
        <v>7</v>
      </c>
      <c r="F2719" t="s">
        <v>4079</v>
      </c>
    </row>
    <row r="2720" spans="1:6" x14ac:dyDescent="0.25">
      <c r="A2720" t="s">
        <v>4200</v>
      </c>
      <c r="B2720" t="s">
        <v>4060</v>
      </c>
      <c r="C2720" t="s">
        <v>198</v>
      </c>
      <c r="D2720" t="str">
        <f>HYPERLINK("http://service.sap.com/sap/support/notes/1732273","1732273")</f>
        <v>1732273</v>
      </c>
      <c r="E2720">
        <v>1</v>
      </c>
      <c r="F2720" t="s">
        <v>4080</v>
      </c>
    </row>
    <row r="2721" spans="1:6" x14ac:dyDescent="0.25">
      <c r="A2721" t="s">
        <v>4200</v>
      </c>
      <c r="B2721" t="s">
        <v>4060</v>
      </c>
      <c r="C2721" t="s">
        <v>198</v>
      </c>
      <c r="D2721" t="str">
        <f>HYPERLINK("http://service.sap.com/sap/support/notes/1732482","1732482")</f>
        <v>1732482</v>
      </c>
      <c r="E2721">
        <v>2</v>
      </c>
      <c r="F2721" t="s">
        <v>4081</v>
      </c>
    </row>
    <row r="2722" spans="1:6" x14ac:dyDescent="0.25">
      <c r="A2722" t="s">
        <v>4200</v>
      </c>
      <c r="B2722" t="s">
        <v>4060</v>
      </c>
      <c r="C2722" t="s">
        <v>198</v>
      </c>
      <c r="D2722" t="str">
        <f>HYPERLINK("http://service.sap.com/sap/support/notes/1732484","1732484")</f>
        <v>1732484</v>
      </c>
      <c r="E2722">
        <v>5</v>
      </c>
      <c r="F2722" t="s">
        <v>4082</v>
      </c>
    </row>
    <row r="2723" spans="1:6" x14ac:dyDescent="0.25">
      <c r="A2723" t="s">
        <v>4200</v>
      </c>
      <c r="B2723" t="s">
        <v>4060</v>
      </c>
      <c r="C2723" t="s">
        <v>198</v>
      </c>
      <c r="D2723" t="str">
        <f>HYPERLINK("http://service.sap.com/sap/support/notes/1733508","1733508")</f>
        <v>1733508</v>
      </c>
      <c r="E2723">
        <v>1</v>
      </c>
      <c r="F2723" t="s">
        <v>4083</v>
      </c>
    </row>
    <row r="2724" spans="1:6" x14ac:dyDescent="0.25">
      <c r="A2724" t="s">
        <v>4200</v>
      </c>
      <c r="B2724" t="s">
        <v>4060</v>
      </c>
      <c r="C2724" t="s">
        <v>198</v>
      </c>
      <c r="D2724" t="str">
        <f>HYPERLINK("http://service.sap.com/sap/support/notes/1734525","1734525")</f>
        <v>1734525</v>
      </c>
      <c r="E2724">
        <v>1</v>
      </c>
      <c r="F2724" t="s">
        <v>4084</v>
      </c>
    </row>
    <row r="2725" spans="1:6" x14ac:dyDescent="0.25">
      <c r="A2725" t="s">
        <v>4200</v>
      </c>
      <c r="B2725" t="s">
        <v>4060</v>
      </c>
      <c r="C2725" t="s">
        <v>198</v>
      </c>
      <c r="D2725" t="str">
        <f>HYPERLINK("http://service.sap.com/sap/support/notes/1734773","1734773")</f>
        <v>1734773</v>
      </c>
      <c r="E2725">
        <v>3</v>
      </c>
      <c r="F2725" t="s">
        <v>4085</v>
      </c>
    </row>
    <row r="2726" spans="1:6" x14ac:dyDescent="0.25">
      <c r="A2726" t="s">
        <v>4200</v>
      </c>
      <c r="B2726" t="s">
        <v>4060</v>
      </c>
      <c r="C2726" t="s">
        <v>198</v>
      </c>
      <c r="D2726" t="str">
        <f>HYPERLINK("http://service.sap.com/sap/support/notes/1737001","1737001")</f>
        <v>1737001</v>
      </c>
      <c r="E2726">
        <v>1</v>
      </c>
      <c r="F2726" t="s">
        <v>4086</v>
      </c>
    </row>
    <row r="2727" spans="1:6" x14ac:dyDescent="0.25">
      <c r="A2727" t="s">
        <v>4200</v>
      </c>
      <c r="B2727" t="s">
        <v>4060</v>
      </c>
      <c r="C2727" t="s">
        <v>198</v>
      </c>
      <c r="D2727" t="str">
        <f>HYPERLINK("http://service.sap.com/sap/support/notes/1738060","1738060")</f>
        <v>1738060</v>
      </c>
      <c r="E2727">
        <v>4</v>
      </c>
      <c r="F2727" t="s">
        <v>4087</v>
      </c>
    </row>
    <row r="2728" spans="1:6" x14ac:dyDescent="0.25">
      <c r="A2728" t="s">
        <v>4200</v>
      </c>
      <c r="B2728" t="s">
        <v>4060</v>
      </c>
      <c r="C2728" t="s">
        <v>198</v>
      </c>
      <c r="D2728" t="str">
        <f>HYPERLINK("http://service.sap.com/sap/support/notes/1738109","1738109")</f>
        <v>1738109</v>
      </c>
      <c r="E2728">
        <v>2</v>
      </c>
      <c r="F2728" t="s">
        <v>4088</v>
      </c>
    </row>
    <row r="2729" spans="1:6" x14ac:dyDescent="0.25">
      <c r="A2729" t="s">
        <v>4200</v>
      </c>
      <c r="B2729" t="s">
        <v>4060</v>
      </c>
      <c r="C2729" t="s">
        <v>198</v>
      </c>
      <c r="D2729" t="str">
        <f>HYPERLINK("http://service.sap.com/sap/support/notes/1738968","1738968")</f>
        <v>1738968</v>
      </c>
      <c r="E2729">
        <v>2</v>
      </c>
      <c r="F2729" t="s">
        <v>4089</v>
      </c>
    </row>
    <row r="2730" spans="1:6" x14ac:dyDescent="0.25">
      <c r="A2730" t="s">
        <v>4200</v>
      </c>
      <c r="B2730" t="s">
        <v>4060</v>
      </c>
      <c r="C2730" t="s">
        <v>198</v>
      </c>
      <c r="D2730" t="str">
        <f>HYPERLINK("http://service.sap.com/sap/support/notes/1739184","1739184")</f>
        <v>1739184</v>
      </c>
      <c r="E2730">
        <v>1</v>
      </c>
      <c r="F2730" t="s">
        <v>4090</v>
      </c>
    </row>
    <row r="2731" spans="1:6" x14ac:dyDescent="0.25">
      <c r="A2731" t="s">
        <v>4200</v>
      </c>
      <c r="B2731" t="s">
        <v>4060</v>
      </c>
      <c r="C2731" t="s">
        <v>198</v>
      </c>
      <c r="D2731" t="str">
        <f>HYPERLINK("http://service.sap.com/sap/support/notes/1739523","1739523")</f>
        <v>1739523</v>
      </c>
      <c r="E2731">
        <v>1</v>
      </c>
      <c r="F2731" t="s">
        <v>4091</v>
      </c>
    </row>
    <row r="2732" spans="1:6" x14ac:dyDescent="0.25">
      <c r="A2732" t="s">
        <v>4200</v>
      </c>
      <c r="B2732" t="s">
        <v>4060</v>
      </c>
      <c r="C2732" t="s">
        <v>198</v>
      </c>
      <c r="D2732" t="str">
        <f>HYPERLINK("http://service.sap.com/sap/support/notes/1739894","1739894")</f>
        <v>1739894</v>
      </c>
      <c r="E2732">
        <v>1</v>
      </c>
      <c r="F2732" t="s">
        <v>4092</v>
      </c>
    </row>
    <row r="2733" spans="1:6" x14ac:dyDescent="0.25">
      <c r="A2733" t="s">
        <v>4200</v>
      </c>
      <c r="B2733" t="s">
        <v>4060</v>
      </c>
      <c r="C2733" t="s">
        <v>198</v>
      </c>
      <c r="D2733" t="str">
        <f>HYPERLINK("http://service.sap.com/sap/support/notes/1740628","1740628")</f>
        <v>1740628</v>
      </c>
      <c r="E2733">
        <v>2</v>
      </c>
      <c r="F2733" t="s">
        <v>4093</v>
      </c>
    </row>
    <row r="2734" spans="1:6" x14ac:dyDescent="0.25">
      <c r="A2734" t="s">
        <v>4200</v>
      </c>
      <c r="B2734" t="s">
        <v>4060</v>
      </c>
      <c r="C2734" t="s">
        <v>198</v>
      </c>
      <c r="D2734" t="str">
        <f>HYPERLINK("http://service.sap.com/sap/support/notes/1741101","1741101")</f>
        <v>1741101</v>
      </c>
      <c r="E2734">
        <v>2</v>
      </c>
      <c r="F2734" t="s">
        <v>4094</v>
      </c>
    </row>
    <row r="2735" spans="1:6" x14ac:dyDescent="0.25">
      <c r="A2735" t="s">
        <v>4200</v>
      </c>
      <c r="B2735" t="s">
        <v>4060</v>
      </c>
      <c r="C2735" t="s">
        <v>198</v>
      </c>
      <c r="D2735" t="str">
        <f>HYPERLINK("http://service.sap.com/sap/support/notes/1741203","1741203")</f>
        <v>1741203</v>
      </c>
      <c r="E2735">
        <v>2</v>
      </c>
      <c r="F2735" t="s">
        <v>4095</v>
      </c>
    </row>
    <row r="2736" spans="1:6" x14ac:dyDescent="0.25">
      <c r="A2736" t="s">
        <v>4200</v>
      </c>
      <c r="B2736" t="s">
        <v>4060</v>
      </c>
      <c r="C2736" t="s">
        <v>198</v>
      </c>
      <c r="D2736" t="str">
        <f>HYPERLINK("http://service.sap.com/sap/support/notes/1741389","1741389")</f>
        <v>1741389</v>
      </c>
      <c r="E2736">
        <v>2</v>
      </c>
      <c r="F2736" t="s">
        <v>4096</v>
      </c>
    </row>
    <row r="2737" spans="1:6" x14ac:dyDescent="0.25">
      <c r="A2737" t="s">
        <v>4200</v>
      </c>
      <c r="B2737" t="s">
        <v>4060</v>
      </c>
      <c r="C2737" t="s">
        <v>198</v>
      </c>
      <c r="D2737" t="str">
        <f>HYPERLINK("http://service.sap.com/sap/support/notes/1742386","1742386")</f>
        <v>1742386</v>
      </c>
      <c r="E2737">
        <v>2</v>
      </c>
      <c r="F2737" t="s">
        <v>4097</v>
      </c>
    </row>
    <row r="2738" spans="1:6" x14ac:dyDescent="0.25">
      <c r="A2738" t="s">
        <v>4200</v>
      </c>
      <c r="B2738" t="s">
        <v>4060</v>
      </c>
      <c r="C2738" t="s">
        <v>198</v>
      </c>
      <c r="D2738" t="str">
        <f>HYPERLINK("http://service.sap.com/sap/support/notes/1743050","1743050")</f>
        <v>1743050</v>
      </c>
      <c r="E2738">
        <v>4</v>
      </c>
      <c r="F2738" t="s">
        <v>4098</v>
      </c>
    </row>
    <row r="2739" spans="1:6" x14ac:dyDescent="0.25">
      <c r="A2739" t="s">
        <v>4200</v>
      </c>
      <c r="B2739" t="s">
        <v>4060</v>
      </c>
      <c r="C2739" t="s">
        <v>198</v>
      </c>
      <c r="D2739" t="str">
        <f>HYPERLINK("http://service.sap.com/sap/support/notes/1743313","1743313")</f>
        <v>1743313</v>
      </c>
      <c r="E2739">
        <v>2</v>
      </c>
      <c r="F2739" t="s">
        <v>4099</v>
      </c>
    </row>
    <row r="2740" spans="1:6" x14ac:dyDescent="0.25">
      <c r="A2740" t="s">
        <v>4200</v>
      </c>
      <c r="B2740" t="s">
        <v>4060</v>
      </c>
      <c r="C2740" t="s">
        <v>198</v>
      </c>
      <c r="D2740" t="str">
        <f>HYPERLINK("http://service.sap.com/sap/support/notes/1743573","1743573")</f>
        <v>1743573</v>
      </c>
      <c r="E2740">
        <v>3</v>
      </c>
      <c r="F2740" t="s">
        <v>4100</v>
      </c>
    </row>
    <row r="2741" spans="1:6" x14ac:dyDescent="0.25">
      <c r="A2741" t="s">
        <v>4200</v>
      </c>
      <c r="B2741" t="s">
        <v>4060</v>
      </c>
      <c r="C2741" t="s">
        <v>198</v>
      </c>
      <c r="D2741" t="str">
        <f>HYPERLINK("http://service.sap.com/sap/support/notes/1743956","1743956")</f>
        <v>1743956</v>
      </c>
      <c r="E2741">
        <v>3</v>
      </c>
      <c r="F2741" t="s">
        <v>4101</v>
      </c>
    </row>
    <row r="2742" spans="1:6" x14ac:dyDescent="0.25">
      <c r="A2742" t="s">
        <v>4200</v>
      </c>
      <c r="B2742" t="s">
        <v>4060</v>
      </c>
      <c r="C2742" t="s">
        <v>198</v>
      </c>
      <c r="D2742" t="str">
        <f>HYPERLINK("http://service.sap.com/sap/support/notes/1744029","1744029")</f>
        <v>1744029</v>
      </c>
      <c r="E2742">
        <v>1</v>
      </c>
      <c r="F2742" t="s">
        <v>4102</v>
      </c>
    </row>
    <row r="2743" spans="1:6" x14ac:dyDescent="0.25">
      <c r="A2743" t="s">
        <v>4200</v>
      </c>
      <c r="B2743" t="s">
        <v>4060</v>
      </c>
      <c r="C2743" t="s">
        <v>198</v>
      </c>
      <c r="D2743" t="str">
        <f>HYPERLINK("http://service.sap.com/sap/support/notes/1744454","1744454")</f>
        <v>1744454</v>
      </c>
      <c r="E2743">
        <v>1</v>
      </c>
      <c r="F2743" t="s">
        <v>4103</v>
      </c>
    </row>
    <row r="2744" spans="1:6" x14ac:dyDescent="0.25">
      <c r="A2744" t="s">
        <v>4200</v>
      </c>
      <c r="B2744" t="s">
        <v>4060</v>
      </c>
      <c r="C2744" t="s">
        <v>198</v>
      </c>
      <c r="D2744" t="str">
        <f>HYPERLINK("http://service.sap.com/sap/support/notes/1745697","1745697")</f>
        <v>1745697</v>
      </c>
      <c r="E2744">
        <v>1</v>
      </c>
      <c r="F2744" t="s">
        <v>4104</v>
      </c>
    </row>
    <row r="2745" spans="1:6" x14ac:dyDescent="0.25">
      <c r="A2745" t="s">
        <v>4200</v>
      </c>
      <c r="B2745" t="s">
        <v>4060</v>
      </c>
      <c r="C2745" t="s">
        <v>198</v>
      </c>
      <c r="D2745" t="str">
        <f>HYPERLINK("http://service.sap.com/sap/support/notes/1746784","1746784")</f>
        <v>1746784</v>
      </c>
      <c r="E2745">
        <v>2</v>
      </c>
      <c r="F2745" t="s">
        <v>4105</v>
      </c>
    </row>
    <row r="2746" spans="1:6" x14ac:dyDescent="0.25">
      <c r="A2746" t="s">
        <v>4200</v>
      </c>
      <c r="B2746" t="s">
        <v>4060</v>
      </c>
      <c r="C2746" t="s">
        <v>198</v>
      </c>
      <c r="D2746" t="str">
        <f>HYPERLINK("http://service.sap.com/sap/support/notes/1747383","1747383")</f>
        <v>1747383</v>
      </c>
      <c r="E2746">
        <v>2</v>
      </c>
      <c r="F2746" t="s">
        <v>4106</v>
      </c>
    </row>
    <row r="2747" spans="1:6" x14ac:dyDescent="0.25">
      <c r="A2747" t="s">
        <v>4200</v>
      </c>
      <c r="B2747" t="s">
        <v>4060</v>
      </c>
      <c r="C2747" t="s">
        <v>198</v>
      </c>
      <c r="D2747" t="str">
        <f>HYPERLINK("http://service.sap.com/sap/support/notes/1748086","1748086")</f>
        <v>1748086</v>
      </c>
      <c r="E2747">
        <v>1</v>
      </c>
      <c r="F2747" t="s">
        <v>4107</v>
      </c>
    </row>
    <row r="2748" spans="1:6" x14ac:dyDescent="0.25">
      <c r="A2748" t="s">
        <v>4200</v>
      </c>
      <c r="B2748" t="s">
        <v>4060</v>
      </c>
      <c r="C2748" t="s">
        <v>198</v>
      </c>
      <c r="D2748" t="str">
        <f>HYPERLINK("http://service.sap.com/sap/support/notes/1748286","1748286")</f>
        <v>1748286</v>
      </c>
      <c r="E2748">
        <v>2</v>
      </c>
      <c r="F2748" t="s">
        <v>4108</v>
      </c>
    </row>
    <row r="2749" spans="1:6" x14ac:dyDescent="0.25">
      <c r="A2749" t="s">
        <v>4200</v>
      </c>
      <c r="B2749" t="s">
        <v>4060</v>
      </c>
      <c r="C2749" t="s">
        <v>198</v>
      </c>
      <c r="D2749" t="str">
        <f>HYPERLINK("http://service.sap.com/sap/support/notes/1748341","1748341")</f>
        <v>1748341</v>
      </c>
      <c r="E2749">
        <v>1</v>
      </c>
      <c r="F2749" t="s">
        <v>4109</v>
      </c>
    </row>
    <row r="2750" spans="1:6" x14ac:dyDescent="0.25">
      <c r="A2750" t="s">
        <v>4200</v>
      </c>
      <c r="B2750" t="s">
        <v>4060</v>
      </c>
      <c r="C2750" t="s">
        <v>198</v>
      </c>
      <c r="D2750" t="str">
        <f>HYPERLINK("http://service.sap.com/sap/support/notes/1748826","1748826")</f>
        <v>1748826</v>
      </c>
      <c r="E2750">
        <v>1</v>
      </c>
      <c r="F2750" t="s">
        <v>4110</v>
      </c>
    </row>
    <row r="2751" spans="1:6" x14ac:dyDescent="0.25">
      <c r="A2751" t="s">
        <v>4200</v>
      </c>
      <c r="B2751" t="s">
        <v>4060</v>
      </c>
      <c r="C2751" t="s">
        <v>198</v>
      </c>
      <c r="D2751" t="str">
        <f>HYPERLINK("http://service.sap.com/sap/support/notes/1748865","1748865")</f>
        <v>1748865</v>
      </c>
      <c r="E2751">
        <v>2</v>
      </c>
      <c r="F2751" t="s">
        <v>4111</v>
      </c>
    </row>
    <row r="2752" spans="1:6" x14ac:dyDescent="0.25">
      <c r="A2752" t="s">
        <v>4200</v>
      </c>
      <c r="B2752" t="s">
        <v>4060</v>
      </c>
      <c r="C2752" t="s">
        <v>198</v>
      </c>
      <c r="D2752" t="str">
        <f>HYPERLINK("http://service.sap.com/sap/support/notes/1749243","1749243")</f>
        <v>1749243</v>
      </c>
      <c r="E2752">
        <v>1</v>
      </c>
      <c r="F2752" t="s">
        <v>4085</v>
      </c>
    </row>
    <row r="2753" spans="1:6" x14ac:dyDescent="0.25">
      <c r="A2753" t="s">
        <v>4200</v>
      </c>
      <c r="B2753" t="s">
        <v>4060</v>
      </c>
      <c r="C2753" t="s">
        <v>198</v>
      </c>
      <c r="D2753" t="str">
        <f>HYPERLINK("http://service.sap.com/sap/support/notes/1749649","1749649")</f>
        <v>1749649</v>
      </c>
      <c r="E2753">
        <v>1</v>
      </c>
      <c r="F2753" t="s">
        <v>4112</v>
      </c>
    </row>
    <row r="2754" spans="1:6" x14ac:dyDescent="0.25">
      <c r="A2754" t="s">
        <v>4200</v>
      </c>
      <c r="B2754" t="s">
        <v>4060</v>
      </c>
      <c r="C2754" t="s">
        <v>198</v>
      </c>
      <c r="D2754" t="str">
        <f>HYPERLINK("http://service.sap.com/sap/support/notes/1749679","1749679")</f>
        <v>1749679</v>
      </c>
      <c r="E2754">
        <v>1</v>
      </c>
      <c r="F2754" t="s">
        <v>4113</v>
      </c>
    </row>
    <row r="2755" spans="1:6" x14ac:dyDescent="0.25">
      <c r="A2755" t="s">
        <v>4200</v>
      </c>
      <c r="B2755" t="s">
        <v>4060</v>
      </c>
      <c r="C2755" t="s">
        <v>198</v>
      </c>
      <c r="D2755" t="str">
        <f>HYPERLINK("http://service.sap.com/sap/support/notes/1750270","1750270")</f>
        <v>1750270</v>
      </c>
      <c r="E2755">
        <v>1</v>
      </c>
      <c r="F2755" t="s">
        <v>4114</v>
      </c>
    </row>
    <row r="2756" spans="1:6" x14ac:dyDescent="0.25">
      <c r="A2756" t="s">
        <v>4200</v>
      </c>
      <c r="B2756" t="s">
        <v>4060</v>
      </c>
      <c r="C2756" t="s">
        <v>198</v>
      </c>
      <c r="D2756" t="str">
        <f>HYPERLINK("http://service.sap.com/sap/support/notes/1750352","1750352")</f>
        <v>1750352</v>
      </c>
      <c r="E2756">
        <v>2</v>
      </c>
      <c r="F2756" t="s">
        <v>4115</v>
      </c>
    </row>
    <row r="2757" spans="1:6" x14ac:dyDescent="0.25">
      <c r="A2757" t="s">
        <v>4200</v>
      </c>
      <c r="B2757" t="s">
        <v>4060</v>
      </c>
      <c r="C2757" t="s">
        <v>198</v>
      </c>
      <c r="D2757" t="str">
        <f>HYPERLINK("http://service.sap.com/sap/support/notes/1750801","1750801")</f>
        <v>1750801</v>
      </c>
      <c r="E2757">
        <v>6</v>
      </c>
      <c r="F2757" t="s">
        <v>4116</v>
      </c>
    </row>
    <row r="2758" spans="1:6" x14ac:dyDescent="0.25">
      <c r="A2758" t="s">
        <v>4200</v>
      </c>
      <c r="B2758" t="s">
        <v>4060</v>
      </c>
      <c r="C2758" t="s">
        <v>198</v>
      </c>
      <c r="D2758" t="str">
        <f>HYPERLINK("http://service.sap.com/sap/support/notes/1751516","1751516")</f>
        <v>1751516</v>
      </c>
      <c r="E2758">
        <v>3</v>
      </c>
      <c r="F2758" t="s">
        <v>4117</v>
      </c>
    </row>
    <row r="2759" spans="1:6" x14ac:dyDescent="0.25">
      <c r="A2759" t="s">
        <v>4200</v>
      </c>
      <c r="B2759" t="s">
        <v>4060</v>
      </c>
      <c r="C2759" t="s">
        <v>198</v>
      </c>
      <c r="D2759" t="str">
        <f>HYPERLINK("http://service.sap.com/sap/support/notes/1752472","1752472")</f>
        <v>1752472</v>
      </c>
      <c r="E2759">
        <v>3</v>
      </c>
      <c r="F2759" t="s">
        <v>4118</v>
      </c>
    </row>
    <row r="2760" spans="1:6" x14ac:dyDescent="0.25">
      <c r="A2760" t="s">
        <v>4200</v>
      </c>
      <c r="B2760" t="s">
        <v>4060</v>
      </c>
      <c r="C2760" t="s">
        <v>198</v>
      </c>
      <c r="D2760" t="str">
        <f>HYPERLINK("http://service.sap.com/sap/support/notes/1752629","1752629")</f>
        <v>1752629</v>
      </c>
      <c r="E2760">
        <v>3</v>
      </c>
      <c r="F2760" t="s">
        <v>4119</v>
      </c>
    </row>
    <row r="2761" spans="1:6" x14ac:dyDescent="0.25">
      <c r="A2761" t="s">
        <v>4200</v>
      </c>
      <c r="B2761" t="s">
        <v>4060</v>
      </c>
      <c r="C2761" t="s">
        <v>198</v>
      </c>
      <c r="D2761" t="str">
        <f>HYPERLINK("http://service.sap.com/sap/support/notes/1752643","1752643")</f>
        <v>1752643</v>
      </c>
      <c r="E2761">
        <v>2</v>
      </c>
      <c r="F2761" t="s">
        <v>4120</v>
      </c>
    </row>
    <row r="2762" spans="1:6" x14ac:dyDescent="0.25">
      <c r="A2762" t="s">
        <v>4200</v>
      </c>
      <c r="B2762" t="s">
        <v>4060</v>
      </c>
      <c r="C2762" t="s">
        <v>198</v>
      </c>
      <c r="D2762" t="str">
        <f>HYPERLINK("http://service.sap.com/sap/support/notes/1753154","1753154")</f>
        <v>1753154</v>
      </c>
      <c r="E2762">
        <v>9</v>
      </c>
      <c r="F2762" t="s">
        <v>4121</v>
      </c>
    </row>
    <row r="2763" spans="1:6" x14ac:dyDescent="0.25">
      <c r="A2763" t="s">
        <v>4200</v>
      </c>
      <c r="B2763" t="s">
        <v>4060</v>
      </c>
      <c r="C2763" t="s">
        <v>198</v>
      </c>
      <c r="D2763" t="str">
        <f>HYPERLINK("http://service.sap.com/sap/support/notes/1753162","1753162")</f>
        <v>1753162</v>
      </c>
      <c r="E2763">
        <v>3</v>
      </c>
      <c r="F2763" t="s">
        <v>4122</v>
      </c>
    </row>
    <row r="2764" spans="1:6" x14ac:dyDescent="0.25">
      <c r="A2764" t="s">
        <v>4200</v>
      </c>
      <c r="B2764" t="s">
        <v>4060</v>
      </c>
      <c r="C2764" t="s">
        <v>198</v>
      </c>
      <c r="D2764" t="str">
        <f>HYPERLINK("http://service.sap.com/sap/support/notes/1756355","1756355")</f>
        <v>1756355</v>
      </c>
      <c r="E2764">
        <v>2</v>
      </c>
      <c r="F2764" t="s">
        <v>4123</v>
      </c>
    </row>
    <row r="2765" spans="1:6" x14ac:dyDescent="0.25">
      <c r="A2765" t="s">
        <v>4200</v>
      </c>
      <c r="B2765" t="s">
        <v>4060</v>
      </c>
      <c r="C2765" t="s">
        <v>198</v>
      </c>
      <c r="D2765" t="str">
        <f>HYPERLINK("http://service.sap.com/sap/support/notes/1756415","1756415")</f>
        <v>1756415</v>
      </c>
      <c r="E2765">
        <v>1</v>
      </c>
      <c r="F2765" t="s">
        <v>4124</v>
      </c>
    </row>
    <row r="2766" spans="1:6" x14ac:dyDescent="0.25">
      <c r="A2766" t="s">
        <v>4200</v>
      </c>
      <c r="B2766" t="s">
        <v>4060</v>
      </c>
      <c r="C2766" t="s">
        <v>198</v>
      </c>
      <c r="D2766" t="str">
        <f>HYPERLINK("http://service.sap.com/sap/support/notes/1757128","1757128")</f>
        <v>1757128</v>
      </c>
      <c r="E2766">
        <v>1</v>
      </c>
      <c r="F2766" t="s">
        <v>4125</v>
      </c>
    </row>
    <row r="2767" spans="1:6" x14ac:dyDescent="0.25">
      <c r="A2767" t="s">
        <v>4200</v>
      </c>
      <c r="B2767" t="s">
        <v>4060</v>
      </c>
      <c r="C2767" t="s">
        <v>198</v>
      </c>
      <c r="D2767" t="str">
        <f>HYPERLINK("http://service.sap.com/sap/support/notes/1757376","1757376")</f>
        <v>1757376</v>
      </c>
      <c r="E2767">
        <v>2</v>
      </c>
      <c r="F2767" t="s">
        <v>4126</v>
      </c>
    </row>
    <row r="2768" spans="1:6" x14ac:dyDescent="0.25">
      <c r="A2768" t="s">
        <v>4200</v>
      </c>
      <c r="B2768" t="s">
        <v>4060</v>
      </c>
      <c r="C2768" t="s">
        <v>198</v>
      </c>
      <c r="D2768" t="str">
        <f>HYPERLINK("http://service.sap.com/sap/support/notes/1757424","1757424")</f>
        <v>1757424</v>
      </c>
      <c r="E2768">
        <v>2</v>
      </c>
      <c r="F2768" t="s">
        <v>4127</v>
      </c>
    </row>
    <row r="2769" spans="1:6" x14ac:dyDescent="0.25">
      <c r="A2769" t="s">
        <v>4200</v>
      </c>
      <c r="B2769" t="s">
        <v>4060</v>
      </c>
      <c r="C2769" t="s">
        <v>198</v>
      </c>
      <c r="D2769" t="str">
        <f>HYPERLINK("http://service.sap.com/sap/support/notes/1758072","1758072")</f>
        <v>1758072</v>
      </c>
      <c r="E2769">
        <v>2</v>
      </c>
      <c r="F2769" t="s">
        <v>4128</v>
      </c>
    </row>
    <row r="2770" spans="1:6" x14ac:dyDescent="0.25">
      <c r="A2770" t="s">
        <v>4200</v>
      </c>
      <c r="B2770" t="s">
        <v>4060</v>
      </c>
      <c r="C2770" t="s">
        <v>198</v>
      </c>
      <c r="D2770" t="str">
        <f>HYPERLINK("http://service.sap.com/sap/support/notes/1758087","1758087")</f>
        <v>1758087</v>
      </c>
      <c r="E2770">
        <v>1</v>
      </c>
      <c r="F2770" t="s">
        <v>4129</v>
      </c>
    </row>
    <row r="2771" spans="1:6" x14ac:dyDescent="0.25">
      <c r="A2771" t="s">
        <v>4200</v>
      </c>
      <c r="B2771" t="s">
        <v>4060</v>
      </c>
      <c r="C2771" t="s">
        <v>198</v>
      </c>
      <c r="D2771" t="str">
        <f>HYPERLINK("http://service.sap.com/sap/support/notes/1758469","1758469")</f>
        <v>1758469</v>
      </c>
      <c r="E2771">
        <v>1</v>
      </c>
      <c r="F2771" t="s">
        <v>4130</v>
      </c>
    </row>
    <row r="2772" spans="1:6" x14ac:dyDescent="0.25">
      <c r="A2772" t="s">
        <v>4200</v>
      </c>
      <c r="B2772" t="s">
        <v>4060</v>
      </c>
      <c r="C2772" t="s">
        <v>198</v>
      </c>
      <c r="D2772" t="str">
        <f>HYPERLINK("http://service.sap.com/sap/support/notes/1758662","1758662")</f>
        <v>1758662</v>
      </c>
      <c r="E2772">
        <v>1</v>
      </c>
      <c r="F2772" t="s">
        <v>4131</v>
      </c>
    </row>
    <row r="2773" spans="1:6" x14ac:dyDescent="0.25">
      <c r="A2773" t="s">
        <v>4200</v>
      </c>
      <c r="B2773" t="s">
        <v>4060</v>
      </c>
      <c r="C2773" t="s">
        <v>198</v>
      </c>
      <c r="D2773" t="str">
        <f>HYPERLINK("http://service.sap.com/sap/support/notes/1758924","1758924")</f>
        <v>1758924</v>
      </c>
      <c r="E2773">
        <v>5</v>
      </c>
      <c r="F2773" t="s">
        <v>4132</v>
      </c>
    </row>
    <row r="2774" spans="1:6" x14ac:dyDescent="0.25">
      <c r="A2774" t="s">
        <v>4200</v>
      </c>
      <c r="B2774" t="s">
        <v>4060</v>
      </c>
      <c r="C2774" t="s">
        <v>198</v>
      </c>
      <c r="D2774" t="str">
        <f>HYPERLINK("http://service.sap.com/sap/support/notes/1760596","1760596")</f>
        <v>1760596</v>
      </c>
      <c r="E2774">
        <v>3</v>
      </c>
      <c r="F2774" t="s">
        <v>4133</v>
      </c>
    </row>
    <row r="2775" spans="1:6" x14ac:dyDescent="0.25">
      <c r="A2775" t="s">
        <v>4200</v>
      </c>
      <c r="B2775" t="s">
        <v>4060</v>
      </c>
      <c r="C2775" t="s">
        <v>198</v>
      </c>
      <c r="D2775" t="str">
        <f>HYPERLINK("http://service.sap.com/sap/support/notes/1761164","1761164")</f>
        <v>1761164</v>
      </c>
      <c r="E2775">
        <v>1</v>
      </c>
      <c r="F2775" t="s">
        <v>4134</v>
      </c>
    </row>
    <row r="2776" spans="1:6" x14ac:dyDescent="0.25">
      <c r="A2776" t="s">
        <v>4200</v>
      </c>
      <c r="B2776" t="s">
        <v>4060</v>
      </c>
      <c r="C2776" t="s">
        <v>198</v>
      </c>
      <c r="D2776" t="str">
        <f>HYPERLINK("http://service.sap.com/sap/support/notes/1761213","1761213")</f>
        <v>1761213</v>
      </c>
      <c r="E2776">
        <v>1</v>
      </c>
      <c r="F2776" t="s">
        <v>4135</v>
      </c>
    </row>
    <row r="2777" spans="1:6" x14ac:dyDescent="0.25">
      <c r="A2777" t="s">
        <v>4200</v>
      </c>
      <c r="B2777" t="s">
        <v>4060</v>
      </c>
      <c r="C2777" t="s">
        <v>198</v>
      </c>
      <c r="D2777" t="str">
        <f>HYPERLINK("http://service.sap.com/sap/support/notes/1762000","1762000")</f>
        <v>1762000</v>
      </c>
      <c r="E2777">
        <v>5</v>
      </c>
      <c r="F2777" t="s">
        <v>4136</v>
      </c>
    </row>
    <row r="2778" spans="1:6" x14ac:dyDescent="0.25">
      <c r="A2778" t="s">
        <v>4200</v>
      </c>
      <c r="B2778" t="s">
        <v>4060</v>
      </c>
      <c r="C2778" t="s">
        <v>198</v>
      </c>
      <c r="D2778" t="str">
        <f>HYPERLINK("http://service.sap.com/sap/support/notes/1763960","1763960")</f>
        <v>1763960</v>
      </c>
      <c r="E2778">
        <v>1</v>
      </c>
      <c r="F2778" t="s">
        <v>4137</v>
      </c>
    </row>
    <row r="2779" spans="1:6" x14ac:dyDescent="0.25">
      <c r="A2779" t="s">
        <v>4200</v>
      </c>
      <c r="B2779" t="s">
        <v>4060</v>
      </c>
      <c r="C2779" t="s">
        <v>198</v>
      </c>
      <c r="D2779" t="str">
        <f>HYPERLINK("http://service.sap.com/sap/support/notes/1764491","1764491")</f>
        <v>1764491</v>
      </c>
      <c r="E2779">
        <v>9</v>
      </c>
      <c r="F2779" t="s">
        <v>4138</v>
      </c>
    </row>
    <row r="2780" spans="1:6" x14ac:dyDescent="0.25">
      <c r="A2780" t="s">
        <v>4200</v>
      </c>
      <c r="B2780" t="s">
        <v>4060</v>
      </c>
      <c r="C2780" t="s">
        <v>198</v>
      </c>
      <c r="D2780" t="str">
        <f>HYPERLINK("http://service.sap.com/sap/support/notes/1765892","1765892")</f>
        <v>1765892</v>
      </c>
      <c r="E2780">
        <v>1</v>
      </c>
      <c r="F2780" t="s">
        <v>4139</v>
      </c>
    </row>
    <row r="2781" spans="1:6" x14ac:dyDescent="0.25">
      <c r="A2781" t="s">
        <v>4200</v>
      </c>
      <c r="B2781" t="s">
        <v>4060</v>
      </c>
      <c r="C2781" t="s">
        <v>198</v>
      </c>
      <c r="D2781" t="str">
        <f>HYPERLINK("http://service.sap.com/sap/support/notes/1766623","1766623")</f>
        <v>1766623</v>
      </c>
      <c r="E2781">
        <v>1</v>
      </c>
      <c r="F2781" t="s">
        <v>4140</v>
      </c>
    </row>
    <row r="2782" spans="1:6" x14ac:dyDescent="0.25">
      <c r="A2782" t="s">
        <v>4200</v>
      </c>
      <c r="B2782" t="s">
        <v>4060</v>
      </c>
      <c r="C2782" t="s">
        <v>198</v>
      </c>
      <c r="D2782" t="str">
        <f>HYPERLINK("http://service.sap.com/sap/support/notes/1768703","1768703")</f>
        <v>1768703</v>
      </c>
      <c r="E2782">
        <v>1</v>
      </c>
      <c r="F2782" t="s">
        <v>4141</v>
      </c>
    </row>
    <row r="2783" spans="1:6" x14ac:dyDescent="0.25">
      <c r="A2783" t="s">
        <v>4200</v>
      </c>
      <c r="B2783" t="s">
        <v>4142</v>
      </c>
      <c r="C2783" t="s">
        <v>2999</v>
      </c>
      <c r="D2783" t="str">
        <f>HYPERLINK("http://service.sap.com/sap/support/notes/1703869","1703869")</f>
        <v>1703869</v>
      </c>
      <c r="E2783">
        <v>2</v>
      </c>
      <c r="F2783" t="s">
        <v>4143</v>
      </c>
    </row>
    <row r="2784" spans="1:6" x14ac:dyDescent="0.25">
      <c r="A2784" t="s">
        <v>4200</v>
      </c>
      <c r="B2784" t="s">
        <v>4142</v>
      </c>
      <c r="C2784" t="s">
        <v>2999</v>
      </c>
      <c r="D2784" t="str">
        <f>HYPERLINK("http://service.sap.com/sap/support/notes/1712007","1712007")</f>
        <v>1712007</v>
      </c>
      <c r="E2784">
        <v>7</v>
      </c>
      <c r="F2784" t="s">
        <v>4144</v>
      </c>
    </row>
    <row r="2785" spans="1:6" x14ac:dyDescent="0.25">
      <c r="A2785" t="s">
        <v>4200</v>
      </c>
      <c r="B2785" t="s">
        <v>4142</v>
      </c>
      <c r="C2785" t="s">
        <v>2999</v>
      </c>
      <c r="D2785" t="str">
        <f>HYPERLINK("http://service.sap.com/sap/support/notes/1735109","1735109")</f>
        <v>1735109</v>
      </c>
      <c r="E2785">
        <v>2</v>
      </c>
      <c r="F2785" t="s">
        <v>4145</v>
      </c>
    </row>
    <row r="2786" spans="1:6" x14ac:dyDescent="0.25">
      <c r="A2786" t="s">
        <v>4200</v>
      </c>
      <c r="B2786" t="s">
        <v>4142</v>
      </c>
      <c r="C2786" t="s">
        <v>2999</v>
      </c>
      <c r="D2786" t="str">
        <f>HYPERLINK("http://service.sap.com/sap/support/notes/1738264","1738264")</f>
        <v>1738264</v>
      </c>
      <c r="E2786">
        <v>1</v>
      </c>
      <c r="F2786" t="s">
        <v>4146</v>
      </c>
    </row>
    <row r="2787" spans="1:6" x14ac:dyDescent="0.25">
      <c r="A2787" t="s">
        <v>4200</v>
      </c>
      <c r="B2787" t="s">
        <v>4147</v>
      </c>
      <c r="C2787" t="s">
        <v>4148</v>
      </c>
      <c r="D2787" t="str">
        <f>HYPERLINK("http://service.sap.com/sap/support/notes/1727809","1727809")</f>
        <v>1727809</v>
      </c>
      <c r="E2787">
        <v>1</v>
      </c>
      <c r="F2787" t="s">
        <v>4149</v>
      </c>
    </row>
    <row r="2788" spans="1:6" x14ac:dyDescent="0.25">
      <c r="A2788" t="s">
        <v>4200</v>
      </c>
      <c r="B2788" t="s">
        <v>4150</v>
      </c>
      <c r="C2788" t="s">
        <v>4151</v>
      </c>
    </row>
    <row r="2789" spans="1:6" x14ac:dyDescent="0.25">
      <c r="A2789" t="s">
        <v>4200</v>
      </c>
      <c r="B2789" t="s">
        <v>4152</v>
      </c>
      <c r="C2789" t="s">
        <v>198</v>
      </c>
      <c r="D2789" t="str">
        <f>HYPERLINK("http://service.sap.com/sap/support/notes/1745442","1745442")</f>
        <v>1745442</v>
      </c>
      <c r="E2789">
        <v>3</v>
      </c>
      <c r="F2789" t="s">
        <v>4153</v>
      </c>
    </row>
    <row r="2790" spans="1:6" x14ac:dyDescent="0.25">
      <c r="A2790" t="s">
        <v>4200</v>
      </c>
      <c r="B2790" t="s">
        <v>4154</v>
      </c>
      <c r="C2790" t="s">
        <v>4155</v>
      </c>
    </row>
    <row r="2791" spans="1:6" x14ac:dyDescent="0.25">
      <c r="A2791" t="s">
        <v>4200</v>
      </c>
      <c r="B2791" t="s">
        <v>4156</v>
      </c>
      <c r="C2791" t="s">
        <v>4157</v>
      </c>
      <c r="D2791" t="str">
        <f>HYPERLINK("http://service.sap.com/sap/support/notes/1735661","1735661")</f>
        <v>1735661</v>
      </c>
      <c r="E2791">
        <v>1</v>
      </c>
      <c r="F2791" t="s">
        <v>4158</v>
      </c>
    </row>
    <row r="2792" spans="1:6" x14ac:dyDescent="0.25">
      <c r="A2792" t="s">
        <v>4200</v>
      </c>
      <c r="B2792" t="s">
        <v>4159</v>
      </c>
      <c r="C2792" t="s">
        <v>4160</v>
      </c>
      <c r="D2792" t="str">
        <f>HYPERLINK("http://service.sap.com/sap/support/notes/1722456","1722456")</f>
        <v>1722456</v>
      </c>
      <c r="E2792">
        <v>4</v>
      </c>
      <c r="F2792" t="s">
        <v>4161</v>
      </c>
    </row>
    <row r="2793" spans="1:6" x14ac:dyDescent="0.25">
      <c r="A2793" t="s">
        <v>4200</v>
      </c>
      <c r="B2793" t="s">
        <v>4159</v>
      </c>
      <c r="C2793" t="s">
        <v>4160</v>
      </c>
      <c r="D2793" t="str">
        <f>HYPERLINK("http://service.sap.com/sap/support/notes/1726487","1726487")</f>
        <v>1726487</v>
      </c>
      <c r="E2793">
        <v>3</v>
      </c>
      <c r="F2793" t="s">
        <v>4162</v>
      </c>
    </row>
    <row r="2794" spans="1:6" x14ac:dyDescent="0.25">
      <c r="A2794" t="s">
        <v>4200</v>
      </c>
      <c r="B2794" t="s">
        <v>4163</v>
      </c>
      <c r="C2794" t="s">
        <v>4164</v>
      </c>
      <c r="D2794" t="str">
        <f>HYPERLINK("http://service.sap.com/sap/support/notes/1682081","1682081")</f>
        <v>1682081</v>
      </c>
      <c r="E2794">
        <v>2</v>
      </c>
      <c r="F2794" t="s">
        <v>4165</v>
      </c>
    </row>
    <row r="2795" spans="1:6" x14ac:dyDescent="0.25">
      <c r="A2795" t="s">
        <v>4200</v>
      </c>
      <c r="B2795" t="s">
        <v>4163</v>
      </c>
      <c r="C2795" t="s">
        <v>4164</v>
      </c>
      <c r="D2795" t="str">
        <f>HYPERLINK("http://service.sap.com/sap/support/notes/1703104","1703104")</f>
        <v>1703104</v>
      </c>
      <c r="E2795">
        <v>3</v>
      </c>
      <c r="F2795" t="s">
        <v>4166</v>
      </c>
    </row>
    <row r="2796" spans="1:6" x14ac:dyDescent="0.25">
      <c r="A2796" t="s">
        <v>4200</v>
      </c>
      <c r="B2796" t="s">
        <v>4167</v>
      </c>
      <c r="C2796" t="s">
        <v>4168</v>
      </c>
    </row>
    <row r="2797" spans="1:6" x14ac:dyDescent="0.25">
      <c r="A2797" t="s">
        <v>4200</v>
      </c>
      <c r="B2797" t="s">
        <v>4169</v>
      </c>
      <c r="C2797" t="s">
        <v>198</v>
      </c>
      <c r="D2797" t="str">
        <f>HYPERLINK("http://service.sap.com/sap/support/notes/1727290","1727290")</f>
        <v>1727290</v>
      </c>
      <c r="E2797">
        <v>1</v>
      </c>
      <c r="F2797" t="s">
        <v>4170</v>
      </c>
    </row>
    <row r="2798" spans="1:6" x14ac:dyDescent="0.25">
      <c r="A2798" t="s">
        <v>4200</v>
      </c>
      <c r="B2798" t="s">
        <v>4171</v>
      </c>
      <c r="C2798" t="s">
        <v>4172</v>
      </c>
      <c r="D2798" t="str">
        <f>HYPERLINK("http://service.sap.com/sap/support/notes/1734436","1734436")</f>
        <v>1734436</v>
      </c>
      <c r="E2798">
        <v>2</v>
      </c>
      <c r="F2798" t="s">
        <v>4173</v>
      </c>
    </row>
    <row r="2799" spans="1:6" x14ac:dyDescent="0.25">
      <c r="A2799" t="s">
        <v>4200</v>
      </c>
      <c r="B2799" t="s">
        <v>4171</v>
      </c>
      <c r="C2799" t="s">
        <v>4172</v>
      </c>
      <c r="D2799" t="str">
        <f>HYPERLINK("http://service.sap.com/sap/support/notes/1746854","1746854")</f>
        <v>1746854</v>
      </c>
      <c r="E2799">
        <v>2</v>
      </c>
      <c r="F2799" t="s">
        <v>4174</v>
      </c>
    </row>
    <row r="2800" spans="1:6" x14ac:dyDescent="0.25">
      <c r="A2800" t="s">
        <v>4200</v>
      </c>
      <c r="B2800" t="s">
        <v>4175</v>
      </c>
      <c r="C2800" t="s">
        <v>4176</v>
      </c>
    </row>
    <row r="2801" spans="1:6" x14ac:dyDescent="0.25">
      <c r="A2801" t="s">
        <v>4200</v>
      </c>
      <c r="B2801" t="s">
        <v>4177</v>
      </c>
      <c r="C2801" t="s">
        <v>4178</v>
      </c>
      <c r="D2801" t="str">
        <f>HYPERLINK("http://service.sap.com/sap/support/notes/1715637","1715637")</f>
        <v>1715637</v>
      </c>
      <c r="E2801">
        <v>6</v>
      </c>
      <c r="F2801" t="s">
        <v>4179</v>
      </c>
    </row>
    <row r="2802" spans="1:6" x14ac:dyDescent="0.25">
      <c r="A2802" t="s">
        <v>4200</v>
      </c>
      <c r="B2802" t="s">
        <v>4177</v>
      </c>
      <c r="C2802" t="s">
        <v>4178</v>
      </c>
      <c r="D2802" t="str">
        <f>HYPERLINK("http://service.sap.com/sap/support/notes/1720410","1720410")</f>
        <v>1720410</v>
      </c>
      <c r="E2802">
        <v>1</v>
      </c>
      <c r="F2802" t="s">
        <v>4180</v>
      </c>
    </row>
    <row r="2803" spans="1:6" x14ac:dyDescent="0.25">
      <c r="A2803" t="s">
        <v>4200</v>
      </c>
      <c r="B2803" t="s">
        <v>4177</v>
      </c>
      <c r="C2803" t="s">
        <v>4178</v>
      </c>
      <c r="D2803" t="str">
        <f>HYPERLINK("http://service.sap.com/sap/support/notes/1729829","1729829")</f>
        <v>1729829</v>
      </c>
      <c r="E2803">
        <v>2</v>
      </c>
      <c r="F2803" t="s">
        <v>4181</v>
      </c>
    </row>
    <row r="2804" spans="1:6" x14ac:dyDescent="0.25">
      <c r="A2804" t="s">
        <v>4200</v>
      </c>
      <c r="B2804" t="s">
        <v>4177</v>
      </c>
      <c r="C2804" t="s">
        <v>4178</v>
      </c>
      <c r="D2804" t="str">
        <f>HYPERLINK("http://service.sap.com/sap/support/notes/1730416","1730416")</f>
        <v>1730416</v>
      </c>
      <c r="E2804">
        <v>1</v>
      </c>
      <c r="F2804" t="s">
        <v>4182</v>
      </c>
    </row>
    <row r="2805" spans="1:6" x14ac:dyDescent="0.25">
      <c r="A2805" t="s">
        <v>4200</v>
      </c>
      <c r="B2805" t="s">
        <v>4177</v>
      </c>
      <c r="C2805" t="s">
        <v>4178</v>
      </c>
      <c r="D2805" t="str">
        <f>HYPERLINK("http://service.sap.com/sap/support/notes/1738657","1738657")</f>
        <v>1738657</v>
      </c>
      <c r="E2805">
        <v>1</v>
      </c>
      <c r="F2805" t="s">
        <v>4183</v>
      </c>
    </row>
    <row r="2806" spans="1:6" x14ac:dyDescent="0.25">
      <c r="A2806" t="s">
        <v>4200</v>
      </c>
      <c r="B2806" t="s">
        <v>72</v>
      </c>
      <c r="C2806" t="s">
        <v>73</v>
      </c>
    </row>
    <row r="2807" spans="1:6" x14ac:dyDescent="0.25">
      <c r="A2807" t="s">
        <v>4200</v>
      </c>
      <c r="B2807" t="s">
        <v>4184</v>
      </c>
      <c r="C2807" t="s">
        <v>4185</v>
      </c>
      <c r="D2807" t="str">
        <f>HYPERLINK("http://service.sap.com/sap/support/notes/1588490","1588490")</f>
        <v>1588490</v>
      </c>
      <c r="E2807">
        <v>2</v>
      </c>
      <c r="F2807" t="s">
        <v>4186</v>
      </c>
    </row>
    <row r="2808" spans="1:6" x14ac:dyDescent="0.25">
      <c r="A2808" t="s">
        <v>4200</v>
      </c>
      <c r="B2808" t="s">
        <v>4187</v>
      </c>
      <c r="C2808" t="s">
        <v>4188</v>
      </c>
    </row>
    <row r="2809" spans="1:6" x14ac:dyDescent="0.25">
      <c r="A2809" t="s">
        <v>4200</v>
      </c>
      <c r="B2809" t="s">
        <v>4189</v>
      </c>
      <c r="C2809" t="s">
        <v>4190</v>
      </c>
      <c r="D2809" t="str">
        <f>HYPERLINK("http://service.sap.com/sap/support/notes/1598380","1598380")</f>
        <v>1598380</v>
      </c>
      <c r="E2809">
        <v>4</v>
      </c>
      <c r="F2809" t="s">
        <v>4191</v>
      </c>
    </row>
    <row r="2810" spans="1:6" x14ac:dyDescent="0.25">
      <c r="A2810" t="s">
        <v>4200</v>
      </c>
      <c r="B2810" t="s">
        <v>4189</v>
      </c>
      <c r="C2810" t="s">
        <v>4190</v>
      </c>
      <c r="D2810" t="str">
        <f>HYPERLINK("http://service.sap.com/sap/support/notes/1690737","1690737")</f>
        <v>1690737</v>
      </c>
      <c r="E2810">
        <v>4</v>
      </c>
      <c r="F2810" t="s">
        <v>4192</v>
      </c>
    </row>
    <row r="2811" spans="1:6" x14ac:dyDescent="0.25">
      <c r="A2811" t="s">
        <v>4200</v>
      </c>
      <c r="B2811" t="s">
        <v>4189</v>
      </c>
      <c r="C2811" t="s">
        <v>4190</v>
      </c>
      <c r="D2811" t="str">
        <f>HYPERLINK("http://service.sap.com/sap/support/notes/1695325","1695325")</f>
        <v>1695325</v>
      </c>
      <c r="E2811">
        <v>3</v>
      </c>
      <c r="F2811" t="s">
        <v>4193</v>
      </c>
    </row>
    <row r="2812" spans="1:6" x14ac:dyDescent="0.25">
      <c r="A2812" t="s">
        <v>4200</v>
      </c>
      <c r="B2812" t="s">
        <v>4189</v>
      </c>
      <c r="C2812" t="s">
        <v>4190</v>
      </c>
      <c r="D2812" t="str">
        <f>HYPERLINK("http://service.sap.com/sap/support/notes/1696494","1696494")</f>
        <v>1696494</v>
      </c>
      <c r="E2812">
        <v>6</v>
      </c>
      <c r="F2812" t="s">
        <v>4194</v>
      </c>
    </row>
    <row r="2813" spans="1:6" x14ac:dyDescent="0.25">
      <c r="A2813" t="s">
        <v>4200</v>
      </c>
      <c r="B2813" t="s">
        <v>4195</v>
      </c>
      <c r="C2813" t="s">
        <v>4196</v>
      </c>
    </row>
    <row r="2814" spans="1:6" x14ac:dyDescent="0.25">
      <c r="A2814" t="s">
        <v>4200</v>
      </c>
      <c r="B2814" t="s">
        <v>4197</v>
      </c>
      <c r="C2814" t="s">
        <v>4198</v>
      </c>
      <c r="D2814" t="str">
        <f>HYPERLINK("http://service.sap.com/sap/support/notes/1503118","1503118")</f>
        <v>1503118</v>
      </c>
      <c r="E2814">
        <v>2</v>
      </c>
      <c r="F2814" t="s">
        <v>4199</v>
      </c>
    </row>
    <row r="2815" spans="1:6" x14ac:dyDescent="0.25">
      <c r="A2815" t="s">
        <v>4201</v>
      </c>
      <c r="B2815" t="s">
        <v>128</v>
      </c>
      <c r="C2815" t="s">
        <v>129</v>
      </c>
    </row>
    <row r="2816" spans="1:6" x14ac:dyDescent="0.25">
      <c r="A2816" t="s">
        <v>4201</v>
      </c>
      <c r="B2816" t="s">
        <v>130</v>
      </c>
      <c r="C2816" t="s">
        <v>131</v>
      </c>
      <c r="D2816" t="str">
        <f>HYPERLINK("http://service.sap.com/sap/support/notes/1775218","1775218")</f>
        <v>1775218</v>
      </c>
      <c r="E2816">
        <v>1</v>
      </c>
      <c r="F2816" t="s">
        <v>4202</v>
      </c>
    </row>
    <row r="2817" spans="1:6" x14ac:dyDescent="0.25">
      <c r="A2817" t="s">
        <v>4201</v>
      </c>
      <c r="B2817" t="s">
        <v>139</v>
      </c>
      <c r="C2817" t="s">
        <v>140</v>
      </c>
      <c r="D2817" t="str">
        <f>HYPERLINK("http://service.sap.com/sap/support/notes/1455675","1455675")</f>
        <v>1455675</v>
      </c>
      <c r="E2817">
        <v>4</v>
      </c>
      <c r="F2817" t="s">
        <v>4203</v>
      </c>
    </row>
    <row r="2818" spans="1:6" x14ac:dyDescent="0.25">
      <c r="A2818" t="s">
        <v>4201</v>
      </c>
      <c r="B2818" t="s">
        <v>139</v>
      </c>
      <c r="C2818" t="s">
        <v>140</v>
      </c>
      <c r="D2818" t="str">
        <f>HYPERLINK("http://service.sap.com/sap/support/notes/1766035","1766035")</f>
        <v>1766035</v>
      </c>
      <c r="E2818">
        <v>3</v>
      </c>
      <c r="F2818" t="s">
        <v>4204</v>
      </c>
    </row>
    <row r="2819" spans="1:6" x14ac:dyDescent="0.25">
      <c r="A2819" t="s">
        <v>4201</v>
      </c>
      <c r="B2819" t="s">
        <v>139</v>
      </c>
      <c r="C2819" t="s">
        <v>140</v>
      </c>
      <c r="D2819" t="str">
        <f>HYPERLINK("http://service.sap.com/sap/support/notes/1786573","1786573")</f>
        <v>1786573</v>
      </c>
      <c r="E2819">
        <v>1</v>
      </c>
      <c r="F2819" t="s">
        <v>4205</v>
      </c>
    </row>
    <row r="2820" spans="1:6" x14ac:dyDescent="0.25">
      <c r="A2820" t="s">
        <v>4201</v>
      </c>
      <c r="B2820" t="s">
        <v>5</v>
      </c>
      <c r="C2820" t="s">
        <v>6</v>
      </c>
    </row>
    <row r="2821" spans="1:6" x14ac:dyDescent="0.25">
      <c r="A2821" t="s">
        <v>4201</v>
      </c>
      <c r="B2821" t="s">
        <v>7</v>
      </c>
      <c r="C2821" t="s">
        <v>148</v>
      </c>
      <c r="D2821" t="str">
        <f>HYPERLINK("http://service.sap.com/sap/support/notes/1770102","1770102")</f>
        <v>1770102</v>
      </c>
      <c r="E2821">
        <v>3</v>
      </c>
      <c r="F2821" t="s">
        <v>4206</v>
      </c>
    </row>
    <row r="2822" spans="1:6" x14ac:dyDescent="0.25">
      <c r="A2822" t="s">
        <v>4201</v>
      </c>
      <c r="B2822" t="s">
        <v>28</v>
      </c>
      <c r="C2822" t="s">
        <v>29</v>
      </c>
    </row>
    <row r="2823" spans="1:6" x14ac:dyDescent="0.25">
      <c r="A2823" t="s">
        <v>4201</v>
      </c>
      <c r="B2823" t="s">
        <v>150</v>
      </c>
      <c r="C2823" t="s">
        <v>151</v>
      </c>
    </row>
    <row r="2824" spans="1:6" x14ac:dyDescent="0.25">
      <c r="A2824" t="s">
        <v>4201</v>
      </c>
      <c r="B2824" t="s">
        <v>152</v>
      </c>
      <c r="C2824" t="s">
        <v>153</v>
      </c>
      <c r="D2824" t="str">
        <f>HYPERLINK("http://service.sap.com/sap/support/notes/1777481","1777481")</f>
        <v>1777481</v>
      </c>
      <c r="E2824">
        <v>1</v>
      </c>
      <c r="F2824" t="s">
        <v>4207</v>
      </c>
    </row>
    <row r="2825" spans="1:6" x14ac:dyDescent="0.25">
      <c r="A2825" t="s">
        <v>4201</v>
      </c>
      <c r="B2825" t="s">
        <v>152</v>
      </c>
      <c r="C2825" t="s">
        <v>153</v>
      </c>
      <c r="D2825" t="str">
        <f>HYPERLINK("http://service.sap.com/sap/support/notes/1794761","1794761")</f>
        <v>1794761</v>
      </c>
      <c r="E2825">
        <v>1</v>
      </c>
      <c r="F2825" t="s">
        <v>4208</v>
      </c>
    </row>
    <row r="2826" spans="1:6" x14ac:dyDescent="0.25">
      <c r="A2826" t="s">
        <v>4201</v>
      </c>
      <c r="B2826" t="s">
        <v>152</v>
      </c>
      <c r="C2826" t="s">
        <v>153</v>
      </c>
      <c r="D2826" t="str">
        <f>HYPERLINK("http://service.sap.com/sap/support/notes/1796933","1796933")</f>
        <v>1796933</v>
      </c>
      <c r="E2826">
        <v>1</v>
      </c>
      <c r="F2826" t="s">
        <v>4208</v>
      </c>
    </row>
    <row r="2827" spans="1:6" x14ac:dyDescent="0.25">
      <c r="A2827" t="s">
        <v>4201</v>
      </c>
      <c r="B2827" t="s">
        <v>152</v>
      </c>
      <c r="C2827" t="s">
        <v>153</v>
      </c>
      <c r="D2827" t="str">
        <f>HYPERLINK("http://service.sap.com/sap/support/notes/1796983","1796983")</f>
        <v>1796983</v>
      </c>
      <c r="E2827">
        <v>1</v>
      </c>
      <c r="F2827" t="s">
        <v>4208</v>
      </c>
    </row>
    <row r="2828" spans="1:6" x14ac:dyDescent="0.25">
      <c r="A2828" t="s">
        <v>4201</v>
      </c>
      <c r="B2828" t="s">
        <v>125</v>
      </c>
      <c r="C2828" t="s">
        <v>126</v>
      </c>
    </row>
    <row r="2829" spans="1:6" x14ac:dyDescent="0.25">
      <c r="A2829" t="s">
        <v>4201</v>
      </c>
      <c r="B2829" t="s">
        <v>159</v>
      </c>
      <c r="C2829" t="s">
        <v>160</v>
      </c>
      <c r="D2829" t="str">
        <f>HYPERLINK("http://service.sap.com/sap/support/notes/1774901","1774901")</f>
        <v>1774901</v>
      </c>
      <c r="E2829">
        <v>1</v>
      </c>
      <c r="F2829" t="s">
        <v>4209</v>
      </c>
    </row>
    <row r="2830" spans="1:6" x14ac:dyDescent="0.25">
      <c r="A2830" t="s">
        <v>4201</v>
      </c>
      <c r="B2830" t="s">
        <v>159</v>
      </c>
      <c r="C2830" t="s">
        <v>160</v>
      </c>
      <c r="D2830" t="str">
        <f>HYPERLINK("http://service.sap.com/sap/support/notes/1778311","1778311")</f>
        <v>1778311</v>
      </c>
      <c r="E2830">
        <v>3</v>
      </c>
      <c r="F2830" t="s">
        <v>4210</v>
      </c>
    </row>
    <row r="2831" spans="1:6" x14ac:dyDescent="0.25">
      <c r="A2831" t="s">
        <v>4201</v>
      </c>
      <c r="B2831" t="s">
        <v>159</v>
      </c>
      <c r="C2831" t="s">
        <v>160</v>
      </c>
      <c r="D2831" t="str">
        <f>HYPERLINK("http://service.sap.com/sap/support/notes/1780588","1780588")</f>
        <v>1780588</v>
      </c>
      <c r="E2831">
        <v>2</v>
      </c>
      <c r="F2831" t="s">
        <v>4211</v>
      </c>
    </row>
    <row r="2832" spans="1:6" x14ac:dyDescent="0.25">
      <c r="A2832" t="s">
        <v>4201</v>
      </c>
      <c r="B2832" t="s">
        <v>159</v>
      </c>
      <c r="C2832" t="s">
        <v>160</v>
      </c>
      <c r="D2832" t="str">
        <f>HYPERLINK("http://service.sap.com/sap/support/notes/1795796","1795796")</f>
        <v>1795796</v>
      </c>
      <c r="E2832">
        <v>2</v>
      </c>
      <c r="F2832" t="s">
        <v>4212</v>
      </c>
    </row>
    <row r="2833" spans="1:6" x14ac:dyDescent="0.25">
      <c r="A2833" t="s">
        <v>4201</v>
      </c>
      <c r="B2833" t="s">
        <v>164</v>
      </c>
      <c r="C2833" t="s">
        <v>165</v>
      </c>
    </row>
    <row r="2834" spans="1:6" x14ac:dyDescent="0.25">
      <c r="A2834" t="s">
        <v>4201</v>
      </c>
      <c r="B2834" t="s">
        <v>166</v>
      </c>
      <c r="C2834" t="s">
        <v>167</v>
      </c>
    </row>
    <row r="2835" spans="1:6" x14ac:dyDescent="0.25">
      <c r="A2835" t="s">
        <v>4201</v>
      </c>
      <c r="B2835" t="s">
        <v>168</v>
      </c>
      <c r="C2835" t="s">
        <v>169</v>
      </c>
    </row>
    <row r="2836" spans="1:6" x14ac:dyDescent="0.25">
      <c r="A2836" t="s">
        <v>4201</v>
      </c>
      <c r="B2836" t="s">
        <v>170</v>
      </c>
      <c r="C2836" t="s">
        <v>171</v>
      </c>
      <c r="D2836" t="str">
        <f>HYPERLINK("http://service.sap.com/sap/support/notes/1774242","1774242")</f>
        <v>1774242</v>
      </c>
      <c r="E2836">
        <v>1</v>
      </c>
      <c r="F2836" t="s">
        <v>4213</v>
      </c>
    </row>
    <row r="2837" spans="1:6" x14ac:dyDescent="0.25">
      <c r="A2837" t="s">
        <v>4201</v>
      </c>
      <c r="B2837" t="s">
        <v>170</v>
      </c>
      <c r="C2837" t="s">
        <v>171</v>
      </c>
      <c r="D2837" t="str">
        <f>HYPERLINK("http://service.sap.com/sap/support/notes/1774390","1774390")</f>
        <v>1774390</v>
      </c>
      <c r="E2837">
        <v>1</v>
      </c>
      <c r="F2837" t="s">
        <v>4214</v>
      </c>
    </row>
    <row r="2838" spans="1:6" x14ac:dyDescent="0.25">
      <c r="A2838" t="s">
        <v>4201</v>
      </c>
      <c r="B2838" t="s">
        <v>170</v>
      </c>
      <c r="C2838" t="s">
        <v>171</v>
      </c>
      <c r="D2838" t="str">
        <f>HYPERLINK("http://service.sap.com/sap/support/notes/1786908","1786908")</f>
        <v>1786908</v>
      </c>
      <c r="E2838">
        <v>2</v>
      </c>
      <c r="F2838" t="s">
        <v>4215</v>
      </c>
    </row>
    <row r="2839" spans="1:6" x14ac:dyDescent="0.25">
      <c r="A2839" t="s">
        <v>4201</v>
      </c>
      <c r="B2839" t="s">
        <v>170</v>
      </c>
      <c r="C2839" t="s">
        <v>171</v>
      </c>
      <c r="D2839" t="str">
        <f>HYPERLINK("http://service.sap.com/sap/support/notes/1788540","1788540")</f>
        <v>1788540</v>
      </c>
      <c r="E2839">
        <v>3</v>
      </c>
      <c r="F2839" t="s">
        <v>4216</v>
      </c>
    </row>
    <row r="2840" spans="1:6" x14ac:dyDescent="0.25">
      <c r="A2840" t="s">
        <v>4201</v>
      </c>
      <c r="B2840" t="s">
        <v>175</v>
      </c>
      <c r="C2840" t="s">
        <v>176</v>
      </c>
    </row>
    <row r="2841" spans="1:6" x14ac:dyDescent="0.25">
      <c r="A2841" t="s">
        <v>4201</v>
      </c>
      <c r="B2841" t="s">
        <v>177</v>
      </c>
      <c r="C2841" t="s">
        <v>178</v>
      </c>
    </row>
    <row r="2842" spans="1:6" x14ac:dyDescent="0.25">
      <c r="A2842" t="s">
        <v>4201</v>
      </c>
      <c r="B2842" t="s">
        <v>182</v>
      </c>
      <c r="C2842" t="s">
        <v>183</v>
      </c>
    </row>
    <row r="2843" spans="1:6" x14ac:dyDescent="0.25">
      <c r="A2843" t="s">
        <v>4201</v>
      </c>
      <c r="B2843" t="s">
        <v>184</v>
      </c>
      <c r="C2843" t="s">
        <v>185</v>
      </c>
      <c r="D2843" t="str">
        <f>HYPERLINK("http://service.sap.com/sap/support/notes/1704784","1704784")</f>
        <v>1704784</v>
      </c>
      <c r="E2843">
        <v>1</v>
      </c>
      <c r="F2843" t="s">
        <v>4217</v>
      </c>
    </row>
    <row r="2844" spans="1:6" x14ac:dyDescent="0.25">
      <c r="A2844" t="s">
        <v>4201</v>
      </c>
      <c r="B2844" t="s">
        <v>184</v>
      </c>
      <c r="C2844" t="s">
        <v>185</v>
      </c>
      <c r="D2844" t="str">
        <f>HYPERLINK("http://service.sap.com/sap/support/notes/1773488","1773488")</f>
        <v>1773488</v>
      </c>
      <c r="E2844">
        <v>3</v>
      </c>
      <c r="F2844" t="s">
        <v>4218</v>
      </c>
    </row>
    <row r="2845" spans="1:6" x14ac:dyDescent="0.25">
      <c r="A2845" t="s">
        <v>4201</v>
      </c>
      <c r="B2845" t="s">
        <v>184</v>
      </c>
      <c r="C2845" t="s">
        <v>185</v>
      </c>
      <c r="D2845" t="str">
        <f>HYPERLINK("http://service.sap.com/sap/support/notes/1775336","1775336")</f>
        <v>1775336</v>
      </c>
      <c r="E2845">
        <v>8</v>
      </c>
      <c r="F2845" t="s">
        <v>4219</v>
      </c>
    </row>
    <row r="2846" spans="1:6" x14ac:dyDescent="0.25">
      <c r="A2846" t="s">
        <v>4201</v>
      </c>
      <c r="B2846" t="s">
        <v>184</v>
      </c>
      <c r="C2846" t="s">
        <v>185</v>
      </c>
      <c r="D2846" t="str">
        <f>HYPERLINK("http://service.sap.com/sap/support/notes/1781230","1781230")</f>
        <v>1781230</v>
      </c>
      <c r="E2846">
        <v>1</v>
      </c>
      <c r="F2846" t="s">
        <v>4220</v>
      </c>
    </row>
    <row r="2847" spans="1:6" x14ac:dyDescent="0.25">
      <c r="A2847" t="s">
        <v>4201</v>
      </c>
      <c r="B2847" t="s">
        <v>189</v>
      </c>
      <c r="C2847" t="s">
        <v>190</v>
      </c>
      <c r="D2847" t="str">
        <f>HYPERLINK("http://service.sap.com/sap/support/notes/1759235","1759235")</f>
        <v>1759235</v>
      </c>
      <c r="E2847">
        <v>2</v>
      </c>
      <c r="F2847" t="s">
        <v>4221</v>
      </c>
    </row>
    <row r="2848" spans="1:6" x14ac:dyDescent="0.25">
      <c r="A2848" t="s">
        <v>4201</v>
      </c>
      <c r="B2848" t="s">
        <v>192</v>
      </c>
      <c r="C2848" t="s">
        <v>193</v>
      </c>
      <c r="D2848" t="str">
        <f>HYPERLINK("http://service.sap.com/sap/support/notes/1750192","1750192")</f>
        <v>1750192</v>
      </c>
      <c r="E2848">
        <v>2</v>
      </c>
      <c r="F2848" t="s">
        <v>4222</v>
      </c>
    </row>
    <row r="2849" spans="1:6" x14ac:dyDescent="0.25">
      <c r="A2849" t="s">
        <v>4201</v>
      </c>
      <c r="B2849" t="s">
        <v>192</v>
      </c>
      <c r="C2849" t="s">
        <v>193</v>
      </c>
      <c r="D2849" t="str">
        <f>HYPERLINK("http://service.sap.com/sap/support/notes/1751763","1751763")</f>
        <v>1751763</v>
      </c>
      <c r="E2849">
        <v>2</v>
      </c>
      <c r="F2849" t="s">
        <v>4223</v>
      </c>
    </row>
    <row r="2850" spans="1:6" x14ac:dyDescent="0.25">
      <c r="A2850" t="s">
        <v>4201</v>
      </c>
      <c r="B2850" t="s">
        <v>192</v>
      </c>
      <c r="C2850" t="s">
        <v>193</v>
      </c>
      <c r="D2850" t="str">
        <f>HYPERLINK("http://service.sap.com/sap/support/notes/1754718","1754718")</f>
        <v>1754718</v>
      </c>
      <c r="E2850">
        <v>2</v>
      </c>
      <c r="F2850" t="s">
        <v>4224</v>
      </c>
    </row>
    <row r="2851" spans="1:6" x14ac:dyDescent="0.25">
      <c r="A2851" t="s">
        <v>4201</v>
      </c>
      <c r="B2851" t="s">
        <v>192</v>
      </c>
      <c r="C2851" t="s">
        <v>193</v>
      </c>
      <c r="D2851" t="str">
        <f>HYPERLINK("http://service.sap.com/sap/support/notes/1762182","1762182")</f>
        <v>1762182</v>
      </c>
      <c r="E2851">
        <v>4</v>
      </c>
      <c r="F2851" t="s">
        <v>4225</v>
      </c>
    </row>
    <row r="2852" spans="1:6" x14ac:dyDescent="0.25">
      <c r="A2852" t="s">
        <v>4201</v>
      </c>
      <c r="B2852" t="s">
        <v>4226</v>
      </c>
      <c r="C2852" t="s">
        <v>694</v>
      </c>
    </row>
    <row r="2853" spans="1:6" x14ac:dyDescent="0.25">
      <c r="A2853" t="s">
        <v>4201</v>
      </c>
      <c r="B2853" t="s">
        <v>4227</v>
      </c>
      <c r="C2853" t="s">
        <v>732</v>
      </c>
      <c r="D2853" t="str">
        <f>HYPERLINK("http://service.sap.com/sap/support/notes/1763404","1763404")</f>
        <v>1763404</v>
      </c>
      <c r="E2853">
        <v>1</v>
      </c>
      <c r="F2853" t="s">
        <v>4228</v>
      </c>
    </row>
    <row r="2854" spans="1:6" x14ac:dyDescent="0.25">
      <c r="A2854" t="s">
        <v>4201</v>
      </c>
      <c r="B2854" t="s">
        <v>4227</v>
      </c>
      <c r="C2854" t="s">
        <v>732</v>
      </c>
      <c r="D2854" t="str">
        <f>HYPERLINK("http://service.sap.com/sap/support/notes/1780297","1780297")</f>
        <v>1780297</v>
      </c>
      <c r="E2854">
        <v>4</v>
      </c>
      <c r="F2854" t="s">
        <v>4229</v>
      </c>
    </row>
    <row r="2855" spans="1:6" x14ac:dyDescent="0.25">
      <c r="A2855" t="s">
        <v>4201</v>
      </c>
      <c r="B2855" t="s">
        <v>197</v>
      </c>
      <c r="C2855" t="s">
        <v>198</v>
      </c>
      <c r="D2855" t="str">
        <f>HYPERLINK("http://service.sap.com/sap/support/notes/1774402","1774402")</f>
        <v>1774402</v>
      </c>
      <c r="E2855">
        <v>1</v>
      </c>
      <c r="F2855" t="s">
        <v>4230</v>
      </c>
    </row>
    <row r="2856" spans="1:6" x14ac:dyDescent="0.25">
      <c r="A2856" t="s">
        <v>4201</v>
      </c>
      <c r="B2856" t="s">
        <v>197</v>
      </c>
      <c r="C2856" t="s">
        <v>198</v>
      </c>
      <c r="D2856" t="str">
        <f>HYPERLINK("http://service.sap.com/sap/support/notes/1789642","1789642")</f>
        <v>1789642</v>
      </c>
      <c r="E2856">
        <v>2</v>
      </c>
      <c r="F2856" t="s">
        <v>4231</v>
      </c>
    </row>
    <row r="2857" spans="1:6" x14ac:dyDescent="0.25">
      <c r="A2857" t="s">
        <v>4201</v>
      </c>
      <c r="B2857" t="s">
        <v>197</v>
      </c>
      <c r="C2857" t="s">
        <v>198</v>
      </c>
      <c r="D2857" t="str">
        <f>HYPERLINK("http://service.sap.com/sap/support/notes/1790196","1790196")</f>
        <v>1790196</v>
      </c>
      <c r="E2857">
        <v>2</v>
      </c>
      <c r="F2857" t="s">
        <v>4232</v>
      </c>
    </row>
    <row r="2858" spans="1:6" x14ac:dyDescent="0.25">
      <c r="A2858" t="s">
        <v>4201</v>
      </c>
      <c r="B2858" t="s">
        <v>200</v>
      </c>
      <c r="C2858" t="s">
        <v>201</v>
      </c>
      <c r="D2858" t="str">
        <f>HYPERLINK("http://service.sap.com/sap/support/notes/1764260","1764260")</f>
        <v>1764260</v>
      </c>
      <c r="E2858">
        <v>2</v>
      </c>
      <c r="F2858" t="s">
        <v>4233</v>
      </c>
    </row>
    <row r="2859" spans="1:6" x14ac:dyDescent="0.25">
      <c r="A2859" t="s">
        <v>4201</v>
      </c>
      <c r="B2859" t="s">
        <v>206</v>
      </c>
      <c r="C2859" t="s">
        <v>207</v>
      </c>
      <c r="D2859" t="str">
        <f>HYPERLINK("http://service.sap.com/sap/support/notes/1769242","1769242")</f>
        <v>1769242</v>
      </c>
      <c r="E2859">
        <v>1</v>
      </c>
      <c r="F2859" t="s">
        <v>4234</v>
      </c>
    </row>
    <row r="2860" spans="1:6" x14ac:dyDescent="0.25">
      <c r="A2860" t="s">
        <v>4201</v>
      </c>
      <c r="B2860" t="s">
        <v>206</v>
      </c>
      <c r="C2860" t="s">
        <v>207</v>
      </c>
      <c r="D2860" t="str">
        <f>HYPERLINK("http://service.sap.com/sap/support/notes/1769332","1769332")</f>
        <v>1769332</v>
      </c>
      <c r="E2860">
        <v>2</v>
      </c>
      <c r="F2860" t="s">
        <v>4235</v>
      </c>
    </row>
    <row r="2861" spans="1:6" x14ac:dyDescent="0.25">
      <c r="A2861" t="s">
        <v>4201</v>
      </c>
      <c r="B2861" t="s">
        <v>206</v>
      </c>
      <c r="C2861" t="s">
        <v>207</v>
      </c>
      <c r="D2861" t="str">
        <f>HYPERLINK("http://service.sap.com/sap/support/notes/1773066","1773066")</f>
        <v>1773066</v>
      </c>
      <c r="E2861">
        <v>2</v>
      </c>
      <c r="F2861" t="s">
        <v>4236</v>
      </c>
    </row>
    <row r="2862" spans="1:6" x14ac:dyDescent="0.25">
      <c r="A2862" t="s">
        <v>4201</v>
      </c>
      <c r="B2862" t="s">
        <v>206</v>
      </c>
      <c r="C2862" t="s">
        <v>207</v>
      </c>
      <c r="D2862" t="str">
        <f>HYPERLINK("http://service.sap.com/sap/support/notes/1775648","1775648")</f>
        <v>1775648</v>
      </c>
      <c r="E2862">
        <v>2</v>
      </c>
      <c r="F2862" t="s">
        <v>4237</v>
      </c>
    </row>
    <row r="2863" spans="1:6" x14ac:dyDescent="0.25">
      <c r="A2863" t="s">
        <v>4201</v>
      </c>
      <c r="B2863" t="s">
        <v>206</v>
      </c>
      <c r="C2863" t="s">
        <v>207</v>
      </c>
      <c r="D2863" t="str">
        <f>HYPERLINK("http://service.sap.com/sap/support/notes/1782173","1782173")</f>
        <v>1782173</v>
      </c>
      <c r="E2863">
        <v>1</v>
      </c>
      <c r="F2863" t="s">
        <v>4238</v>
      </c>
    </row>
    <row r="2864" spans="1:6" x14ac:dyDescent="0.25">
      <c r="A2864" t="s">
        <v>4201</v>
      </c>
      <c r="B2864" t="s">
        <v>206</v>
      </c>
      <c r="C2864" t="s">
        <v>207</v>
      </c>
      <c r="D2864" t="str">
        <f>HYPERLINK("http://service.sap.com/sap/support/notes/1785665","1785665")</f>
        <v>1785665</v>
      </c>
      <c r="E2864">
        <v>1</v>
      </c>
      <c r="F2864" t="s">
        <v>4239</v>
      </c>
    </row>
    <row r="2865" spans="1:6" x14ac:dyDescent="0.25">
      <c r="A2865" t="s">
        <v>4201</v>
      </c>
      <c r="B2865" t="s">
        <v>209</v>
      </c>
      <c r="C2865" t="s">
        <v>210</v>
      </c>
    </row>
    <row r="2866" spans="1:6" x14ac:dyDescent="0.25">
      <c r="A2866" t="s">
        <v>4201</v>
      </c>
      <c r="B2866" t="s">
        <v>214</v>
      </c>
      <c r="C2866" t="s">
        <v>215</v>
      </c>
      <c r="D2866" t="str">
        <f>HYPERLINK("http://service.sap.com/sap/support/notes/1782789","1782789")</f>
        <v>1782789</v>
      </c>
    </row>
    <row r="2867" spans="1:6" x14ac:dyDescent="0.25">
      <c r="A2867" t="s">
        <v>4201</v>
      </c>
      <c r="B2867" t="s">
        <v>4240</v>
      </c>
      <c r="C2867" t="s">
        <v>62</v>
      </c>
    </row>
    <row r="2868" spans="1:6" x14ac:dyDescent="0.25">
      <c r="A2868" t="s">
        <v>4201</v>
      </c>
      <c r="B2868" t="s">
        <v>4241</v>
      </c>
      <c r="C2868" t="s">
        <v>4242</v>
      </c>
      <c r="D2868" t="str">
        <f>HYPERLINK("http://service.sap.com/sap/support/notes/1793986","1793986")</f>
        <v>1793986</v>
      </c>
      <c r="E2868">
        <v>1</v>
      </c>
      <c r="F2868" t="s">
        <v>4243</v>
      </c>
    </row>
    <row r="2869" spans="1:6" x14ac:dyDescent="0.25">
      <c r="A2869" t="s">
        <v>4201</v>
      </c>
      <c r="B2869" t="s">
        <v>217</v>
      </c>
      <c r="C2869" t="s">
        <v>218</v>
      </c>
    </row>
    <row r="2870" spans="1:6" x14ac:dyDescent="0.25">
      <c r="A2870" t="s">
        <v>4201</v>
      </c>
      <c r="B2870" t="s">
        <v>219</v>
      </c>
      <c r="C2870" t="s">
        <v>220</v>
      </c>
      <c r="D2870" t="str">
        <f>HYPERLINK("http://service.sap.com/sap/support/notes/1500247","1500247")</f>
        <v>1500247</v>
      </c>
      <c r="E2870">
        <v>3</v>
      </c>
      <c r="F2870" t="s">
        <v>4244</v>
      </c>
    </row>
    <row r="2871" spans="1:6" x14ac:dyDescent="0.25">
      <c r="A2871" t="s">
        <v>4201</v>
      </c>
      <c r="B2871" t="s">
        <v>219</v>
      </c>
      <c r="C2871" t="s">
        <v>220</v>
      </c>
      <c r="D2871" t="str">
        <f>HYPERLINK("http://service.sap.com/sap/support/notes/1558858","1558858")</f>
        <v>1558858</v>
      </c>
      <c r="E2871">
        <v>2</v>
      </c>
      <c r="F2871" t="s">
        <v>4245</v>
      </c>
    </row>
    <row r="2872" spans="1:6" x14ac:dyDescent="0.25">
      <c r="A2872" t="s">
        <v>4201</v>
      </c>
      <c r="B2872" t="s">
        <v>219</v>
      </c>
      <c r="C2872" t="s">
        <v>220</v>
      </c>
      <c r="D2872" t="str">
        <f>HYPERLINK("http://service.sap.com/sap/support/notes/1562750","1562750")</f>
        <v>1562750</v>
      </c>
      <c r="E2872">
        <v>2</v>
      </c>
      <c r="F2872" t="s">
        <v>4246</v>
      </c>
    </row>
    <row r="2873" spans="1:6" x14ac:dyDescent="0.25">
      <c r="A2873" t="s">
        <v>4201</v>
      </c>
      <c r="B2873" t="s">
        <v>219</v>
      </c>
      <c r="C2873" t="s">
        <v>220</v>
      </c>
      <c r="D2873" t="str">
        <f>HYPERLINK("http://service.sap.com/sap/support/notes/1667621","1667621")</f>
        <v>1667621</v>
      </c>
      <c r="E2873">
        <v>2</v>
      </c>
      <c r="F2873" t="s">
        <v>4247</v>
      </c>
    </row>
    <row r="2874" spans="1:6" x14ac:dyDescent="0.25">
      <c r="A2874" t="s">
        <v>4201</v>
      </c>
      <c r="B2874" t="s">
        <v>222</v>
      </c>
      <c r="C2874" t="s">
        <v>223</v>
      </c>
    </row>
    <row r="2875" spans="1:6" x14ac:dyDescent="0.25">
      <c r="A2875" t="s">
        <v>4201</v>
      </c>
      <c r="B2875" t="s">
        <v>224</v>
      </c>
      <c r="C2875" t="s">
        <v>225</v>
      </c>
      <c r="D2875" t="str">
        <f>HYPERLINK("http://service.sap.com/sap/support/notes/1756550","1756550")</f>
        <v>1756550</v>
      </c>
      <c r="E2875">
        <v>2</v>
      </c>
      <c r="F2875" t="s">
        <v>4248</v>
      </c>
    </row>
    <row r="2876" spans="1:6" x14ac:dyDescent="0.25">
      <c r="A2876" t="s">
        <v>4201</v>
      </c>
      <c r="B2876" t="s">
        <v>224</v>
      </c>
      <c r="C2876" t="s">
        <v>225</v>
      </c>
      <c r="D2876" t="str">
        <f>HYPERLINK("http://service.sap.com/sap/support/notes/1762717","1762717")</f>
        <v>1762717</v>
      </c>
      <c r="E2876">
        <v>1</v>
      </c>
      <c r="F2876" t="s">
        <v>4249</v>
      </c>
    </row>
    <row r="2877" spans="1:6" x14ac:dyDescent="0.25">
      <c r="A2877" t="s">
        <v>4201</v>
      </c>
      <c r="B2877" t="s">
        <v>232</v>
      </c>
      <c r="C2877" t="s">
        <v>233</v>
      </c>
      <c r="D2877" t="str">
        <f>HYPERLINK("http://service.sap.com/sap/support/notes/1506784","1506784")</f>
        <v>1506784</v>
      </c>
      <c r="E2877">
        <v>3</v>
      </c>
      <c r="F2877" t="s">
        <v>4250</v>
      </c>
    </row>
    <row r="2878" spans="1:6" x14ac:dyDescent="0.25">
      <c r="A2878" t="s">
        <v>4201</v>
      </c>
      <c r="B2878" t="s">
        <v>4251</v>
      </c>
      <c r="C2878" t="s">
        <v>2948</v>
      </c>
      <c r="D2878" t="str">
        <f>HYPERLINK("http://service.sap.com/sap/support/notes/1764190","1764190")</f>
        <v>1764190</v>
      </c>
      <c r="E2878">
        <v>3</v>
      </c>
      <c r="F2878" t="s">
        <v>4252</v>
      </c>
    </row>
    <row r="2879" spans="1:6" x14ac:dyDescent="0.25">
      <c r="A2879" t="s">
        <v>4201</v>
      </c>
      <c r="B2879" t="s">
        <v>248</v>
      </c>
      <c r="C2879" t="s">
        <v>249</v>
      </c>
    </row>
    <row r="2880" spans="1:6" x14ac:dyDescent="0.25">
      <c r="A2880" t="s">
        <v>4201</v>
      </c>
      <c r="B2880" t="s">
        <v>253</v>
      </c>
      <c r="C2880" t="s">
        <v>254</v>
      </c>
    </row>
    <row r="2881" spans="1:6" x14ac:dyDescent="0.25">
      <c r="A2881" t="s">
        <v>4201</v>
      </c>
      <c r="B2881" t="s">
        <v>255</v>
      </c>
      <c r="C2881" t="s">
        <v>256</v>
      </c>
      <c r="D2881" t="str">
        <f>HYPERLINK("http://service.sap.com/sap/support/notes/1778304","1778304")</f>
        <v>1778304</v>
      </c>
      <c r="E2881">
        <v>1</v>
      </c>
      <c r="F2881" t="s">
        <v>4253</v>
      </c>
    </row>
    <row r="2882" spans="1:6" x14ac:dyDescent="0.25">
      <c r="A2882" t="s">
        <v>4201</v>
      </c>
      <c r="B2882" t="s">
        <v>255</v>
      </c>
      <c r="C2882" t="s">
        <v>256</v>
      </c>
      <c r="D2882" t="str">
        <f>HYPERLINK("http://service.sap.com/sap/support/notes/1778562","1778562")</f>
        <v>1778562</v>
      </c>
      <c r="E2882">
        <v>2</v>
      </c>
      <c r="F2882" t="s">
        <v>4254</v>
      </c>
    </row>
    <row r="2883" spans="1:6" x14ac:dyDescent="0.25">
      <c r="A2883" t="s">
        <v>4201</v>
      </c>
      <c r="B2883" t="s">
        <v>258</v>
      </c>
      <c r="C2883" t="s">
        <v>259</v>
      </c>
      <c r="D2883" t="str">
        <f>HYPERLINK("http://service.sap.com/sap/support/notes/1783689","1783689")</f>
        <v>1783689</v>
      </c>
      <c r="E2883">
        <v>1</v>
      </c>
      <c r="F2883" t="s">
        <v>4255</v>
      </c>
    </row>
    <row r="2884" spans="1:6" x14ac:dyDescent="0.25">
      <c r="A2884" t="s">
        <v>4201</v>
      </c>
      <c r="B2884" t="s">
        <v>4256</v>
      </c>
      <c r="C2884" t="s">
        <v>4257</v>
      </c>
      <c r="D2884" t="str">
        <f>HYPERLINK("http://service.sap.com/sap/support/notes/1786628","1786628")</f>
        <v>1786628</v>
      </c>
      <c r="E2884">
        <v>1</v>
      </c>
      <c r="F2884" t="s">
        <v>4258</v>
      </c>
    </row>
    <row r="2885" spans="1:6" x14ac:dyDescent="0.25">
      <c r="A2885" t="s">
        <v>4201</v>
      </c>
      <c r="B2885" t="s">
        <v>264</v>
      </c>
      <c r="C2885" t="s">
        <v>265</v>
      </c>
      <c r="D2885" t="str">
        <f>HYPERLINK("http://service.sap.com/sap/support/notes/1794293","1794293")</f>
        <v>1794293</v>
      </c>
    </row>
    <row r="2886" spans="1:6" x14ac:dyDescent="0.25">
      <c r="A2886" t="s">
        <v>4201</v>
      </c>
      <c r="B2886" t="s">
        <v>267</v>
      </c>
      <c r="C2886" t="s">
        <v>268</v>
      </c>
    </row>
    <row r="2887" spans="1:6" x14ac:dyDescent="0.25">
      <c r="A2887" t="s">
        <v>4201</v>
      </c>
      <c r="B2887" t="s">
        <v>269</v>
      </c>
      <c r="C2887" t="s">
        <v>270</v>
      </c>
      <c r="D2887" t="str">
        <f>HYPERLINK("http://service.sap.com/sap/support/notes/1794062","1794062")</f>
        <v>1794062</v>
      </c>
      <c r="E2887">
        <v>2</v>
      </c>
      <c r="F2887" t="s">
        <v>4259</v>
      </c>
    </row>
    <row r="2888" spans="1:6" x14ac:dyDescent="0.25">
      <c r="A2888" t="s">
        <v>4201</v>
      </c>
      <c r="B2888" t="s">
        <v>274</v>
      </c>
      <c r="C2888" t="s">
        <v>275</v>
      </c>
      <c r="D2888" t="str">
        <f>HYPERLINK("http://service.sap.com/sap/support/notes/1758363","1758363")</f>
        <v>1758363</v>
      </c>
      <c r="E2888">
        <v>3</v>
      </c>
      <c r="F2888" t="s">
        <v>4260</v>
      </c>
    </row>
    <row r="2889" spans="1:6" x14ac:dyDescent="0.25">
      <c r="A2889" t="s">
        <v>4201</v>
      </c>
      <c r="B2889" t="s">
        <v>274</v>
      </c>
      <c r="C2889" t="s">
        <v>275</v>
      </c>
      <c r="D2889" t="str">
        <f>HYPERLINK("http://service.sap.com/sap/support/notes/1771087","1771087")</f>
        <v>1771087</v>
      </c>
      <c r="E2889">
        <v>4</v>
      </c>
      <c r="F2889" t="s">
        <v>4261</v>
      </c>
    </row>
    <row r="2890" spans="1:6" x14ac:dyDescent="0.25">
      <c r="A2890" t="s">
        <v>4201</v>
      </c>
      <c r="B2890" t="s">
        <v>274</v>
      </c>
      <c r="C2890" t="s">
        <v>275</v>
      </c>
      <c r="D2890" t="str">
        <f>HYPERLINK("http://service.sap.com/sap/support/notes/1774294","1774294")</f>
        <v>1774294</v>
      </c>
      <c r="E2890">
        <v>2</v>
      </c>
      <c r="F2890" t="s">
        <v>4262</v>
      </c>
    </row>
    <row r="2891" spans="1:6" x14ac:dyDescent="0.25">
      <c r="A2891" t="s">
        <v>4201</v>
      </c>
      <c r="B2891" t="s">
        <v>274</v>
      </c>
      <c r="C2891" t="s">
        <v>275</v>
      </c>
      <c r="D2891" t="str">
        <f>HYPERLINK("http://service.sap.com/sap/support/notes/1777674","1777674")</f>
        <v>1777674</v>
      </c>
      <c r="E2891">
        <v>1</v>
      </c>
      <c r="F2891" t="s">
        <v>4263</v>
      </c>
    </row>
    <row r="2892" spans="1:6" x14ac:dyDescent="0.25">
      <c r="A2892" t="s">
        <v>4201</v>
      </c>
      <c r="B2892" t="s">
        <v>274</v>
      </c>
      <c r="C2892" t="s">
        <v>275</v>
      </c>
      <c r="D2892" t="str">
        <f>HYPERLINK("http://service.sap.com/sap/support/notes/1778363","1778363")</f>
        <v>1778363</v>
      </c>
      <c r="E2892">
        <v>1</v>
      </c>
      <c r="F2892" t="s">
        <v>4264</v>
      </c>
    </row>
    <row r="2893" spans="1:6" x14ac:dyDescent="0.25">
      <c r="A2893" t="s">
        <v>4201</v>
      </c>
      <c r="B2893" t="s">
        <v>274</v>
      </c>
      <c r="C2893" t="s">
        <v>275</v>
      </c>
      <c r="D2893" t="str">
        <f>HYPERLINK("http://service.sap.com/sap/support/notes/1779307","1779307")</f>
        <v>1779307</v>
      </c>
      <c r="E2893">
        <v>1</v>
      </c>
      <c r="F2893" t="s">
        <v>4265</v>
      </c>
    </row>
    <row r="2894" spans="1:6" x14ac:dyDescent="0.25">
      <c r="A2894" t="s">
        <v>4201</v>
      </c>
      <c r="B2894" t="s">
        <v>274</v>
      </c>
      <c r="C2894" t="s">
        <v>275</v>
      </c>
      <c r="D2894" t="str">
        <f>HYPERLINK("http://service.sap.com/sap/support/notes/1784176","1784176")</f>
        <v>1784176</v>
      </c>
      <c r="E2894">
        <v>1</v>
      </c>
      <c r="F2894" t="s">
        <v>4266</v>
      </c>
    </row>
    <row r="2895" spans="1:6" x14ac:dyDescent="0.25">
      <c r="A2895" t="s">
        <v>4201</v>
      </c>
      <c r="B2895" t="s">
        <v>277</v>
      </c>
      <c r="C2895" t="s">
        <v>278</v>
      </c>
      <c r="D2895" t="str">
        <f>HYPERLINK("http://service.sap.com/sap/support/notes/1776662","1776662")</f>
        <v>1776662</v>
      </c>
      <c r="E2895">
        <v>1</v>
      </c>
      <c r="F2895" t="s">
        <v>4267</v>
      </c>
    </row>
    <row r="2896" spans="1:6" x14ac:dyDescent="0.25">
      <c r="A2896" t="s">
        <v>4201</v>
      </c>
      <c r="B2896" t="s">
        <v>277</v>
      </c>
      <c r="C2896" t="s">
        <v>278</v>
      </c>
      <c r="D2896" t="str">
        <f>HYPERLINK("http://service.sap.com/sap/support/notes/1782397","1782397")</f>
        <v>1782397</v>
      </c>
      <c r="E2896">
        <v>3</v>
      </c>
      <c r="F2896" t="s">
        <v>4268</v>
      </c>
    </row>
    <row r="2897" spans="1:6" x14ac:dyDescent="0.25">
      <c r="A2897" t="s">
        <v>4201</v>
      </c>
      <c r="B2897" t="s">
        <v>277</v>
      </c>
      <c r="C2897" t="s">
        <v>278</v>
      </c>
      <c r="D2897" t="str">
        <f>HYPERLINK("http://service.sap.com/sap/support/notes/1790561","1790561")</f>
        <v>1790561</v>
      </c>
      <c r="E2897">
        <v>1</v>
      </c>
      <c r="F2897" t="s">
        <v>4269</v>
      </c>
    </row>
    <row r="2898" spans="1:6" x14ac:dyDescent="0.25">
      <c r="A2898" t="s">
        <v>4201</v>
      </c>
      <c r="B2898" t="s">
        <v>277</v>
      </c>
      <c r="C2898" t="s">
        <v>278</v>
      </c>
      <c r="D2898" t="str">
        <f>HYPERLINK("http://service.sap.com/sap/support/notes/1790592","1790592")</f>
        <v>1790592</v>
      </c>
      <c r="E2898">
        <v>1</v>
      </c>
      <c r="F2898" t="s">
        <v>4269</v>
      </c>
    </row>
    <row r="2899" spans="1:6" x14ac:dyDescent="0.25">
      <c r="A2899" t="s">
        <v>4201</v>
      </c>
      <c r="B2899" t="s">
        <v>277</v>
      </c>
      <c r="C2899" t="s">
        <v>278</v>
      </c>
      <c r="D2899" t="str">
        <f>HYPERLINK("http://service.sap.com/sap/support/notes/1790692","1790692")</f>
        <v>1790692</v>
      </c>
      <c r="E2899">
        <v>1</v>
      </c>
      <c r="F2899" t="s">
        <v>4269</v>
      </c>
    </row>
    <row r="2900" spans="1:6" x14ac:dyDescent="0.25">
      <c r="A2900" t="s">
        <v>4201</v>
      </c>
      <c r="B2900" t="s">
        <v>277</v>
      </c>
      <c r="C2900" t="s">
        <v>278</v>
      </c>
      <c r="D2900" t="str">
        <f>HYPERLINK("http://service.sap.com/sap/support/notes/1790767","1790767")</f>
        <v>1790767</v>
      </c>
      <c r="E2900">
        <v>1</v>
      </c>
      <c r="F2900" t="s">
        <v>4269</v>
      </c>
    </row>
    <row r="2901" spans="1:6" x14ac:dyDescent="0.25">
      <c r="A2901" t="s">
        <v>4201</v>
      </c>
      <c r="B2901" t="s">
        <v>288</v>
      </c>
      <c r="C2901" t="s">
        <v>289</v>
      </c>
      <c r="D2901" t="str">
        <f>HYPERLINK("http://service.sap.com/sap/support/notes/1779959","1779959")</f>
        <v>1779959</v>
      </c>
      <c r="E2901">
        <v>2</v>
      </c>
      <c r="F2901" t="s">
        <v>4270</v>
      </c>
    </row>
    <row r="2902" spans="1:6" x14ac:dyDescent="0.25">
      <c r="A2902" t="s">
        <v>4201</v>
      </c>
      <c r="B2902" t="s">
        <v>288</v>
      </c>
      <c r="C2902" t="s">
        <v>289</v>
      </c>
      <c r="D2902" t="str">
        <f>HYPERLINK("http://service.sap.com/sap/support/notes/1784282","1784282")</f>
        <v>1784282</v>
      </c>
      <c r="E2902">
        <v>1</v>
      </c>
      <c r="F2902" t="s">
        <v>4271</v>
      </c>
    </row>
    <row r="2903" spans="1:6" x14ac:dyDescent="0.25">
      <c r="A2903" t="s">
        <v>4201</v>
      </c>
      <c r="B2903" t="s">
        <v>4272</v>
      </c>
      <c r="C2903" t="s">
        <v>4273</v>
      </c>
      <c r="D2903" t="str">
        <f>HYPERLINK("http://service.sap.com/sap/support/notes/1245686","1245686")</f>
        <v>1245686</v>
      </c>
      <c r="E2903">
        <v>1</v>
      </c>
      <c r="F2903" t="s">
        <v>4274</v>
      </c>
    </row>
    <row r="2904" spans="1:6" x14ac:dyDescent="0.25">
      <c r="A2904" t="s">
        <v>4201</v>
      </c>
      <c r="B2904" t="s">
        <v>293</v>
      </c>
      <c r="C2904" t="s">
        <v>294</v>
      </c>
      <c r="D2904" t="str">
        <f>HYPERLINK("http://service.sap.com/sap/support/notes/1767575","1767575")</f>
        <v>1767575</v>
      </c>
      <c r="E2904">
        <v>2</v>
      </c>
      <c r="F2904" t="s">
        <v>4275</v>
      </c>
    </row>
    <row r="2905" spans="1:6" x14ac:dyDescent="0.25">
      <c r="A2905" t="s">
        <v>4201</v>
      </c>
      <c r="B2905" t="s">
        <v>4276</v>
      </c>
      <c r="C2905" t="s">
        <v>4277</v>
      </c>
      <c r="D2905" t="str">
        <f>HYPERLINK("http://service.sap.com/sap/support/notes/1743895","1743895")</f>
        <v>1743895</v>
      </c>
      <c r="E2905">
        <v>1</v>
      </c>
      <c r="F2905" t="s">
        <v>4278</v>
      </c>
    </row>
    <row r="2906" spans="1:6" x14ac:dyDescent="0.25">
      <c r="A2906" t="s">
        <v>4201</v>
      </c>
      <c r="B2906" t="s">
        <v>297</v>
      </c>
      <c r="C2906" t="s">
        <v>298</v>
      </c>
      <c r="D2906" t="str">
        <f>HYPERLINK("http://service.sap.com/sap/support/notes/1786096","1786096")</f>
        <v>1786096</v>
      </c>
      <c r="E2906">
        <v>1</v>
      </c>
      <c r="F2906" t="s">
        <v>4279</v>
      </c>
    </row>
    <row r="2907" spans="1:6" x14ac:dyDescent="0.25">
      <c r="A2907" t="s">
        <v>4201</v>
      </c>
      <c r="B2907" t="s">
        <v>300</v>
      </c>
      <c r="C2907" t="s">
        <v>301</v>
      </c>
    </row>
    <row r="2908" spans="1:6" x14ac:dyDescent="0.25">
      <c r="A2908" t="s">
        <v>4201</v>
      </c>
      <c r="B2908" t="s">
        <v>302</v>
      </c>
      <c r="C2908" t="s">
        <v>303</v>
      </c>
    </row>
    <row r="2909" spans="1:6" x14ac:dyDescent="0.25">
      <c r="A2909" t="s">
        <v>4201</v>
      </c>
      <c r="B2909" t="s">
        <v>304</v>
      </c>
      <c r="C2909" t="s">
        <v>303</v>
      </c>
      <c r="D2909" t="str">
        <f>HYPERLINK("http://service.sap.com/sap/support/notes/1745384","1745384")</f>
        <v>1745384</v>
      </c>
      <c r="E2909">
        <v>1</v>
      </c>
      <c r="F2909" t="s">
        <v>305</v>
      </c>
    </row>
    <row r="2910" spans="1:6" x14ac:dyDescent="0.25">
      <c r="A2910" t="s">
        <v>4201</v>
      </c>
      <c r="B2910" t="s">
        <v>304</v>
      </c>
      <c r="C2910" t="s">
        <v>303</v>
      </c>
      <c r="D2910" t="str">
        <f>HYPERLINK("http://service.sap.com/sap/support/notes/1770068","1770068")</f>
        <v>1770068</v>
      </c>
      <c r="E2910">
        <v>3</v>
      </c>
      <c r="F2910" t="s">
        <v>4280</v>
      </c>
    </row>
    <row r="2911" spans="1:6" x14ac:dyDescent="0.25">
      <c r="A2911" t="s">
        <v>4201</v>
      </c>
      <c r="B2911" t="s">
        <v>304</v>
      </c>
      <c r="C2911" t="s">
        <v>303</v>
      </c>
      <c r="D2911" t="str">
        <f>HYPERLINK("http://service.sap.com/sap/support/notes/1773840","1773840")</f>
        <v>1773840</v>
      </c>
      <c r="E2911">
        <v>1</v>
      </c>
      <c r="F2911" t="s">
        <v>4281</v>
      </c>
    </row>
    <row r="2912" spans="1:6" x14ac:dyDescent="0.25">
      <c r="A2912" t="s">
        <v>4201</v>
      </c>
      <c r="B2912" t="s">
        <v>304</v>
      </c>
      <c r="C2912" t="s">
        <v>303</v>
      </c>
      <c r="D2912" t="str">
        <f>HYPERLINK("http://service.sap.com/sap/support/notes/1797000","1797000")</f>
        <v>1797000</v>
      </c>
      <c r="E2912">
        <v>2</v>
      </c>
      <c r="F2912" t="s">
        <v>4282</v>
      </c>
    </row>
    <row r="2913" spans="1:6" x14ac:dyDescent="0.25">
      <c r="A2913" t="s">
        <v>4201</v>
      </c>
      <c r="B2913" t="s">
        <v>307</v>
      </c>
      <c r="C2913" t="s">
        <v>308</v>
      </c>
    </row>
    <row r="2914" spans="1:6" x14ac:dyDescent="0.25">
      <c r="A2914" t="s">
        <v>4201</v>
      </c>
      <c r="B2914" t="s">
        <v>309</v>
      </c>
      <c r="C2914" t="s">
        <v>310</v>
      </c>
      <c r="D2914" t="str">
        <f>HYPERLINK("http://service.sap.com/sap/support/notes/1775470","1775470")</f>
        <v>1775470</v>
      </c>
      <c r="E2914">
        <v>1</v>
      </c>
      <c r="F2914" t="s">
        <v>4283</v>
      </c>
    </row>
    <row r="2915" spans="1:6" x14ac:dyDescent="0.25">
      <c r="A2915" t="s">
        <v>4201</v>
      </c>
      <c r="B2915" t="s">
        <v>312</v>
      </c>
      <c r="C2915" t="s">
        <v>313</v>
      </c>
    </row>
    <row r="2916" spans="1:6" x14ac:dyDescent="0.25">
      <c r="A2916" t="s">
        <v>4201</v>
      </c>
      <c r="B2916" t="s">
        <v>321</v>
      </c>
      <c r="C2916" t="s">
        <v>322</v>
      </c>
      <c r="D2916" t="str">
        <f>HYPERLINK("http://service.sap.com/sap/support/notes/1763808","1763808")</f>
        <v>1763808</v>
      </c>
      <c r="E2916">
        <v>2</v>
      </c>
      <c r="F2916" t="s">
        <v>4284</v>
      </c>
    </row>
    <row r="2917" spans="1:6" x14ac:dyDescent="0.25">
      <c r="A2917" t="s">
        <v>4201</v>
      </c>
      <c r="B2917" t="s">
        <v>321</v>
      </c>
      <c r="C2917" t="s">
        <v>322</v>
      </c>
      <c r="D2917" t="str">
        <f>HYPERLINK("http://service.sap.com/sap/support/notes/1772558","1772558")</f>
        <v>1772558</v>
      </c>
      <c r="E2917">
        <v>2</v>
      </c>
      <c r="F2917" t="s">
        <v>4285</v>
      </c>
    </row>
    <row r="2918" spans="1:6" x14ac:dyDescent="0.25">
      <c r="A2918" t="s">
        <v>4201</v>
      </c>
      <c r="B2918" t="s">
        <v>326</v>
      </c>
      <c r="C2918" t="s">
        <v>327</v>
      </c>
    </row>
    <row r="2919" spans="1:6" x14ac:dyDescent="0.25">
      <c r="A2919" t="s">
        <v>4201</v>
      </c>
      <c r="B2919" t="s">
        <v>328</v>
      </c>
      <c r="C2919" t="s">
        <v>329</v>
      </c>
      <c r="D2919" t="str">
        <f>HYPERLINK("http://service.sap.com/sap/support/notes/1777333","1777333")</f>
        <v>1777333</v>
      </c>
      <c r="E2919">
        <v>3</v>
      </c>
      <c r="F2919" t="s">
        <v>4286</v>
      </c>
    </row>
    <row r="2920" spans="1:6" x14ac:dyDescent="0.25">
      <c r="A2920" t="s">
        <v>4201</v>
      </c>
      <c r="B2920" t="s">
        <v>328</v>
      </c>
      <c r="C2920" t="s">
        <v>329</v>
      </c>
      <c r="D2920" t="str">
        <f>HYPERLINK("http://service.sap.com/sap/support/notes/1794257","1794257")</f>
        <v>1794257</v>
      </c>
      <c r="E2920">
        <v>2</v>
      </c>
      <c r="F2920" t="s">
        <v>4287</v>
      </c>
    </row>
    <row r="2921" spans="1:6" x14ac:dyDescent="0.25">
      <c r="A2921" t="s">
        <v>4201</v>
      </c>
      <c r="B2921" t="s">
        <v>331</v>
      </c>
      <c r="C2921" t="s">
        <v>332</v>
      </c>
      <c r="D2921" t="str">
        <f>HYPERLINK("http://service.sap.com/sap/support/notes/1773683","1773683")</f>
        <v>1773683</v>
      </c>
      <c r="E2921">
        <v>3</v>
      </c>
      <c r="F2921" t="s">
        <v>4288</v>
      </c>
    </row>
    <row r="2922" spans="1:6" x14ac:dyDescent="0.25">
      <c r="A2922" t="s">
        <v>4201</v>
      </c>
      <c r="B2922" t="s">
        <v>331</v>
      </c>
      <c r="C2922" t="s">
        <v>332</v>
      </c>
      <c r="D2922" t="str">
        <f>HYPERLINK("http://service.sap.com/sap/support/notes/1778391","1778391")</f>
        <v>1778391</v>
      </c>
      <c r="E2922">
        <v>1</v>
      </c>
      <c r="F2922" t="s">
        <v>4289</v>
      </c>
    </row>
    <row r="2923" spans="1:6" x14ac:dyDescent="0.25">
      <c r="A2923" t="s">
        <v>4201</v>
      </c>
      <c r="B2923" t="s">
        <v>331</v>
      </c>
      <c r="C2923" t="s">
        <v>332</v>
      </c>
      <c r="D2923" t="str">
        <f>HYPERLINK("http://service.sap.com/sap/support/notes/1785926","1785926")</f>
        <v>1785926</v>
      </c>
      <c r="E2923">
        <v>1</v>
      </c>
      <c r="F2923" t="s">
        <v>4290</v>
      </c>
    </row>
    <row r="2924" spans="1:6" x14ac:dyDescent="0.25">
      <c r="A2924" t="s">
        <v>4201</v>
      </c>
      <c r="B2924" t="s">
        <v>331</v>
      </c>
      <c r="C2924" t="s">
        <v>332</v>
      </c>
      <c r="D2924" t="str">
        <f>HYPERLINK("http://service.sap.com/sap/support/notes/1787727","1787727")</f>
        <v>1787727</v>
      </c>
      <c r="E2924">
        <v>1</v>
      </c>
      <c r="F2924" t="s">
        <v>4291</v>
      </c>
    </row>
    <row r="2925" spans="1:6" x14ac:dyDescent="0.25">
      <c r="A2925" t="s">
        <v>4201</v>
      </c>
      <c r="B2925" t="s">
        <v>335</v>
      </c>
      <c r="C2925" t="s">
        <v>4292</v>
      </c>
    </row>
    <row r="2926" spans="1:6" x14ac:dyDescent="0.25">
      <c r="A2926" t="s">
        <v>4201</v>
      </c>
      <c r="B2926" t="s">
        <v>4293</v>
      </c>
      <c r="C2926" t="s">
        <v>4294</v>
      </c>
      <c r="D2926" t="str">
        <f>HYPERLINK("http://service.sap.com/sap/support/notes/1783589","1783589")</f>
        <v>1783589</v>
      </c>
      <c r="E2926">
        <v>1</v>
      </c>
      <c r="F2926" t="s">
        <v>4295</v>
      </c>
    </row>
    <row r="2927" spans="1:6" x14ac:dyDescent="0.25">
      <c r="A2927" t="s">
        <v>4201</v>
      </c>
      <c r="B2927" t="s">
        <v>4296</v>
      </c>
      <c r="C2927" t="s">
        <v>4297</v>
      </c>
    </row>
    <row r="2928" spans="1:6" x14ac:dyDescent="0.25">
      <c r="A2928" t="s">
        <v>4201</v>
      </c>
      <c r="B2928" t="s">
        <v>4298</v>
      </c>
      <c r="C2928" t="s">
        <v>4299</v>
      </c>
      <c r="D2928" t="str">
        <f>HYPERLINK("http://service.sap.com/sap/support/notes/1760593","1760593")</f>
        <v>1760593</v>
      </c>
      <c r="E2928">
        <v>1</v>
      </c>
      <c r="F2928" t="s">
        <v>4300</v>
      </c>
    </row>
    <row r="2929" spans="1:6" x14ac:dyDescent="0.25">
      <c r="A2929" t="s">
        <v>4201</v>
      </c>
      <c r="B2929" t="s">
        <v>338</v>
      </c>
      <c r="C2929" t="s">
        <v>339</v>
      </c>
    </row>
    <row r="2930" spans="1:6" x14ac:dyDescent="0.25">
      <c r="A2930" t="s">
        <v>4201</v>
      </c>
      <c r="B2930" t="s">
        <v>340</v>
      </c>
      <c r="C2930" t="s">
        <v>341</v>
      </c>
    </row>
    <row r="2931" spans="1:6" x14ac:dyDescent="0.25">
      <c r="A2931" t="s">
        <v>4201</v>
      </c>
      <c r="B2931" t="s">
        <v>342</v>
      </c>
      <c r="C2931" t="s">
        <v>343</v>
      </c>
      <c r="D2931" t="str">
        <f>HYPERLINK("http://service.sap.com/sap/support/notes/1771372","1771372")</f>
        <v>1771372</v>
      </c>
      <c r="E2931">
        <v>1</v>
      </c>
      <c r="F2931" t="s">
        <v>4301</v>
      </c>
    </row>
    <row r="2932" spans="1:6" x14ac:dyDescent="0.25">
      <c r="A2932" t="s">
        <v>4201</v>
      </c>
      <c r="B2932" t="s">
        <v>342</v>
      </c>
      <c r="C2932" t="s">
        <v>343</v>
      </c>
      <c r="D2932" t="str">
        <f>HYPERLINK("http://service.sap.com/sap/support/notes/1781964","1781964")</f>
        <v>1781964</v>
      </c>
      <c r="E2932">
        <v>1</v>
      </c>
      <c r="F2932" t="s">
        <v>4302</v>
      </c>
    </row>
    <row r="2933" spans="1:6" x14ac:dyDescent="0.25">
      <c r="A2933" t="s">
        <v>4201</v>
      </c>
      <c r="B2933" t="s">
        <v>347</v>
      </c>
      <c r="C2933" t="s">
        <v>348</v>
      </c>
      <c r="D2933" t="str">
        <f>HYPERLINK("http://service.sap.com/sap/support/notes/1776713","1776713")</f>
        <v>1776713</v>
      </c>
      <c r="E2933">
        <v>2</v>
      </c>
      <c r="F2933" t="s">
        <v>4303</v>
      </c>
    </row>
    <row r="2934" spans="1:6" x14ac:dyDescent="0.25">
      <c r="A2934" t="s">
        <v>4201</v>
      </c>
      <c r="B2934" t="s">
        <v>347</v>
      </c>
      <c r="C2934" t="s">
        <v>348</v>
      </c>
      <c r="D2934" t="str">
        <f>HYPERLINK("http://service.sap.com/sap/support/notes/1783473","1783473")</f>
        <v>1783473</v>
      </c>
      <c r="E2934">
        <v>1</v>
      </c>
      <c r="F2934" t="s">
        <v>4304</v>
      </c>
    </row>
    <row r="2935" spans="1:6" x14ac:dyDescent="0.25">
      <c r="A2935" t="s">
        <v>4201</v>
      </c>
      <c r="B2935" t="s">
        <v>347</v>
      </c>
      <c r="C2935" t="s">
        <v>348</v>
      </c>
      <c r="D2935" t="str">
        <f>HYPERLINK("http://service.sap.com/sap/support/notes/1784949","1784949")</f>
        <v>1784949</v>
      </c>
      <c r="E2935">
        <v>1</v>
      </c>
      <c r="F2935" t="s">
        <v>4305</v>
      </c>
    </row>
    <row r="2936" spans="1:6" x14ac:dyDescent="0.25">
      <c r="A2936" t="s">
        <v>4201</v>
      </c>
      <c r="B2936" t="s">
        <v>347</v>
      </c>
      <c r="C2936" t="s">
        <v>348</v>
      </c>
      <c r="D2936" t="str">
        <f>HYPERLINK("http://service.sap.com/sap/support/notes/1785518","1785518")</f>
        <v>1785518</v>
      </c>
      <c r="E2936">
        <v>1</v>
      </c>
      <c r="F2936" t="s">
        <v>4306</v>
      </c>
    </row>
    <row r="2937" spans="1:6" x14ac:dyDescent="0.25">
      <c r="A2937" t="s">
        <v>4201</v>
      </c>
      <c r="B2937" t="s">
        <v>347</v>
      </c>
      <c r="C2937" t="s">
        <v>348</v>
      </c>
      <c r="D2937" t="str">
        <f>HYPERLINK("http://service.sap.com/sap/support/notes/1798778","1798778")</f>
        <v>1798778</v>
      </c>
      <c r="E2937">
        <v>2</v>
      </c>
      <c r="F2937" t="s">
        <v>4307</v>
      </c>
    </row>
    <row r="2938" spans="1:6" x14ac:dyDescent="0.25">
      <c r="A2938" t="s">
        <v>4201</v>
      </c>
      <c r="B2938" t="s">
        <v>356</v>
      </c>
      <c r="C2938" t="s">
        <v>357</v>
      </c>
      <c r="D2938" t="str">
        <f>HYPERLINK("http://service.sap.com/sap/support/notes/1771540","1771540")</f>
        <v>1771540</v>
      </c>
      <c r="E2938">
        <v>2</v>
      </c>
      <c r="F2938" t="s">
        <v>4308</v>
      </c>
    </row>
    <row r="2939" spans="1:6" x14ac:dyDescent="0.25">
      <c r="A2939" t="s">
        <v>4201</v>
      </c>
      <c r="B2939" t="s">
        <v>356</v>
      </c>
      <c r="C2939" t="s">
        <v>357</v>
      </c>
      <c r="D2939" t="str">
        <f>HYPERLINK("http://service.sap.com/sap/support/notes/1785650","1785650")</f>
        <v>1785650</v>
      </c>
      <c r="E2939">
        <v>1</v>
      </c>
      <c r="F2939" t="s">
        <v>4309</v>
      </c>
    </row>
    <row r="2940" spans="1:6" x14ac:dyDescent="0.25">
      <c r="A2940" t="s">
        <v>4201</v>
      </c>
      <c r="B2940" t="s">
        <v>372</v>
      </c>
      <c r="C2940" t="s">
        <v>373</v>
      </c>
      <c r="D2940" t="str">
        <f>HYPERLINK("http://service.sap.com/sap/support/notes/1781111","1781111")</f>
        <v>1781111</v>
      </c>
      <c r="E2940">
        <v>1</v>
      </c>
      <c r="F2940" t="s">
        <v>4310</v>
      </c>
    </row>
    <row r="2941" spans="1:6" x14ac:dyDescent="0.25">
      <c r="A2941" t="s">
        <v>4201</v>
      </c>
      <c r="B2941" t="s">
        <v>4311</v>
      </c>
      <c r="C2941" t="s">
        <v>4312</v>
      </c>
      <c r="D2941" t="str">
        <f>HYPERLINK("http://service.sap.com/sap/support/notes/1784980","1784980")</f>
        <v>1784980</v>
      </c>
      <c r="E2941">
        <v>2</v>
      </c>
      <c r="F2941" t="s">
        <v>4313</v>
      </c>
    </row>
    <row r="2942" spans="1:6" x14ac:dyDescent="0.25">
      <c r="A2942" t="s">
        <v>4201</v>
      </c>
      <c r="B2942" t="s">
        <v>389</v>
      </c>
      <c r="C2942" t="s">
        <v>390</v>
      </c>
      <c r="D2942" t="str">
        <f>HYPERLINK("http://service.sap.com/sap/support/notes/1417920","1417920")</f>
        <v>1417920</v>
      </c>
      <c r="E2942">
        <v>2</v>
      </c>
      <c r="F2942" t="s">
        <v>4314</v>
      </c>
    </row>
    <row r="2943" spans="1:6" x14ac:dyDescent="0.25">
      <c r="A2943" t="s">
        <v>4201</v>
      </c>
      <c r="B2943" t="s">
        <v>396</v>
      </c>
      <c r="C2943" t="s">
        <v>397</v>
      </c>
    </row>
    <row r="2944" spans="1:6" x14ac:dyDescent="0.25">
      <c r="A2944" t="s">
        <v>4201</v>
      </c>
      <c r="B2944" t="s">
        <v>398</v>
      </c>
      <c r="C2944" t="s">
        <v>399</v>
      </c>
      <c r="D2944" t="str">
        <f>HYPERLINK("http://service.sap.com/sap/support/notes/1747068","1747068")</f>
        <v>1747068</v>
      </c>
      <c r="E2944">
        <v>1</v>
      </c>
      <c r="F2944" t="s">
        <v>4315</v>
      </c>
    </row>
    <row r="2945" spans="1:6" x14ac:dyDescent="0.25">
      <c r="A2945" t="s">
        <v>4201</v>
      </c>
      <c r="B2945" t="s">
        <v>398</v>
      </c>
      <c r="C2945" t="s">
        <v>399</v>
      </c>
      <c r="D2945" t="str">
        <f>HYPERLINK("http://service.sap.com/sap/support/notes/1776095","1776095")</f>
        <v>1776095</v>
      </c>
      <c r="E2945">
        <v>1</v>
      </c>
      <c r="F2945" t="s">
        <v>4316</v>
      </c>
    </row>
    <row r="2946" spans="1:6" x14ac:dyDescent="0.25">
      <c r="A2946" t="s">
        <v>4201</v>
      </c>
      <c r="B2946" t="s">
        <v>4317</v>
      </c>
      <c r="C2946" t="s">
        <v>4318</v>
      </c>
      <c r="D2946" t="str">
        <f>HYPERLINK("http://service.sap.com/sap/support/notes/1780731","1780731")</f>
        <v>1780731</v>
      </c>
      <c r="E2946">
        <v>3</v>
      </c>
      <c r="F2946" t="s">
        <v>4319</v>
      </c>
    </row>
    <row r="2947" spans="1:6" x14ac:dyDescent="0.25">
      <c r="A2947" t="s">
        <v>4201</v>
      </c>
      <c r="B2947" t="s">
        <v>401</v>
      </c>
      <c r="C2947" t="s">
        <v>183</v>
      </c>
      <c r="D2947" t="str">
        <f>HYPERLINK("http://service.sap.com/sap/support/notes/603439","603439")</f>
        <v>603439</v>
      </c>
      <c r="E2947">
        <v>4</v>
      </c>
      <c r="F2947" t="s">
        <v>402</v>
      </c>
    </row>
    <row r="2948" spans="1:6" x14ac:dyDescent="0.25">
      <c r="A2948" t="s">
        <v>4201</v>
      </c>
      <c r="B2948" t="s">
        <v>403</v>
      </c>
      <c r="C2948" t="s">
        <v>185</v>
      </c>
      <c r="D2948" t="str">
        <f>HYPERLINK("http://service.sap.com/sap/support/notes/1474419","1474419")</f>
        <v>1474419</v>
      </c>
      <c r="E2948">
        <v>2</v>
      </c>
      <c r="F2948" t="s">
        <v>4320</v>
      </c>
    </row>
    <row r="2949" spans="1:6" x14ac:dyDescent="0.25">
      <c r="A2949" t="s">
        <v>4201</v>
      </c>
      <c r="B2949" t="s">
        <v>403</v>
      </c>
      <c r="C2949" t="s">
        <v>185</v>
      </c>
      <c r="D2949" t="str">
        <f>HYPERLINK("http://service.sap.com/sap/support/notes/1761045","1761045")</f>
        <v>1761045</v>
      </c>
      <c r="E2949">
        <v>3</v>
      </c>
      <c r="F2949" t="s">
        <v>4321</v>
      </c>
    </row>
    <row r="2950" spans="1:6" x14ac:dyDescent="0.25">
      <c r="A2950" t="s">
        <v>4201</v>
      </c>
      <c r="B2950" t="s">
        <v>403</v>
      </c>
      <c r="C2950" t="s">
        <v>185</v>
      </c>
      <c r="D2950" t="str">
        <f>HYPERLINK("http://service.sap.com/sap/support/notes/1763790","1763790")</f>
        <v>1763790</v>
      </c>
      <c r="E2950">
        <v>1</v>
      </c>
      <c r="F2950" t="s">
        <v>404</v>
      </c>
    </row>
    <row r="2951" spans="1:6" x14ac:dyDescent="0.25">
      <c r="A2951" t="s">
        <v>4201</v>
      </c>
      <c r="B2951" t="s">
        <v>403</v>
      </c>
      <c r="C2951" t="s">
        <v>185</v>
      </c>
      <c r="D2951" t="str">
        <f>HYPERLINK("http://service.sap.com/sap/support/notes/1770431","1770431")</f>
        <v>1770431</v>
      </c>
      <c r="E2951">
        <v>3</v>
      </c>
      <c r="F2951" t="s">
        <v>4322</v>
      </c>
    </row>
    <row r="2952" spans="1:6" x14ac:dyDescent="0.25">
      <c r="A2952" t="s">
        <v>4201</v>
      </c>
      <c r="B2952" t="s">
        <v>403</v>
      </c>
      <c r="C2952" t="s">
        <v>185</v>
      </c>
      <c r="D2952" t="str">
        <f>HYPERLINK("http://service.sap.com/sap/support/notes/1775732","1775732")</f>
        <v>1775732</v>
      </c>
      <c r="E2952">
        <v>1</v>
      </c>
      <c r="F2952" t="s">
        <v>4323</v>
      </c>
    </row>
    <row r="2953" spans="1:6" x14ac:dyDescent="0.25">
      <c r="A2953" t="s">
        <v>4201</v>
      </c>
      <c r="B2953" t="s">
        <v>403</v>
      </c>
      <c r="C2953" t="s">
        <v>185</v>
      </c>
      <c r="D2953" t="str">
        <f>HYPERLINK("http://service.sap.com/sap/support/notes/1779629","1779629")</f>
        <v>1779629</v>
      </c>
      <c r="E2953">
        <v>2</v>
      </c>
      <c r="F2953" t="s">
        <v>4324</v>
      </c>
    </row>
    <row r="2954" spans="1:6" x14ac:dyDescent="0.25">
      <c r="A2954" t="s">
        <v>4201</v>
      </c>
      <c r="B2954" t="s">
        <v>403</v>
      </c>
      <c r="C2954" t="s">
        <v>185</v>
      </c>
      <c r="D2954" t="str">
        <f>HYPERLINK("http://service.sap.com/sap/support/notes/1787342","1787342")</f>
        <v>1787342</v>
      </c>
      <c r="E2954">
        <v>1</v>
      </c>
      <c r="F2954" t="s">
        <v>4325</v>
      </c>
    </row>
    <row r="2955" spans="1:6" x14ac:dyDescent="0.25">
      <c r="A2955" t="s">
        <v>4201</v>
      </c>
      <c r="B2955" t="s">
        <v>403</v>
      </c>
      <c r="C2955" t="s">
        <v>185</v>
      </c>
      <c r="D2955" t="str">
        <f>HYPERLINK("http://service.sap.com/sap/support/notes/1787430","1787430")</f>
        <v>1787430</v>
      </c>
      <c r="E2955">
        <v>1</v>
      </c>
      <c r="F2955" t="s">
        <v>4326</v>
      </c>
    </row>
    <row r="2956" spans="1:6" x14ac:dyDescent="0.25">
      <c r="A2956" t="s">
        <v>4201</v>
      </c>
      <c r="B2956" t="s">
        <v>403</v>
      </c>
      <c r="C2956" t="s">
        <v>185</v>
      </c>
      <c r="D2956" t="str">
        <f>HYPERLINK("http://service.sap.com/sap/support/notes/1789979","1789979")</f>
        <v>1789979</v>
      </c>
      <c r="E2956">
        <v>1</v>
      </c>
      <c r="F2956" t="s">
        <v>418</v>
      </c>
    </row>
    <row r="2957" spans="1:6" x14ac:dyDescent="0.25">
      <c r="A2957" t="s">
        <v>4201</v>
      </c>
      <c r="B2957" t="s">
        <v>403</v>
      </c>
      <c r="C2957" t="s">
        <v>185</v>
      </c>
      <c r="D2957" t="str">
        <f>HYPERLINK("http://service.sap.com/sap/support/notes/1794284","1794284")</f>
        <v>1794284</v>
      </c>
      <c r="E2957">
        <v>1</v>
      </c>
      <c r="F2957" t="s">
        <v>4327</v>
      </c>
    </row>
    <row r="2958" spans="1:6" x14ac:dyDescent="0.25">
      <c r="A2958" t="s">
        <v>4201</v>
      </c>
      <c r="B2958" t="s">
        <v>403</v>
      </c>
      <c r="C2958" t="s">
        <v>185</v>
      </c>
      <c r="D2958" t="str">
        <f>HYPERLINK("http://service.sap.com/sap/support/notes/1795661","1795661")</f>
        <v>1795661</v>
      </c>
      <c r="E2958">
        <v>6</v>
      </c>
      <c r="F2958" t="s">
        <v>4328</v>
      </c>
    </row>
    <row r="2959" spans="1:6" x14ac:dyDescent="0.25">
      <c r="A2959" t="s">
        <v>4201</v>
      </c>
      <c r="B2959" t="s">
        <v>436</v>
      </c>
      <c r="C2959" t="s">
        <v>437</v>
      </c>
    </row>
    <row r="2960" spans="1:6" x14ac:dyDescent="0.25">
      <c r="A2960" t="s">
        <v>4201</v>
      </c>
      <c r="B2960" t="s">
        <v>4329</v>
      </c>
      <c r="C2960" t="s">
        <v>29</v>
      </c>
      <c r="D2960" t="str">
        <f>HYPERLINK("http://service.sap.com/sap/support/notes/1773216","1773216")</f>
        <v>1773216</v>
      </c>
      <c r="E2960">
        <v>6</v>
      </c>
      <c r="F2960" t="s">
        <v>4330</v>
      </c>
    </row>
    <row r="2961" spans="1:6" x14ac:dyDescent="0.25">
      <c r="A2961" t="s">
        <v>4201</v>
      </c>
      <c r="B2961" t="s">
        <v>4331</v>
      </c>
      <c r="C2961" t="s">
        <v>451</v>
      </c>
      <c r="D2961" t="str">
        <f>HYPERLINK("http://service.sap.com/sap/support/notes/1776832","1776832")</f>
        <v>1776832</v>
      </c>
      <c r="E2961">
        <v>1</v>
      </c>
      <c r="F2961" t="s">
        <v>4332</v>
      </c>
    </row>
    <row r="2962" spans="1:6" x14ac:dyDescent="0.25">
      <c r="A2962" t="s">
        <v>4201</v>
      </c>
      <c r="B2962" t="s">
        <v>442</v>
      </c>
      <c r="C2962" t="s">
        <v>443</v>
      </c>
    </row>
    <row r="2963" spans="1:6" x14ac:dyDescent="0.25">
      <c r="A2963" t="s">
        <v>4201</v>
      </c>
      <c r="B2963" t="s">
        <v>4333</v>
      </c>
      <c r="C2963" t="s">
        <v>29</v>
      </c>
      <c r="D2963" t="str">
        <f>HYPERLINK("http://service.sap.com/sap/support/notes/1794302","1794302")</f>
        <v>1794302</v>
      </c>
      <c r="E2963">
        <v>3</v>
      </c>
      <c r="F2963" t="s">
        <v>4334</v>
      </c>
    </row>
    <row r="2964" spans="1:6" x14ac:dyDescent="0.25">
      <c r="A2964" t="s">
        <v>4201</v>
      </c>
      <c r="B2964" t="s">
        <v>444</v>
      </c>
      <c r="C2964" t="s">
        <v>445</v>
      </c>
      <c r="D2964" t="str">
        <f>HYPERLINK("http://service.sap.com/sap/support/notes/1731471","1731471")</f>
        <v>1731471</v>
      </c>
      <c r="E2964">
        <v>1</v>
      </c>
      <c r="F2964" t="s">
        <v>447</v>
      </c>
    </row>
    <row r="2965" spans="1:6" x14ac:dyDescent="0.25">
      <c r="A2965" t="s">
        <v>4201</v>
      </c>
      <c r="B2965" t="s">
        <v>444</v>
      </c>
      <c r="C2965" t="s">
        <v>445</v>
      </c>
      <c r="D2965" t="str">
        <f>HYPERLINK("http://service.sap.com/sap/support/notes/1762394","1762394")</f>
        <v>1762394</v>
      </c>
      <c r="E2965">
        <v>3</v>
      </c>
      <c r="F2965" t="s">
        <v>4335</v>
      </c>
    </row>
    <row r="2966" spans="1:6" x14ac:dyDescent="0.25">
      <c r="A2966" t="s">
        <v>4201</v>
      </c>
      <c r="B2966" t="s">
        <v>450</v>
      </c>
      <c r="C2966" t="s">
        <v>451</v>
      </c>
      <c r="D2966" t="str">
        <f>HYPERLINK("http://service.sap.com/sap/support/notes/1066554","1066554")</f>
        <v>1066554</v>
      </c>
      <c r="E2966">
        <v>5</v>
      </c>
      <c r="F2966" t="s">
        <v>4336</v>
      </c>
    </row>
    <row r="2967" spans="1:6" x14ac:dyDescent="0.25">
      <c r="A2967" t="s">
        <v>4201</v>
      </c>
      <c r="B2967" t="s">
        <v>450</v>
      </c>
      <c r="C2967" t="s">
        <v>451</v>
      </c>
      <c r="D2967" t="str">
        <f>HYPERLINK("http://service.sap.com/sap/support/notes/1773421","1773421")</f>
        <v>1773421</v>
      </c>
      <c r="E2967">
        <v>3</v>
      </c>
      <c r="F2967" t="s">
        <v>4337</v>
      </c>
    </row>
    <row r="2968" spans="1:6" x14ac:dyDescent="0.25">
      <c r="A2968" t="s">
        <v>4201</v>
      </c>
      <c r="B2968" t="s">
        <v>450</v>
      </c>
      <c r="C2968" t="s">
        <v>451</v>
      </c>
      <c r="D2968" t="str">
        <f>HYPERLINK("http://service.sap.com/sap/support/notes/1774756","1774756")</f>
        <v>1774756</v>
      </c>
      <c r="E2968">
        <v>1</v>
      </c>
      <c r="F2968" t="s">
        <v>4338</v>
      </c>
    </row>
    <row r="2969" spans="1:6" x14ac:dyDescent="0.25">
      <c r="A2969" t="s">
        <v>4201</v>
      </c>
      <c r="B2969" t="s">
        <v>450</v>
      </c>
      <c r="C2969" t="s">
        <v>451</v>
      </c>
      <c r="D2969" t="str">
        <f>HYPERLINK("http://service.sap.com/sap/support/notes/1794256","1794256")</f>
        <v>1794256</v>
      </c>
      <c r="E2969">
        <v>1</v>
      </c>
      <c r="F2969" t="s">
        <v>4339</v>
      </c>
    </row>
    <row r="2970" spans="1:6" x14ac:dyDescent="0.25">
      <c r="A2970" t="s">
        <v>4201</v>
      </c>
      <c r="B2970" t="s">
        <v>450</v>
      </c>
      <c r="C2970" t="s">
        <v>451</v>
      </c>
      <c r="D2970" t="str">
        <f>HYPERLINK("http://service.sap.com/sap/support/notes/1795003","1795003")</f>
        <v>1795003</v>
      </c>
      <c r="E2970">
        <v>2</v>
      </c>
      <c r="F2970" t="s">
        <v>4340</v>
      </c>
    </row>
    <row r="2971" spans="1:6" x14ac:dyDescent="0.25">
      <c r="A2971" t="s">
        <v>4201</v>
      </c>
      <c r="B2971" t="s">
        <v>456</v>
      </c>
      <c r="C2971" t="s">
        <v>431</v>
      </c>
      <c r="D2971" t="str">
        <f>HYPERLINK("http://service.sap.com/sap/support/notes/1697793","1697793")</f>
        <v>1697793</v>
      </c>
      <c r="E2971">
        <v>1</v>
      </c>
      <c r="F2971" t="s">
        <v>4341</v>
      </c>
    </row>
    <row r="2972" spans="1:6" x14ac:dyDescent="0.25">
      <c r="A2972" t="s">
        <v>4201</v>
      </c>
      <c r="B2972" t="s">
        <v>456</v>
      </c>
      <c r="C2972" t="s">
        <v>431</v>
      </c>
      <c r="D2972" t="str">
        <f>HYPERLINK("http://service.sap.com/sap/support/notes/1773200","1773200")</f>
        <v>1773200</v>
      </c>
      <c r="E2972">
        <v>2</v>
      </c>
      <c r="F2972" t="s">
        <v>4342</v>
      </c>
    </row>
    <row r="2973" spans="1:6" x14ac:dyDescent="0.25">
      <c r="A2973" t="s">
        <v>4201</v>
      </c>
      <c r="B2973" t="s">
        <v>456</v>
      </c>
      <c r="C2973" t="s">
        <v>431</v>
      </c>
      <c r="D2973" t="str">
        <f>HYPERLINK("http://service.sap.com/sap/support/notes/1793727","1793727")</f>
        <v>1793727</v>
      </c>
      <c r="E2973">
        <v>1</v>
      </c>
      <c r="F2973" t="s">
        <v>4343</v>
      </c>
    </row>
    <row r="2974" spans="1:6" x14ac:dyDescent="0.25">
      <c r="A2974" t="s">
        <v>4201</v>
      </c>
      <c r="B2974" t="s">
        <v>456</v>
      </c>
      <c r="C2974" t="s">
        <v>431</v>
      </c>
      <c r="D2974" t="str">
        <f>HYPERLINK("http://service.sap.com/sap/support/notes/1794303","1794303")</f>
        <v>1794303</v>
      </c>
      <c r="E2974">
        <v>1</v>
      </c>
      <c r="F2974" t="s">
        <v>4344</v>
      </c>
    </row>
    <row r="2975" spans="1:6" x14ac:dyDescent="0.25">
      <c r="A2975" t="s">
        <v>4201</v>
      </c>
      <c r="B2975" t="s">
        <v>456</v>
      </c>
      <c r="C2975" t="s">
        <v>431</v>
      </c>
      <c r="D2975" t="str">
        <f>HYPERLINK("http://service.sap.com/sap/support/notes/1796414","1796414")</f>
        <v>1796414</v>
      </c>
      <c r="E2975">
        <v>2</v>
      </c>
      <c r="F2975" t="s">
        <v>4345</v>
      </c>
    </row>
    <row r="2976" spans="1:6" x14ac:dyDescent="0.25">
      <c r="A2976" t="s">
        <v>4201</v>
      </c>
      <c r="B2976" t="s">
        <v>473</v>
      </c>
      <c r="C2976" t="s">
        <v>474</v>
      </c>
      <c r="D2976" t="str">
        <f>HYPERLINK("http://service.sap.com/sap/support/notes/1767867","1767867")</f>
        <v>1767867</v>
      </c>
      <c r="E2976">
        <v>3</v>
      </c>
      <c r="F2976" t="s">
        <v>4346</v>
      </c>
    </row>
    <row r="2977" spans="1:6" x14ac:dyDescent="0.25">
      <c r="A2977" t="s">
        <v>4201</v>
      </c>
      <c r="B2977" t="s">
        <v>473</v>
      </c>
      <c r="C2977" t="s">
        <v>474</v>
      </c>
      <c r="D2977" t="str">
        <f>HYPERLINK("http://service.sap.com/sap/support/notes/1778384","1778384")</f>
        <v>1778384</v>
      </c>
      <c r="E2977">
        <v>5</v>
      </c>
      <c r="F2977" t="s">
        <v>4347</v>
      </c>
    </row>
    <row r="2978" spans="1:6" x14ac:dyDescent="0.25">
      <c r="A2978" t="s">
        <v>4201</v>
      </c>
      <c r="B2978" t="s">
        <v>473</v>
      </c>
      <c r="C2978" t="s">
        <v>474</v>
      </c>
      <c r="D2978" t="str">
        <f>HYPERLINK("http://service.sap.com/sap/support/notes/1789978","1789978")</f>
        <v>1789978</v>
      </c>
      <c r="E2978">
        <v>1</v>
      </c>
      <c r="F2978" t="s">
        <v>4348</v>
      </c>
    </row>
    <row r="2979" spans="1:6" x14ac:dyDescent="0.25">
      <c r="A2979" t="s">
        <v>4201</v>
      </c>
      <c r="B2979" t="s">
        <v>479</v>
      </c>
      <c r="C2979" t="s">
        <v>480</v>
      </c>
      <c r="D2979" t="str">
        <f>HYPERLINK("http://service.sap.com/sap/support/notes/1787943","1787943")</f>
        <v>1787943</v>
      </c>
      <c r="E2979">
        <v>5</v>
      </c>
      <c r="F2979" t="s">
        <v>4349</v>
      </c>
    </row>
    <row r="2980" spans="1:6" x14ac:dyDescent="0.25">
      <c r="A2980" t="s">
        <v>4201</v>
      </c>
      <c r="B2980" t="s">
        <v>481</v>
      </c>
      <c r="C2980" t="s">
        <v>29</v>
      </c>
      <c r="D2980" t="str">
        <f>HYPERLINK("http://service.sap.com/sap/support/notes/1530950","1530950")</f>
        <v>1530950</v>
      </c>
      <c r="E2980">
        <v>3</v>
      </c>
      <c r="F2980" t="s">
        <v>4350</v>
      </c>
    </row>
    <row r="2981" spans="1:6" x14ac:dyDescent="0.25">
      <c r="A2981" t="s">
        <v>4201</v>
      </c>
      <c r="B2981" t="s">
        <v>481</v>
      </c>
      <c r="C2981" t="s">
        <v>29</v>
      </c>
      <c r="D2981" t="str">
        <f>HYPERLINK("http://service.sap.com/sap/support/notes/1775959","1775959")</f>
        <v>1775959</v>
      </c>
      <c r="E2981">
        <v>1</v>
      </c>
      <c r="F2981" t="s">
        <v>4351</v>
      </c>
    </row>
    <row r="2982" spans="1:6" x14ac:dyDescent="0.25">
      <c r="A2982" t="s">
        <v>4201</v>
      </c>
      <c r="B2982" t="s">
        <v>481</v>
      </c>
      <c r="C2982" t="s">
        <v>29</v>
      </c>
      <c r="D2982" t="str">
        <f>HYPERLINK("http://service.sap.com/sap/support/notes/1778602","1778602")</f>
        <v>1778602</v>
      </c>
      <c r="E2982">
        <v>1</v>
      </c>
      <c r="F2982" t="s">
        <v>4352</v>
      </c>
    </row>
    <row r="2983" spans="1:6" x14ac:dyDescent="0.25">
      <c r="A2983" t="s">
        <v>4201</v>
      </c>
      <c r="B2983" t="s">
        <v>481</v>
      </c>
      <c r="C2983" t="s">
        <v>29</v>
      </c>
      <c r="D2983" t="str">
        <f>HYPERLINK("http://service.sap.com/sap/support/notes/1782780","1782780")</f>
        <v>1782780</v>
      </c>
      <c r="E2983">
        <v>1</v>
      </c>
      <c r="F2983" t="s">
        <v>4353</v>
      </c>
    </row>
    <row r="2984" spans="1:6" x14ac:dyDescent="0.25">
      <c r="A2984" t="s">
        <v>4201</v>
      </c>
      <c r="B2984" t="s">
        <v>481</v>
      </c>
      <c r="C2984" t="s">
        <v>29</v>
      </c>
      <c r="D2984" t="str">
        <f>HYPERLINK("http://service.sap.com/sap/support/notes/1788002","1788002")</f>
        <v>1788002</v>
      </c>
      <c r="E2984">
        <v>1</v>
      </c>
      <c r="F2984" t="s">
        <v>4354</v>
      </c>
    </row>
    <row r="2985" spans="1:6" x14ac:dyDescent="0.25">
      <c r="A2985" t="s">
        <v>4201</v>
      </c>
      <c r="B2985" t="s">
        <v>481</v>
      </c>
      <c r="C2985" t="s">
        <v>29</v>
      </c>
      <c r="D2985" t="str">
        <f>HYPERLINK("http://service.sap.com/sap/support/notes/1794518","1794518")</f>
        <v>1794518</v>
      </c>
      <c r="E2985">
        <v>1</v>
      </c>
      <c r="F2985" t="s">
        <v>4355</v>
      </c>
    </row>
    <row r="2986" spans="1:6" x14ac:dyDescent="0.25">
      <c r="A2986" t="s">
        <v>4201</v>
      </c>
      <c r="B2986" t="s">
        <v>485</v>
      </c>
      <c r="C2986" t="s">
        <v>445</v>
      </c>
      <c r="D2986" t="str">
        <f>HYPERLINK("http://service.sap.com/sap/support/notes/1795724","1795724")</f>
        <v>1795724</v>
      </c>
      <c r="E2986">
        <v>1</v>
      </c>
      <c r="F2986" t="s">
        <v>4356</v>
      </c>
    </row>
    <row r="2987" spans="1:6" x14ac:dyDescent="0.25">
      <c r="A2987" t="s">
        <v>4201</v>
      </c>
      <c r="B2987" t="s">
        <v>489</v>
      </c>
      <c r="C2987" t="s">
        <v>490</v>
      </c>
      <c r="D2987" t="str">
        <f>HYPERLINK("http://service.sap.com/sap/support/notes/1703755","1703755")</f>
        <v>1703755</v>
      </c>
      <c r="E2987">
        <v>1</v>
      </c>
      <c r="F2987" t="s">
        <v>4357</v>
      </c>
    </row>
    <row r="2988" spans="1:6" x14ac:dyDescent="0.25">
      <c r="A2988" t="s">
        <v>4201</v>
      </c>
      <c r="B2988" t="s">
        <v>489</v>
      </c>
      <c r="C2988" t="s">
        <v>490</v>
      </c>
      <c r="D2988" t="str">
        <f>HYPERLINK("http://service.sap.com/sap/support/notes/1760201","1760201")</f>
        <v>1760201</v>
      </c>
      <c r="E2988">
        <v>2</v>
      </c>
      <c r="F2988" t="s">
        <v>500</v>
      </c>
    </row>
    <row r="2989" spans="1:6" x14ac:dyDescent="0.25">
      <c r="A2989" t="s">
        <v>4201</v>
      </c>
      <c r="B2989" t="s">
        <v>504</v>
      </c>
      <c r="C2989" t="s">
        <v>431</v>
      </c>
      <c r="D2989" t="str">
        <f>HYPERLINK("http://service.sap.com/sap/support/notes/1325869","1325869")</f>
        <v>1325869</v>
      </c>
      <c r="E2989">
        <v>2</v>
      </c>
      <c r="F2989" t="s">
        <v>4358</v>
      </c>
    </row>
    <row r="2990" spans="1:6" x14ac:dyDescent="0.25">
      <c r="A2990" t="s">
        <v>4201</v>
      </c>
      <c r="B2990" t="s">
        <v>504</v>
      </c>
      <c r="C2990" t="s">
        <v>431</v>
      </c>
      <c r="D2990" t="str">
        <f>HYPERLINK("http://service.sap.com/sap/support/notes/1682729","1682729")</f>
        <v>1682729</v>
      </c>
      <c r="E2990">
        <v>3</v>
      </c>
      <c r="F2990" t="s">
        <v>4359</v>
      </c>
    </row>
    <row r="2991" spans="1:6" x14ac:dyDescent="0.25">
      <c r="A2991" t="s">
        <v>4201</v>
      </c>
      <c r="B2991" t="s">
        <v>504</v>
      </c>
      <c r="C2991" t="s">
        <v>431</v>
      </c>
      <c r="D2991" t="str">
        <f>HYPERLINK("http://service.sap.com/sap/support/notes/1701661","1701661")</f>
        <v>1701661</v>
      </c>
      <c r="E2991">
        <v>2</v>
      </c>
      <c r="F2991" t="s">
        <v>4360</v>
      </c>
    </row>
    <row r="2992" spans="1:6" x14ac:dyDescent="0.25">
      <c r="A2992" t="s">
        <v>4201</v>
      </c>
      <c r="B2992" t="s">
        <v>504</v>
      </c>
      <c r="C2992" t="s">
        <v>431</v>
      </c>
      <c r="D2992" t="str">
        <f>HYPERLINK("http://service.sap.com/sap/support/notes/1747126","1747126")</f>
        <v>1747126</v>
      </c>
      <c r="E2992">
        <v>2</v>
      </c>
      <c r="F2992" t="s">
        <v>4361</v>
      </c>
    </row>
    <row r="2993" spans="1:6" x14ac:dyDescent="0.25">
      <c r="A2993" t="s">
        <v>4201</v>
      </c>
      <c r="B2993" t="s">
        <v>504</v>
      </c>
      <c r="C2993" t="s">
        <v>431</v>
      </c>
      <c r="D2993" t="str">
        <f>HYPERLINK("http://service.sap.com/sap/support/notes/1768297","1768297")</f>
        <v>1768297</v>
      </c>
      <c r="E2993">
        <v>3</v>
      </c>
      <c r="F2993" t="s">
        <v>4362</v>
      </c>
    </row>
    <row r="2994" spans="1:6" x14ac:dyDescent="0.25">
      <c r="A2994" t="s">
        <v>4201</v>
      </c>
      <c r="B2994" t="s">
        <v>504</v>
      </c>
      <c r="C2994" t="s">
        <v>431</v>
      </c>
      <c r="D2994" t="str">
        <f>HYPERLINK("http://service.sap.com/sap/support/notes/1781846","1781846")</f>
        <v>1781846</v>
      </c>
      <c r="E2994">
        <v>1</v>
      </c>
      <c r="F2994" t="s">
        <v>4363</v>
      </c>
    </row>
    <row r="2995" spans="1:6" x14ac:dyDescent="0.25">
      <c r="A2995" t="s">
        <v>4201</v>
      </c>
      <c r="B2995" t="s">
        <v>504</v>
      </c>
      <c r="C2995" t="s">
        <v>431</v>
      </c>
      <c r="D2995" t="str">
        <f>HYPERLINK("http://service.sap.com/sap/support/notes/1796486","1796486")</f>
        <v>1796486</v>
      </c>
      <c r="E2995">
        <v>3</v>
      </c>
      <c r="F2995" t="s">
        <v>4364</v>
      </c>
    </row>
    <row r="2996" spans="1:6" x14ac:dyDescent="0.25">
      <c r="A2996" t="s">
        <v>4201</v>
      </c>
      <c r="B2996" t="s">
        <v>504</v>
      </c>
      <c r="C2996" t="s">
        <v>431</v>
      </c>
      <c r="D2996" t="str">
        <f>HYPERLINK("http://service.sap.com/sap/support/notes/1796594","1796594")</f>
        <v>1796594</v>
      </c>
      <c r="E2996">
        <v>1</v>
      </c>
      <c r="F2996" t="s">
        <v>4365</v>
      </c>
    </row>
    <row r="2997" spans="1:6" x14ac:dyDescent="0.25">
      <c r="A2997" t="s">
        <v>4201</v>
      </c>
      <c r="B2997" t="s">
        <v>519</v>
      </c>
      <c r="C2997" t="s">
        <v>190</v>
      </c>
      <c r="D2997" t="str">
        <f>HYPERLINK("http://service.sap.com/sap/support/notes/1427243","1427243")</f>
        <v>1427243</v>
      </c>
      <c r="E2997">
        <v>3</v>
      </c>
      <c r="F2997" t="s">
        <v>4366</v>
      </c>
    </row>
    <row r="2998" spans="1:6" x14ac:dyDescent="0.25">
      <c r="A2998" t="s">
        <v>4201</v>
      </c>
      <c r="B2998" t="s">
        <v>519</v>
      </c>
      <c r="C2998" t="s">
        <v>190</v>
      </c>
      <c r="D2998" t="str">
        <f>HYPERLINK("http://service.sap.com/sap/support/notes/1507602","1507602")</f>
        <v>1507602</v>
      </c>
      <c r="E2998">
        <v>4</v>
      </c>
      <c r="F2998" t="s">
        <v>4367</v>
      </c>
    </row>
    <row r="2999" spans="1:6" x14ac:dyDescent="0.25">
      <c r="A2999" t="s">
        <v>4201</v>
      </c>
      <c r="B2999" t="s">
        <v>519</v>
      </c>
      <c r="C2999" t="s">
        <v>190</v>
      </c>
      <c r="D2999" t="str">
        <f>HYPERLINK("http://service.sap.com/sap/support/notes/1706633","1706633")</f>
        <v>1706633</v>
      </c>
      <c r="E2999">
        <v>2</v>
      </c>
      <c r="F2999" t="s">
        <v>4368</v>
      </c>
    </row>
    <row r="3000" spans="1:6" x14ac:dyDescent="0.25">
      <c r="A3000" t="s">
        <v>4201</v>
      </c>
      <c r="B3000" t="s">
        <v>519</v>
      </c>
      <c r="C3000" t="s">
        <v>190</v>
      </c>
      <c r="D3000" t="str">
        <f>HYPERLINK("http://service.sap.com/sap/support/notes/1718970","1718970")</f>
        <v>1718970</v>
      </c>
      <c r="E3000">
        <v>1</v>
      </c>
      <c r="F3000" t="s">
        <v>4369</v>
      </c>
    </row>
    <row r="3001" spans="1:6" x14ac:dyDescent="0.25">
      <c r="A3001" t="s">
        <v>4201</v>
      </c>
      <c r="B3001" t="s">
        <v>519</v>
      </c>
      <c r="C3001" t="s">
        <v>190</v>
      </c>
      <c r="D3001" t="str">
        <f>HYPERLINK("http://service.sap.com/sap/support/notes/1730428","1730428")</f>
        <v>1730428</v>
      </c>
      <c r="E3001">
        <v>2</v>
      </c>
      <c r="F3001" t="s">
        <v>4370</v>
      </c>
    </row>
    <row r="3002" spans="1:6" x14ac:dyDescent="0.25">
      <c r="A3002" t="s">
        <v>4201</v>
      </c>
      <c r="B3002" t="s">
        <v>519</v>
      </c>
      <c r="C3002" t="s">
        <v>190</v>
      </c>
      <c r="D3002" t="str">
        <f>HYPERLINK("http://service.sap.com/sap/support/notes/1759163","1759163")</f>
        <v>1759163</v>
      </c>
      <c r="E3002">
        <v>2</v>
      </c>
      <c r="F3002" t="s">
        <v>533</v>
      </c>
    </row>
    <row r="3003" spans="1:6" x14ac:dyDescent="0.25">
      <c r="A3003" t="s">
        <v>4201</v>
      </c>
      <c r="B3003" t="s">
        <v>519</v>
      </c>
      <c r="C3003" t="s">
        <v>190</v>
      </c>
      <c r="D3003" t="str">
        <f>HYPERLINK("http://service.sap.com/sap/support/notes/1771295","1771295")</f>
        <v>1771295</v>
      </c>
      <c r="E3003">
        <v>4</v>
      </c>
      <c r="F3003" t="s">
        <v>4371</v>
      </c>
    </row>
    <row r="3004" spans="1:6" x14ac:dyDescent="0.25">
      <c r="A3004" t="s">
        <v>4201</v>
      </c>
      <c r="B3004" t="s">
        <v>519</v>
      </c>
      <c r="C3004" t="s">
        <v>190</v>
      </c>
      <c r="D3004" t="str">
        <f>HYPERLINK("http://service.sap.com/sap/support/notes/1771370","1771370")</f>
        <v>1771370</v>
      </c>
      <c r="E3004">
        <v>2</v>
      </c>
      <c r="F3004" t="s">
        <v>4372</v>
      </c>
    </row>
    <row r="3005" spans="1:6" x14ac:dyDescent="0.25">
      <c r="A3005" t="s">
        <v>4201</v>
      </c>
      <c r="B3005" t="s">
        <v>519</v>
      </c>
      <c r="C3005" t="s">
        <v>190</v>
      </c>
      <c r="D3005" t="str">
        <f>HYPERLINK("http://service.sap.com/sap/support/notes/1783989","1783989")</f>
        <v>1783989</v>
      </c>
      <c r="E3005">
        <v>1</v>
      </c>
      <c r="F3005" t="s">
        <v>4373</v>
      </c>
    </row>
    <row r="3006" spans="1:6" x14ac:dyDescent="0.25">
      <c r="A3006" t="s">
        <v>4201</v>
      </c>
      <c r="B3006" t="s">
        <v>519</v>
      </c>
      <c r="C3006" t="s">
        <v>190</v>
      </c>
      <c r="D3006" t="str">
        <f>HYPERLINK("http://service.sap.com/sap/support/notes/1784610","1784610")</f>
        <v>1784610</v>
      </c>
      <c r="E3006">
        <v>1</v>
      </c>
      <c r="F3006" t="s">
        <v>4374</v>
      </c>
    </row>
    <row r="3007" spans="1:6" x14ac:dyDescent="0.25">
      <c r="A3007" t="s">
        <v>4201</v>
      </c>
      <c r="B3007" t="s">
        <v>519</v>
      </c>
      <c r="C3007" t="s">
        <v>190</v>
      </c>
      <c r="D3007" t="str">
        <f>HYPERLINK("http://service.sap.com/sap/support/notes/1786424","1786424")</f>
        <v>1786424</v>
      </c>
      <c r="E3007">
        <v>2</v>
      </c>
      <c r="F3007" t="s">
        <v>4375</v>
      </c>
    </row>
    <row r="3008" spans="1:6" x14ac:dyDescent="0.25">
      <c r="A3008" t="s">
        <v>4201</v>
      </c>
      <c r="B3008" t="s">
        <v>519</v>
      </c>
      <c r="C3008" t="s">
        <v>190</v>
      </c>
      <c r="D3008" t="str">
        <f>HYPERLINK("http://service.sap.com/sap/support/notes/1796460","1796460")</f>
        <v>1796460</v>
      </c>
      <c r="E3008">
        <v>1</v>
      </c>
      <c r="F3008" t="s">
        <v>4376</v>
      </c>
    </row>
    <row r="3009" spans="1:6" x14ac:dyDescent="0.25">
      <c r="A3009" t="s">
        <v>4201</v>
      </c>
      <c r="B3009" t="s">
        <v>535</v>
      </c>
      <c r="C3009" t="s">
        <v>536</v>
      </c>
      <c r="D3009" t="str">
        <f>HYPERLINK("http://service.sap.com/sap/support/notes/1683438","1683438")</f>
        <v>1683438</v>
      </c>
      <c r="E3009">
        <v>2</v>
      </c>
      <c r="F3009" t="s">
        <v>4377</v>
      </c>
    </row>
    <row r="3010" spans="1:6" x14ac:dyDescent="0.25">
      <c r="A3010" t="s">
        <v>4201</v>
      </c>
      <c r="B3010" t="s">
        <v>535</v>
      </c>
      <c r="C3010" t="s">
        <v>536</v>
      </c>
      <c r="D3010" t="str">
        <f>HYPERLINK("http://service.sap.com/sap/support/notes/1703866","1703866")</f>
        <v>1703866</v>
      </c>
      <c r="E3010">
        <v>2</v>
      </c>
      <c r="F3010" t="s">
        <v>4378</v>
      </c>
    </row>
    <row r="3011" spans="1:6" x14ac:dyDescent="0.25">
      <c r="A3011" t="s">
        <v>4201</v>
      </c>
      <c r="B3011" t="s">
        <v>535</v>
      </c>
      <c r="C3011" t="s">
        <v>536</v>
      </c>
      <c r="D3011" t="str">
        <f>HYPERLINK("http://service.sap.com/sap/support/notes/1737163","1737163")</f>
        <v>1737163</v>
      </c>
      <c r="E3011">
        <v>2</v>
      </c>
      <c r="F3011" t="s">
        <v>4379</v>
      </c>
    </row>
    <row r="3012" spans="1:6" x14ac:dyDescent="0.25">
      <c r="A3012" t="s">
        <v>4201</v>
      </c>
      <c r="B3012" t="s">
        <v>535</v>
      </c>
      <c r="C3012" t="s">
        <v>536</v>
      </c>
      <c r="D3012" t="str">
        <f>HYPERLINK("http://service.sap.com/sap/support/notes/1753783","1753783")</f>
        <v>1753783</v>
      </c>
      <c r="E3012">
        <v>3</v>
      </c>
      <c r="F3012" t="s">
        <v>4380</v>
      </c>
    </row>
    <row r="3013" spans="1:6" x14ac:dyDescent="0.25">
      <c r="A3013" t="s">
        <v>4201</v>
      </c>
      <c r="B3013" t="s">
        <v>4381</v>
      </c>
      <c r="C3013" t="s">
        <v>824</v>
      </c>
      <c r="D3013" t="str">
        <f>HYPERLINK("http://service.sap.com/sap/support/notes/1756486","1756486")</f>
        <v>1756486</v>
      </c>
      <c r="E3013">
        <v>4</v>
      </c>
      <c r="F3013" t="s">
        <v>4382</v>
      </c>
    </row>
    <row r="3014" spans="1:6" x14ac:dyDescent="0.25">
      <c r="A3014" t="s">
        <v>4201</v>
      </c>
      <c r="B3014" t="s">
        <v>4381</v>
      </c>
      <c r="C3014" t="s">
        <v>824</v>
      </c>
      <c r="D3014" t="str">
        <f>HYPERLINK("http://service.sap.com/sap/support/notes/1772369","1772369")</f>
        <v>1772369</v>
      </c>
      <c r="E3014">
        <v>3</v>
      </c>
      <c r="F3014" t="s">
        <v>4383</v>
      </c>
    </row>
    <row r="3015" spans="1:6" x14ac:dyDescent="0.25">
      <c r="A3015" t="s">
        <v>4201</v>
      </c>
      <c r="B3015" t="s">
        <v>4381</v>
      </c>
      <c r="C3015" t="s">
        <v>824</v>
      </c>
      <c r="D3015" t="str">
        <f>HYPERLINK("http://service.sap.com/sap/support/notes/1775330","1775330")</f>
        <v>1775330</v>
      </c>
      <c r="E3015">
        <v>2</v>
      </c>
      <c r="F3015" t="s">
        <v>4384</v>
      </c>
    </row>
    <row r="3016" spans="1:6" x14ac:dyDescent="0.25">
      <c r="A3016" t="s">
        <v>4201</v>
      </c>
      <c r="B3016" t="s">
        <v>4381</v>
      </c>
      <c r="C3016" t="s">
        <v>824</v>
      </c>
      <c r="D3016" t="str">
        <f>HYPERLINK("http://service.sap.com/sap/support/notes/1789710","1789710")</f>
        <v>1789710</v>
      </c>
      <c r="E3016">
        <v>1</v>
      </c>
      <c r="F3016" t="s">
        <v>4385</v>
      </c>
    </row>
    <row r="3017" spans="1:6" x14ac:dyDescent="0.25">
      <c r="A3017" t="s">
        <v>4201</v>
      </c>
      <c r="B3017" t="s">
        <v>543</v>
      </c>
      <c r="C3017" t="s">
        <v>29</v>
      </c>
      <c r="D3017" t="str">
        <f>HYPERLINK("http://service.sap.com/sap/support/notes/1780000","1780000")</f>
        <v>1780000</v>
      </c>
      <c r="E3017">
        <v>1</v>
      </c>
      <c r="F3017" t="s">
        <v>4386</v>
      </c>
    </row>
    <row r="3018" spans="1:6" x14ac:dyDescent="0.25">
      <c r="A3018" t="s">
        <v>4201</v>
      </c>
      <c r="B3018" t="s">
        <v>543</v>
      </c>
      <c r="C3018" t="s">
        <v>29</v>
      </c>
      <c r="D3018" t="str">
        <f>HYPERLINK("http://service.sap.com/sap/support/notes/1780067","1780067")</f>
        <v>1780067</v>
      </c>
      <c r="E3018">
        <v>1</v>
      </c>
      <c r="F3018" t="s">
        <v>4387</v>
      </c>
    </row>
    <row r="3019" spans="1:6" x14ac:dyDescent="0.25">
      <c r="A3019" t="s">
        <v>4201</v>
      </c>
      <c r="B3019" t="s">
        <v>543</v>
      </c>
      <c r="C3019" t="s">
        <v>29</v>
      </c>
      <c r="D3019" t="str">
        <f>HYPERLINK("http://service.sap.com/sap/support/notes/1780944","1780944")</f>
        <v>1780944</v>
      </c>
      <c r="E3019">
        <v>1</v>
      </c>
      <c r="F3019" t="s">
        <v>4388</v>
      </c>
    </row>
    <row r="3020" spans="1:6" x14ac:dyDescent="0.25">
      <c r="A3020" t="s">
        <v>4201</v>
      </c>
      <c r="B3020" t="s">
        <v>543</v>
      </c>
      <c r="C3020" t="s">
        <v>29</v>
      </c>
      <c r="D3020" t="str">
        <f>HYPERLINK("http://service.sap.com/sap/support/notes/1787281","1787281")</f>
        <v>1787281</v>
      </c>
      <c r="E3020">
        <v>1</v>
      </c>
      <c r="F3020" t="s">
        <v>4389</v>
      </c>
    </row>
    <row r="3021" spans="1:6" x14ac:dyDescent="0.25">
      <c r="A3021" t="s">
        <v>4201</v>
      </c>
      <c r="B3021" t="s">
        <v>543</v>
      </c>
      <c r="C3021" t="s">
        <v>29</v>
      </c>
      <c r="D3021" t="str">
        <f>HYPERLINK("http://service.sap.com/sap/support/notes/1788519","1788519")</f>
        <v>1788519</v>
      </c>
      <c r="E3021">
        <v>1</v>
      </c>
      <c r="F3021" t="s">
        <v>4390</v>
      </c>
    </row>
    <row r="3022" spans="1:6" x14ac:dyDescent="0.25">
      <c r="A3022" t="s">
        <v>4201</v>
      </c>
      <c r="B3022" t="s">
        <v>545</v>
      </c>
      <c r="C3022" t="s">
        <v>546</v>
      </c>
      <c r="D3022" t="str">
        <f>HYPERLINK("http://service.sap.com/sap/support/notes/1748735","1748735")</f>
        <v>1748735</v>
      </c>
      <c r="E3022">
        <v>3</v>
      </c>
      <c r="F3022" t="s">
        <v>4391</v>
      </c>
    </row>
    <row r="3023" spans="1:6" x14ac:dyDescent="0.25">
      <c r="A3023" t="s">
        <v>4201</v>
      </c>
      <c r="B3023" t="s">
        <v>545</v>
      </c>
      <c r="C3023" t="s">
        <v>546</v>
      </c>
      <c r="D3023" t="str">
        <f>HYPERLINK("http://service.sap.com/sap/support/notes/1778882","1778882")</f>
        <v>1778882</v>
      </c>
      <c r="E3023">
        <v>1</v>
      </c>
      <c r="F3023" t="s">
        <v>4392</v>
      </c>
    </row>
    <row r="3024" spans="1:6" x14ac:dyDescent="0.25">
      <c r="A3024" t="s">
        <v>4201</v>
      </c>
      <c r="B3024" t="s">
        <v>4393</v>
      </c>
      <c r="C3024" t="s">
        <v>3041</v>
      </c>
      <c r="D3024" t="str">
        <f>HYPERLINK("http://service.sap.com/sap/support/notes/36406","36406")</f>
        <v>36406</v>
      </c>
      <c r="E3024">
        <v>22</v>
      </c>
      <c r="F3024" t="s">
        <v>4394</v>
      </c>
    </row>
    <row r="3025" spans="1:6" x14ac:dyDescent="0.25">
      <c r="A3025" t="s">
        <v>4201</v>
      </c>
      <c r="B3025" t="s">
        <v>4393</v>
      </c>
      <c r="C3025" t="s">
        <v>3041</v>
      </c>
      <c r="D3025" t="str">
        <f>HYPERLINK("http://service.sap.com/sap/support/notes/1733642","1733642")</f>
        <v>1733642</v>
      </c>
      <c r="E3025">
        <v>2</v>
      </c>
      <c r="F3025" t="s">
        <v>4395</v>
      </c>
    </row>
    <row r="3026" spans="1:6" x14ac:dyDescent="0.25">
      <c r="A3026" t="s">
        <v>4201</v>
      </c>
      <c r="B3026" t="s">
        <v>550</v>
      </c>
      <c r="C3026" t="s">
        <v>551</v>
      </c>
      <c r="D3026" t="str">
        <f>HYPERLINK("http://service.sap.com/sap/support/notes/1788676","1788676")</f>
        <v>1788676</v>
      </c>
      <c r="E3026">
        <v>1</v>
      </c>
      <c r="F3026" t="s">
        <v>4396</v>
      </c>
    </row>
    <row r="3027" spans="1:6" x14ac:dyDescent="0.25">
      <c r="A3027" t="s">
        <v>4201</v>
      </c>
      <c r="B3027" t="s">
        <v>553</v>
      </c>
      <c r="C3027" t="s">
        <v>554</v>
      </c>
    </row>
    <row r="3028" spans="1:6" x14ac:dyDescent="0.25">
      <c r="A3028" t="s">
        <v>4201</v>
      </c>
      <c r="B3028" t="s">
        <v>555</v>
      </c>
      <c r="C3028" t="s">
        <v>556</v>
      </c>
      <c r="D3028" t="str">
        <f>HYPERLINK("http://service.sap.com/sap/support/notes/1599717","1599717")</f>
        <v>1599717</v>
      </c>
      <c r="E3028">
        <v>5</v>
      </c>
      <c r="F3028" t="s">
        <v>4397</v>
      </c>
    </row>
    <row r="3029" spans="1:6" x14ac:dyDescent="0.25">
      <c r="A3029" t="s">
        <v>4201</v>
      </c>
      <c r="B3029" t="s">
        <v>555</v>
      </c>
      <c r="C3029" t="s">
        <v>556</v>
      </c>
      <c r="D3029" t="str">
        <f>HYPERLINK("http://service.sap.com/sap/support/notes/1703534","1703534")</f>
        <v>1703534</v>
      </c>
      <c r="E3029">
        <v>8</v>
      </c>
      <c r="F3029" t="s">
        <v>4398</v>
      </c>
    </row>
    <row r="3030" spans="1:6" x14ac:dyDescent="0.25">
      <c r="A3030" t="s">
        <v>4201</v>
      </c>
      <c r="B3030" t="s">
        <v>555</v>
      </c>
      <c r="C3030" t="s">
        <v>556</v>
      </c>
      <c r="D3030" t="str">
        <f>HYPERLINK("http://service.sap.com/sap/support/notes/1704488","1704488")</f>
        <v>1704488</v>
      </c>
      <c r="E3030">
        <v>3</v>
      </c>
      <c r="F3030" t="s">
        <v>4399</v>
      </c>
    </row>
    <row r="3031" spans="1:6" x14ac:dyDescent="0.25">
      <c r="A3031" t="s">
        <v>4201</v>
      </c>
      <c r="B3031" t="s">
        <v>555</v>
      </c>
      <c r="C3031" t="s">
        <v>556</v>
      </c>
      <c r="D3031" t="str">
        <f>HYPERLINK("http://service.sap.com/sap/support/notes/1718960","1718960")</f>
        <v>1718960</v>
      </c>
      <c r="E3031">
        <v>2</v>
      </c>
      <c r="F3031" t="s">
        <v>4400</v>
      </c>
    </row>
    <row r="3032" spans="1:6" x14ac:dyDescent="0.25">
      <c r="A3032" t="s">
        <v>4201</v>
      </c>
      <c r="B3032" t="s">
        <v>555</v>
      </c>
      <c r="C3032" t="s">
        <v>556</v>
      </c>
      <c r="D3032" t="str">
        <f>HYPERLINK("http://service.sap.com/sap/support/notes/1746881","1746881")</f>
        <v>1746881</v>
      </c>
      <c r="E3032">
        <v>2</v>
      </c>
      <c r="F3032" t="s">
        <v>4401</v>
      </c>
    </row>
    <row r="3033" spans="1:6" x14ac:dyDescent="0.25">
      <c r="A3033" t="s">
        <v>4201</v>
      </c>
      <c r="B3033" t="s">
        <v>555</v>
      </c>
      <c r="C3033" t="s">
        <v>556</v>
      </c>
      <c r="D3033" t="str">
        <f>HYPERLINK("http://service.sap.com/sap/support/notes/1758544","1758544")</f>
        <v>1758544</v>
      </c>
      <c r="E3033">
        <v>7</v>
      </c>
      <c r="F3033" t="s">
        <v>4402</v>
      </c>
    </row>
    <row r="3034" spans="1:6" x14ac:dyDescent="0.25">
      <c r="A3034" t="s">
        <v>4201</v>
      </c>
      <c r="B3034" t="s">
        <v>555</v>
      </c>
      <c r="C3034" t="s">
        <v>556</v>
      </c>
      <c r="D3034" t="str">
        <f>HYPERLINK("http://service.sap.com/sap/support/notes/1758822","1758822")</f>
        <v>1758822</v>
      </c>
      <c r="E3034">
        <v>2</v>
      </c>
      <c r="F3034" t="s">
        <v>4403</v>
      </c>
    </row>
    <row r="3035" spans="1:6" x14ac:dyDescent="0.25">
      <c r="A3035" t="s">
        <v>4201</v>
      </c>
      <c r="B3035" t="s">
        <v>555</v>
      </c>
      <c r="C3035" t="s">
        <v>556</v>
      </c>
      <c r="D3035" t="str">
        <f>HYPERLINK("http://service.sap.com/sap/support/notes/1764202","1764202")</f>
        <v>1764202</v>
      </c>
      <c r="E3035">
        <v>2</v>
      </c>
      <c r="F3035" t="s">
        <v>4404</v>
      </c>
    </row>
    <row r="3036" spans="1:6" x14ac:dyDescent="0.25">
      <c r="A3036" t="s">
        <v>4201</v>
      </c>
      <c r="B3036" t="s">
        <v>555</v>
      </c>
      <c r="C3036" t="s">
        <v>556</v>
      </c>
      <c r="D3036" t="str">
        <f>HYPERLINK("http://service.sap.com/sap/support/notes/1766634","1766634")</f>
        <v>1766634</v>
      </c>
      <c r="E3036">
        <v>2</v>
      </c>
      <c r="F3036" t="s">
        <v>4405</v>
      </c>
    </row>
    <row r="3037" spans="1:6" x14ac:dyDescent="0.25">
      <c r="A3037" t="s">
        <v>4201</v>
      </c>
      <c r="B3037" t="s">
        <v>555</v>
      </c>
      <c r="C3037" t="s">
        <v>556</v>
      </c>
      <c r="D3037" t="str">
        <f>HYPERLINK("http://service.sap.com/sap/support/notes/1768415","1768415")</f>
        <v>1768415</v>
      </c>
      <c r="E3037">
        <v>2</v>
      </c>
      <c r="F3037" t="s">
        <v>4406</v>
      </c>
    </row>
    <row r="3038" spans="1:6" x14ac:dyDescent="0.25">
      <c r="A3038" t="s">
        <v>4201</v>
      </c>
      <c r="B3038" t="s">
        <v>555</v>
      </c>
      <c r="C3038" t="s">
        <v>556</v>
      </c>
      <c r="D3038" t="str">
        <f>HYPERLINK("http://service.sap.com/sap/support/notes/1770305","1770305")</f>
        <v>1770305</v>
      </c>
      <c r="E3038">
        <v>2</v>
      </c>
      <c r="F3038" t="s">
        <v>4407</v>
      </c>
    </row>
    <row r="3039" spans="1:6" x14ac:dyDescent="0.25">
      <c r="A3039" t="s">
        <v>4201</v>
      </c>
      <c r="B3039" t="s">
        <v>555</v>
      </c>
      <c r="C3039" t="s">
        <v>556</v>
      </c>
      <c r="D3039" t="str">
        <f>HYPERLINK("http://service.sap.com/sap/support/notes/1773043","1773043")</f>
        <v>1773043</v>
      </c>
      <c r="E3039">
        <v>1</v>
      </c>
      <c r="F3039" t="s">
        <v>575</v>
      </c>
    </row>
    <row r="3040" spans="1:6" x14ac:dyDescent="0.25">
      <c r="A3040" t="s">
        <v>4201</v>
      </c>
      <c r="B3040" t="s">
        <v>555</v>
      </c>
      <c r="C3040" t="s">
        <v>556</v>
      </c>
      <c r="D3040" t="str">
        <f>HYPERLINK("http://service.sap.com/sap/support/notes/1773332","1773332")</f>
        <v>1773332</v>
      </c>
      <c r="E3040">
        <v>2</v>
      </c>
      <c r="F3040" t="s">
        <v>4408</v>
      </c>
    </row>
    <row r="3041" spans="1:6" x14ac:dyDescent="0.25">
      <c r="A3041" t="s">
        <v>4201</v>
      </c>
      <c r="B3041" t="s">
        <v>555</v>
      </c>
      <c r="C3041" t="s">
        <v>556</v>
      </c>
      <c r="D3041" t="str">
        <f>HYPERLINK("http://service.sap.com/sap/support/notes/1773623","1773623")</f>
        <v>1773623</v>
      </c>
      <c r="E3041">
        <v>4</v>
      </c>
      <c r="F3041" t="s">
        <v>4409</v>
      </c>
    </row>
    <row r="3042" spans="1:6" x14ac:dyDescent="0.25">
      <c r="A3042" t="s">
        <v>4201</v>
      </c>
      <c r="B3042" t="s">
        <v>555</v>
      </c>
      <c r="C3042" t="s">
        <v>556</v>
      </c>
      <c r="D3042" t="str">
        <f>HYPERLINK("http://service.sap.com/sap/support/notes/1783412","1783412")</f>
        <v>1783412</v>
      </c>
    </row>
    <row r="3043" spans="1:6" x14ac:dyDescent="0.25">
      <c r="A3043" t="s">
        <v>4201</v>
      </c>
      <c r="B3043" t="s">
        <v>555</v>
      </c>
      <c r="C3043" t="s">
        <v>556</v>
      </c>
      <c r="D3043" t="str">
        <f>HYPERLINK("http://service.sap.com/sap/support/notes/1785783","1785783")</f>
        <v>1785783</v>
      </c>
    </row>
    <row r="3044" spans="1:6" x14ac:dyDescent="0.25">
      <c r="A3044" t="s">
        <v>4201</v>
      </c>
      <c r="B3044" t="s">
        <v>555</v>
      </c>
      <c r="C3044" t="s">
        <v>556</v>
      </c>
      <c r="D3044" t="str">
        <f>HYPERLINK("http://service.sap.com/sap/support/notes/1786893","1786893")</f>
        <v>1786893</v>
      </c>
      <c r="E3044">
        <v>3</v>
      </c>
      <c r="F3044" t="s">
        <v>4410</v>
      </c>
    </row>
    <row r="3045" spans="1:6" x14ac:dyDescent="0.25">
      <c r="A3045" t="s">
        <v>4201</v>
      </c>
      <c r="B3045" t="s">
        <v>555</v>
      </c>
      <c r="C3045" t="s">
        <v>556</v>
      </c>
      <c r="D3045" t="str">
        <f>HYPERLINK("http://service.sap.com/sap/support/notes/1788096","1788096")</f>
        <v>1788096</v>
      </c>
      <c r="E3045">
        <v>3</v>
      </c>
      <c r="F3045" t="s">
        <v>4411</v>
      </c>
    </row>
    <row r="3046" spans="1:6" x14ac:dyDescent="0.25">
      <c r="A3046" t="s">
        <v>4201</v>
      </c>
      <c r="B3046" t="s">
        <v>555</v>
      </c>
      <c r="C3046" t="s">
        <v>556</v>
      </c>
      <c r="D3046" t="str">
        <f>HYPERLINK("http://service.sap.com/sap/support/notes/1789638","1789638")</f>
        <v>1789638</v>
      </c>
    </row>
    <row r="3047" spans="1:6" x14ac:dyDescent="0.25">
      <c r="A3047" t="s">
        <v>4201</v>
      </c>
      <c r="B3047" t="s">
        <v>555</v>
      </c>
      <c r="C3047" t="s">
        <v>556</v>
      </c>
      <c r="D3047" t="str">
        <f>HYPERLINK("http://service.sap.com/sap/support/notes/1790337","1790337")</f>
        <v>1790337</v>
      </c>
    </row>
    <row r="3048" spans="1:6" x14ac:dyDescent="0.25">
      <c r="A3048" t="s">
        <v>4201</v>
      </c>
      <c r="B3048" t="s">
        <v>555</v>
      </c>
      <c r="C3048" t="s">
        <v>556</v>
      </c>
      <c r="D3048" t="str">
        <f>HYPERLINK("http://service.sap.com/sap/support/notes/1792216","1792216")</f>
        <v>1792216</v>
      </c>
      <c r="E3048">
        <v>1</v>
      </c>
      <c r="F3048" t="s">
        <v>4412</v>
      </c>
    </row>
    <row r="3049" spans="1:6" x14ac:dyDescent="0.25">
      <c r="A3049" t="s">
        <v>4201</v>
      </c>
      <c r="B3049" t="s">
        <v>555</v>
      </c>
      <c r="C3049" t="s">
        <v>556</v>
      </c>
      <c r="D3049" t="str">
        <f>HYPERLINK("http://service.sap.com/sap/support/notes/1792833","1792833")</f>
        <v>1792833</v>
      </c>
    </row>
    <row r="3050" spans="1:6" x14ac:dyDescent="0.25">
      <c r="A3050" t="s">
        <v>4201</v>
      </c>
      <c r="B3050" t="s">
        <v>555</v>
      </c>
      <c r="C3050" t="s">
        <v>556</v>
      </c>
      <c r="D3050" t="str">
        <f>HYPERLINK("http://service.sap.com/sap/support/notes/1793102","1793102")</f>
        <v>1793102</v>
      </c>
      <c r="E3050">
        <v>2</v>
      </c>
      <c r="F3050" t="s">
        <v>4413</v>
      </c>
    </row>
    <row r="3051" spans="1:6" x14ac:dyDescent="0.25">
      <c r="A3051" t="s">
        <v>4201</v>
      </c>
      <c r="B3051" t="s">
        <v>4414</v>
      </c>
      <c r="C3051" t="s">
        <v>4415</v>
      </c>
      <c r="D3051" t="str">
        <f>HYPERLINK("http://service.sap.com/sap/support/notes/1729318","1729318")</f>
        <v>1729318</v>
      </c>
      <c r="E3051">
        <v>4</v>
      </c>
      <c r="F3051" t="s">
        <v>4416</v>
      </c>
    </row>
    <row r="3052" spans="1:6" x14ac:dyDescent="0.25">
      <c r="A3052" t="s">
        <v>4201</v>
      </c>
      <c r="B3052" t="s">
        <v>576</v>
      </c>
      <c r="C3052" t="s">
        <v>577</v>
      </c>
      <c r="D3052" t="str">
        <f>HYPERLINK("http://service.sap.com/sap/support/notes/1740420","1740420")</f>
        <v>1740420</v>
      </c>
      <c r="E3052">
        <v>2</v>
      </c>
      <c r="F3052" t="s">
        <v>4417</v>
      </c>
    </row>
    <row r="3053" spans="1:6" x14ac:dyDescent="0.25">
      <c r="A3053" t="s">
        <v>4201</v>
      </c>
      <c r="B3053" t="s">
        <v>576</v>
      </c>
      <c r="C3053" t="s">
        <v>577</v>
      </c>
      <c r="D3053" t="str">
        <f>HYPERLINK("http://service.sap.com/sap/support/notes/1745766","1745766")</f>
        <v>1745766</v>
      </c>
      <c r="E3053">
        <v>5</v>
      </c>
      <c r="F3053" t="s">
        <v>4418</v>
      </c>
    </row>
    <row r="3054" spans="1:6" x14ac:dyDescent="0.25">
      <c r="A3054" t="s">
        <v>4201</v>
      </c>
      <c r="B3054" t="s">
        <v>4419</v>
      </c>
      <c r="C3054" t="s">
        <v>4420</v>
      </c>
      <c r="D3054" t="str">
        <f>HYPERLINK("http://service.sap.com/sap/support/notes/1729509","1729509")</f>
        <v>1729509</v>
      </c>
      <c r="E3054">
        <v>1</v>
      </c>
      <c r="F3054" t="s">
        <v>4421</v>
      </c>
    </row>
    <row r="3055" spans="1:6" x14ac:dyDescent="0.25">
      <c r="A3055" t="s">
        <v>4201</v>
      </c>
      <c r="B3055" t="s">
        <v>585</v>
      </c>
      <c r="C3055" t="s">
        <v>4422</v>
      </c>
    </row>
    <row r="3056" spans="1:6" x14ac:dyDescent="0.25">
      <c r="A3056" t="s">
        <v>4201</v>
      </c>
      <c r="B3056" t="s">
        <v>4423</v>
      </c>
      <c r="C3056" t="s">
        <v>4424</v>
      </c>
      <c r="D3056" t="str">
        <f>HYPERLINK("http://service.sap.com/sap/support/notes/1755135","1755135")</f>
        <v>1755135</v>
      </c>
      <c r="E3056">
        <v>1</v>
      </c>
      <c r="F3056" t="s">
        <v>4425</v>
      </c>
    </row>
    <row r="3057" spans="1:6" x14ac:dyDescent="0.25">
      <c r="A3057" t="s">
        <v>4201</v>
      </c>
      <c r="B3057" t="s">
        <v>4423</v>
      </c>
      <c r="C3057" t="s">
        <v>4424</v>
      </c>
      <c r="D3057" t="str">
        <f>HYPERLINK("http://service.sap.com/sap/support/notes/1755713","1755713")</f>
        <v>1755713</v>
      </c>
      <c r="E3057">
        <v>1</v>
      </c>
      <c r="F3057" t="s">
        <v>4426</v>
      </c>
    </row>
    <row r="3058" spans="1:6" x14ac:dyDescent="0.25">
      <c r="A3058" t="s">
        <v>4201</v>
      </c>
      <c r="B3058" t="s">
        <v>4427</v>
      </c>
      <c r="C3058" t="s">
        <v>4428</v>
      </c>
      <c r="D3058" t="str">
        <f>HYPERLINK("http://service.sap.com/sap/support/notes/1641503","1641503")</f>
        <v>1641503</v>
      </c>
      <c r="E3058">
        <v>3</v>
      </c>
      <c r="F3058" t="s">
        <v>4429</v>
      </c>
    </row>
    <row r="3059" spans="1:6" x14ac:dyDescent="0.25">
      <c r="A3059" t="s">
        <v>4201</v>
      </c>
      <c r="B3059" t="s">
        <v>4427</v>
      </c>
      <c r="C3059" t="s">
        <v>4428</v>
      </c>
      <c r="D3059" t="str">
        <f>HYPERLINK("http://service.sap.com/sap/support/notes/1773556","1773556")</f>
        <v>1773556</v>
      </c>
      <c r="E3059">
        <v>2</v>
      </c>
      <c r="F3059" t="s">
        <v>4430</v>
      </c>
    </row>
    <row r="3060" spans="1:6" x14ac:dyDescent="0.25">
      <c r="A3060" t="s">
        <v>4201</v>
      </c>
      <c r="B3060" t="s">
        <v>4427</v>
      </c>
      <c r="C3060" t="s">
        <v>4428</v>
      </c>
      <c r="D3060" t="str">
        <f>HYPERLINK("http://service.sap.com/sap/support/notes/1785303","1785303")</f>
        <v>1785303</v>
      </c>
      <c r="E3060">
        <v>1</v>
      </c>
      <c r="F3060" t="s">
        <v>4431</v>
      </c>
    </row>
    <row r="3061" spans="1:6" x14ac:dyDescent="0.25">
      <c r="A3061" t="s">
        <v>4201</v>
      </c>
      <c r="B3061" t="s">
        <v>4427</v>
      </c>
      <c r="C3061" t="s">
        <v>4428</v>
      </c>
      <c r="D3061" t="str">
        <f>HYPERLINK("http://service.sap.com/sap/support/notes/1788623","1788623")</f>
        <v>1788623</v>
      </c>
      <c r="E3061">
        <v>1</v>
      </c>
      <c r="F3061" t="s">
        <v>4432</v>
      </c>
    </row>
    <row r="3062" spans="1:6" x14ac:dyDescent="0.25">
      <c r="A3062" t="s">
        <v>4201</v>
      </c>
      <c r="B3062" t="s">
        <v>4427</v>
      </c>
      <c r="C3062" t="s">
        <v>4428</v>
      </c>
      <c r="D3062" t="str">
        <f>HYPERLINK("http://service.sap.com/sap/support/notes/1791685","1791685")</f>
        <v>1791685</v>
      </c>
      <c r="E3062">
        <v>1</v>
      </c>
      <c r="F3062" t="s">
        <v>4433</v>
      </c>
    </row>
    <row r="3063" spans="1:6" x14ac:dyDescent="0.25">
      <c r="A3063" t="s">
        <v>4201</v>
      </c>
      <c r="B3063" t="s">
        <v>593</v>
      </c>
      <c r="C3063" t="s">
        <v>594</v>
      </c>
      <c r="D3063" t="str">
        <f>HYPERLINK("http://service.sap.com/sap/support/notes/1745526","1745526")</f>
        <v>1745526</v>
      </c>
      <c r="E3063">
        <v>2</v>
      </c>
      <c r="F3063" t="s">
        <v>4434</v>
      </c>
    </row>
    <row r="3064" spans="1:6" x14ac:dyDescent="0.25">
      <c r="A3064" t="s">
        <v>4201</v>
      </c>
      <c r="B3064" t="s">
        <v>593</v>
      </c>
      <c r="C3064" t="s">
        <v>594</v>
      </c>
      <c r="D3064" t="str">
        <f>HYPERLINK("http://service.sap.com/sap/support/notes/1749945","1749945")</f>
        <v>1749945</v>
      </c>
      <c r="E3064">
        <v>2</v>
      </c>
      <c r="F3064" t="s">
        <v>4435</v>
      </c>
    </row>
    <row r="3065" spans="1:6" x14ac:dyDescent="0.25">
      <c r="A3065" t="s">
        <v>4201</v>
      </c>
      <c r="B3065" t="s">
        <v>593</v>
      </c>
      <c r="C3065" t="s">
        <v>594</v>
      </c>
      <c r="D3065" t="str">
        <f>HYPERLINK("http://service.sap.com/sap/support/notes/1762743","1762743")</f>
        <v>1762743</v>
      </c>
      <c r="E3065">
        <v>3</v>
      </c>
      <c r="F3065" t="s">
        <v>4436</v>
      </c>
    </row>
    <row r="3066" spans="1:6" x14ac:dyDescent="0.25">
      <c r="A3066" t="s">
        <v>4201</v>
      </c>
      <c r="B3066" t="s">
        <v>593</v>
      </c>
      <c r="C3066" t="s">
        <v>594</v>
      </c>
      <c r="D3066" t="str">
        <f>HYPERLINK("http://service.sap.com/sap/support/notes/1762806","1762806")</f>
        <v>1762806</v>
      </c>
      <c r="E3066">
        <v>1</v>
      </c>
      <c r="F3066" t="s">
        <v>4437</v>
      </c>
    </row>
    <row r="3067" spans="1:6" x14ac:dyDescent="0.25">
      <c r="A3067" t="s">
        <v>4201</v>
      </c>
      <c r="B3067" t="s">
        <v>593</v>
      </c>
      <c r="C3067" t="s">
        <v>594</v>
      </c>
      <c r="D3067" t="str">
        <f>HYPERLINK("http://service.sap.com/sap/support/notes/1763862","1763862")</f>
        <v>1763862</v>
      </c>
      <c r="E3067">
        <v>1</v>
      </c>
      <c r="F3067" t="s">
        <v>4438</v>
      </c>
    </row>
    <row r="3068" spans="1:6" x14ac:dyDescent="0.25">
      <c r="A3068" t="s">
        <v>4201</v>
      </c>
      <c r="B3068" t="s">
        <v>593</v>
      </c>
      <c r="C3068" t="s">
        <v>594</v>
      </c>
      <c r="D3068" t="str">
        <f>HYPERLINK("http://service.sap.com/sap/support/notes/1764769","1764769")</f>
        <v>1764769</v>
      </c>
      <c r="E3068">
        <v>1</v>
      </c>
      <c r="F3068" t="s">
        <v>4439</v>
      </c>
    </row>
    <row r="3069" spans="1:6" x14ac:dyDescent="0.25">
      <c r="A3069" t="s">
        <v>4201</v>
      </c>
      <c r="B3069" t="s">
        <v>593</v>
      </c>
      <c r="C3069" t="s">
        <v>594</v>
      </c>
      <c r="D3069" t="str">
        <f>HYPERLINK("http://service.sap.com/sap/support/notes/1770802","1770802")</f>
        <v>1770802</v>
      </c>
      <c r="E3069">
        <v>1</v>
      </c>
      <c r="F3069" t="s">
        <v>4440</v>
      </c>
    </row>
    <row r="3070" spans="1:6" x14ac:dyDescent="0.25">
      <c r="A3070" t="s">
        <v>4201</v>
      </c>
      <c r="B3070" t="s">
        <v>593</v>
      </c>
      <c r="C3070" t="s">
        <v>594</v>
      </c>
      <c r="D3070" t="str">
        <f>HYPERLINK("http://service.sap.com/sap/support/notes/1772475","1772475")</f>
        <v>1772475</v>
      </c>
      <c r="E3070">
        <v>1</v>
      </c>
      <c r="F3070" t="s">
        <v>4441</v>
      </c>
    </row>
    <row r="3071" spans="1:6" x14ac:dyDescent="0.25">
      <c r="A3071" t="s">
        <v>4201</v>
      </c>
      <c r="B3071" t="s">
        <v>593</v>
      </c>
      <c r="C3071" t="s">
        <v>594</v>
      </c>
      <c r="D3071" t="str">
        <f>HYPERLINK("http://service.sap.com/sap/support/notes/1777228","1777228")</f>
        <v>1777228</v>
      </c>
      <c r="E3071">
        <v>3</v>
      </c>
      <c r="F3071" t="s">
        <v>4442</v>
      </c>
    </row>
    <row r="3072" spans="1:6" x14ac:dyDescent="0.25">
      <c r="A3072" t="s">
        <v>4201</v>
      </c>
      <c r="B3072" t="s">
        <v>593</v>
      </c>
      <c r="C3072" t="s">
        <v>594</v>
      </c>
      <c r="D3072" t="str">
        <f>HYPERLINK("http://service.sap.com/sap/support/notes/1778353","1778353")</f>
        <v>1778353</v>
      </c>
      <c r="E3072">
        <v>2</v>
      </c>
      <c r="F3072" t="s">
        <v>4443</v>
      </c>
    </row>
    <row r="3073" spans="1:6" x14ac:dyDescent="0.25">
      <c r="A3073" t="s">
        <v>4201</v>
      </c>
      <c r="B3073" t="s">
        <v>593</v>
      </c>
      <c r="C3073" t="s">
        <v>594</v>
      </c>
      <c r="D3073" t="str">
        <f>HYPERLINK("http://service.sap.com/sap/support/notes/1785603","1785603")</f>
        <v>1785603</v>
      </c>
      <c r="E3073">
        <v>1</v>
      </c>
      <c r="F3073" t="s">
        <v>4440</v>
      </c>
    </row>
    <row r="3074" spans="1:6" x14ac:dyDescent="0.25">
      <c r="A3074" t="s">
        <v>4201</v>
      </c>
      <c r="B3074" t="s">
        <v>4444</v>
      </c>
      <c r="C3074" t="s">
        <v>4445</v>
      </c>
      <c r="D3074" t="str">
        <f>HYPERLINK("http://service.sap.com/sap/support/notes/1772160","1772160")</f>
        <v>1772160</v>
      </c>
      <c r="E3074">
        <v>1</v>
      </c>
      <c r="F3074" t="s">
        <v>4446</v>
      </c>
    </row>
    <row r="3075" spans="1:6" x14ac:dyDescent="0.25">
      <c r="A3075" t="s">
        <v>4201</v>
      </c>
      <c r="B3075" t="s">
        <v>4447</v>
      </c>
      <c r="C3075" t="s">
        <v>4448</v>
      </c>
      <c r="D3075" t="str">
        <f>HYPERLINK("http://service.sap.com/sap/support/notes/1766154","1766154")</f>
        <v>1766154</v>
      </c>
      <c r="E3075">
        <v>2</v>
      </c>
      <c r="F3075" t="s">
        <v>4449</v>
      </c>
    </row>
    <row r="3076" spans="1:6" x14ac:dyDescent="0.25">
      <c r="A3076" t="s">
        <v>4201</v>
      </c>
      <c r="B3076" t="s">
        <v>598</v>
      </c>
      <c r="C3076" t="s">
        <v>599</v>
      </c>
      <c r="D3076" t="str">
        <f>HYPERLINK("http://service.sap.com/sap/support/notes/1772541","1772541")</f>
        <v>1772541</v>
      </c>
      <c r="E3076">
        <v>3</v>
      </c>
      <c r="F3076" t="s">
        <v>4450</v>
      </c>
    </row>
    <row r="3077" spans="1:6" x14ac:dyDescent="0.25">
      <c r="A3077" t="s">
        <v>4201</v>
      </c>
      <c r="B3077" t="s">
        <v>598</v>
      </c>
      <c r="C3077" t="s">
        <v>599</v>
      </c>
      <c r="D3077" t="str">
        <f>HYPERLINK("http://service.sap.com/sap/support/notes/1778844","1778844")</f>
        <v>1778844</v>
      </c>
      <c r="E3077">
        <v>3</v>
      </c>
      <c r="F3077" t="s">
        <v>4451</v>
      </c>
    </row>
    <row r="3078" spans="1:6" x14ac:dyDescent="0.25">
      <c r="A3078" t="s">
        <v>4201</v>
      </c>
      <c r="B3078" t="s">
        <v>598</v>
      </c>
      <c r="C3078" t="s">
        <v>599</v>
      </c>
      <c r="D3078" t="str">
        <f>HYPERLINK("http://service.sap.com/sap/support/notes/1780953","1780953")</f>
        <v>1780953</v>
      </c>
      <c r="E3078">
        <v>1</v>
      </c>
      <c r="F3078" t="s">
        <v>4452</v>
      </c>
    </row>
    <row r="3079" spans="1:6" x14ac:dyDescent="0.25">
      <c r="A3079" t="s">
        <v>4201</v>
      </c>
      <c r="B3079" t="s">
        <v>116</v>
      </c>
      <c r="C3079" t="s">
        <v>117</v>
      </c>
    </row>
    <row r="3080" spans="1:6" x14ac:dyDescent="0.25">
      <c r="A3080" t="s">
        <v>4201</v>
      </c>
      <c r="B3080" t="s">
        <v>611</v>
      </c>
      <c r="C3080" t="s">
        <v>612</v>
      </c>
    </row>
    <row r="3081" spans="1:6" x14ac:dyDescent="0.25">
      <c r="A3081" t="s">
        <v>4201</v>
      </c>
      <c r="B3081" t="s">
        <v>613</v>
      </c>
      <c r="C3081" t="s">
        <v>614</v>
      </c>
      <c r="D3081" t="str">
        <f>HYPERLINK("http://service.sap.com/sap/support/notes/1771141","1771141")</f>
        <v>1771141</v>
      </c>
      <c r="E3081">
        <v>2</v>
      </c>
      <c r="F3081" t="s">
        <v>4453</v>
      </c>
    </row>
    <row r="3082" spans="1:6" x14ac:dyDescent="0.25">
      <c r="A3082" t="s">
        <v>4201</v>
      </c>
      <c r="B3082" t="s">
        <v>616</v>
      </c>
      <c r="C3082" t="s">
        <v>617</v>
      </c>
    </row>
    <row r="3083" spans="1:6" x14ac:dyDescent="0.25">
      <c r="A3083" t="s">
        <v>4201</v>
      </c>
      <c r="B3083" t="s">
        <v>618</v>
      </c>
      <c r="C3083" t="s">
        <v>619</v>
      </c>
    </row>
    <row r="3084" spans="1:6" x14ac:dyDescent="0.25">
      <c r="A3084" t="s">
        <v>4201</v>
      </c>
      <c r="B3084" t="s">
        <v>626</v>
      </c>
      <c r="C3084" t="s">
        <v>627</v>
      </c>
      <c r="D3084" t="str">
        <f>HYPERLINK("http://service.sap.com/sap/support/notes/1491805","1491805")</f>
        <v>1491805</v>
      </c>
      <c r="E3084">
        <v>7</v>
      </c>
      <c r="F3084" t="s">
        <v>4454</v>
      </c>
    </row>
    <row r="3085" spans="1:6" x14ac:dyDescent="0.25">
      <c r="A3085" t="s">
        <v>4201</v>
      </c>
      <c r="B3085" t="s">
        <v>626</v>
      </c>
      <c r="C3085" t="s">
        <v>627</v>
      </c>
      <c r="D3085" t="str">
        <f>HYPERLINK("http://service.sap.com/sap/support/notes/1644466","1644466")</f>
        <v>1644466</v>
      </c>
      <c r="E3085">
        <v>4</v>
      </c>
      <c r="F3085" t="s">
        <v>4455</v>
      </c>
    </row>
    <row r="3086" spans="1:6" x14ac:dyDescent="0.25">
      <c r="A3086" t="s">
        <v>4201</v>
      </c>
      <c r="B3086" t="s">
        <v>626</v>
      </c>
      <c r="C3086" t="s">
        <v>627</v>
      </c>
      <c r="D3086" t="str">
        <f>HYPERLINK("http://service.sap.com/sap/support/notes/1759237","1759237")</f>
        <v>1759237</v>
      </c>
      <c r="E3086">
        <v>2</v>
      </c>
      <c r="F3086" t="s">
        <v>4456</v>
      </c>
    </row>
    <row r="3087" spans="1:6" x14ac:dyDescent="0.25">
      <c r="A3087" t="s">
        <v>4201</v>
      </c>
      <c r="B3087" t="s">
        <v>626</v>
      </c>
      <c r="C3087" t="s">
        <v>627</v>
      </c>
      <c r="D3087" t="str">
        <f>HYPERLINK("http://service.sap.com/sap/support/notes/1759368","1759368")</f>
        <v>1759368</v>
      </c>
      <c r="E3087">
        <v>4</v>
      </c>
      <c r="F3087" t="s">
        <v>4457</v>
      </c>
    </row>
    <row r="3088" spans="1:6" x14ac:dyDescent="0.25">
      <c r="A3088" t="s">
        <v>4201</v>
      </c>
      <c r="B3088" t="s">
        <v>626</v>
      </c>
      <c r="C3088" t="s">
        <v>627</v>
      </c>
      <c r="D3088" t="str">
        <f>HYPERLINK("http://service.sap.com/sap/support/notes/1763431","1763431")</f>
        <v>1763431</v>
      </c>
      <c r="E3088">
        <v>4</v>
      </c>
      <c r="F3088" t="s">
        <v>4458</v>
      </c>
    </row>
    <row r="3089" spans="1:6" x14ac:dyDescent="0.25">
      <c r="A3089" t="s">
        <v>4201</v>
      </c>
      <c r="B3089" t="s">
        <v>630</v>
      </c>
      <c r="C3089" t="s">
        <v>624</v>
      </c>
      <c r="D3089" t="str">
        <f>HYPERLINK("http://service.sap.com/sap/support/notes/1727916","1727916")</f>
        <v>1727916</v>
      </c>
      <c r="E3089">
        <v>3</v>
      </c>
      <c r="F3089" t="s">
        <v>4459</v>
      </c>
    </row>
    <row r="3090" spans="1:6" x14ac:dyDescent="0.25">
      <c r="A3090" t="s">
        <v>4201</v>
      </c>
      <c r="B3090" t="s">
        <v>4460</v>
      </c>
      <c r="C3090" t="s">
        <v>4461</v>
      </c>
    </row>
    <row r="3091" spans="1:6" x14ac:dyDescent="0.25">
      <c r="A3091" t="s">
        <v>4201</v>
      </c>
      <c r="B3091" t="s">
        <v>4462</v>
      </c>
      <c r="C3091" t="s">
        <v>4463</v>
      </c>
      <c r="D3091" t="str">
        <f>HYPERLINK("http://service.sap.com/sap/support/notes/1755640","1755640")</f>
        <v>1755640</v>
      </c>
      <c r="E3091">
        <v>3</v>
      </c>
      <c r="F3091" t="s">
        <v>4464</v>
      </c>
    </row>
    <row r="3092" spans="1:6" x14ac:dyDescent="0.25">
      <c r="A3092" t="s">
        <v>4201</v>
      </c>
      <c r="B3092" t="s">
        <v>4465</v>
      </c>
      <c r="C3092" t="s">
        <v>4466</v>
      </c>
      <c r="D3092" t="str">
        <f>HYPERLINK("http://service.sap.com/sap/support/notes/1793966","1793966")</f>
        <v>1793966</v>
      </c>
      <c r="E3092">
        <v>2</v>
      </c>
      <c r="F3092" t="s">
        <v>4467</v>
      </c>
    </row>
    <row r="3093" spans="1:6" x14ac:dyDescent="0.25">
      <c r="A3093" t="s">
        <v>4201</v>
      </c>
      <c r="B3093" t="s">
        <v>640</v>
      </c>
      <c r="C3093" t="s">
        <v>641</v>
      </c>
    </row>
    <row r="3094" spans="1:6" x14ac:dyDescent="0.25">
      <c r="A3094" t="s">
        <v>4201</v>
      </c>
      <c r="B3094" t="s">
        <v>642</v>
      </c>
      <c r="C3094" t="s">
        <v>643</v>
      </c>
      <c r="D3094" t="str">
        <f>HYPERLINK("http://service.sap.com/sap/support/notes/1636379","1636379")</f>
        <v>1636379</v>
      </c>
      <c r="E3094">
        <v>2</v>
      </c>
      <c r="F3094" t="s">
        <v>4468</v>
      </c>
    </row>
    <row r="3095" spans="1:6" x14ac:dyDescent="0.25">
      <c r="A3095" t="s">
        <v>4201</v>
      </c>
      <c r="B3095" t="s">
        <v>4469</v>
      </c>
      <c r="C3095" t="s">
        <v>4470</v>
      </c>
      <c r="D3095" t="str">
        <f>HYPERLINK("http://service.sap.com/sap/support/notes/1760968","1760968")</f>
        <v>1760968</v>
      </c>
      <c r="E3095">
        <v>1</v>
      </c>
      <c r="F3095" t="s">
        <v>4471</v>
      </c>
    </row>
    <row r="3096" spans="1:6" x14ac:dyDescent="0.25">
      <c r="A3096" t="s">
        <v>4201</v>
      </c>
      <c r="B3096" t="s">
        <v>655</v>
      </c>
      <c r="C3096" t="s">
        <v>29</v>
      </c>
    </row>
    <row r="3097" spans="1:6" x14ac:dyDescent="0.25">
      <c r="A3097" t="s">
        <v>4201</v>
      </c>
      <c r="B3097" t="s">
        <v>656</v>
      </c>
      <c r="C3097" t="s">
        <v>657</v>
      </c>
    </row>
    <row r="3098" spans="1:6" x14ac:dyDescent="0.25">
      <c r="A3098" t="s">
        <v>4201</v>
      </c>
      <c r="B3098" t="s">
        <v>4472</v>
      </c>
      <c r="C3098" t="s">
        <v>4473</v>
      </c>
      <c r="D3098" t="str">
        <f>HYPERLINK("http://service.sap.com/sap/support/notes/1788214","1788214")</f>
        <v>1788214</v>
      </c>
      <c r="E3098">
        <v>4</v>
      </c>
      <c r="F3098" t="s">
        <v>4474</v>
      </c>
    </row>
    <row r="3099" spans="1:6" x14ac:dyDescent="0.25">
      <c r="A3099" t="s">
        <v>4201</v>
      </c>
      <c r="B3099" t="s">
        <v>4472</v>
      </c>
      <c r="C3099" t="s">
        <v>4473</v>
      </c>
      <c r="D3099" t="str">
        <f>HYPERLINK("http://service.sap.com/sap/support/notes/1788688","1788688")</f>
        <v>1788688</v>
      </c>
      <c r="E3099">
        <v>3</v>
      </c>
      <c r="F3099" t="s">
        <v>4475</v>
      </c>
    </row>
    <row r="3100" spans="1:6" x14ac:dyDescent="0.25">
      <c r="A3100" t="s">
        <v>4201</v>
      </c>
      <c r="B3100" t="s">
        <v>662</v>
      </c>
      <c r="C3100" t="s">
        <v>663</v>
      </c>
      <c r="D3100" t="str">
        <f>HYPERLINK("http://service.sap.com/sap/support/notes/1775185","1775185")</f>
        <v>1775185</v>
      </c>
      <c r="E3100">
        <v>1</v>
      </c>
      <c r="F3100" t="s">
        <v>4476</v>
      </c>
    </row>
    <row r="3101" spans="1:6" x14ac:dyDescent="0.25">
      <c r="A3101" t="s">
        <v>4201</v>
      </c>
      <c r="B3101" t="s">
        <v>4477</v>
      </c>
      <c r="C3101" t="s">
        <v>4478</v>
      </c>
    </row>
    <row r="3102" spans="1:6" x14ac:dyDescent="0.25">
      <c r="A3102" t="s">
        <v>4201</v>
      </c>
      <c r="B3102" t="s">
        <v>4479</v>
      </c>
      <c r="C3102" t="s">
        <v>4480</v>
      </c>
    </row>
    <row r="3103" spans="1:6" x14ac:dyDescent="0.25">
      <c r="A3103" t="s">
        <v>4201</v>
      </c>
      <c r="B3103" t="s">
        <v>4481</v>
      </c>
      <c r="C3103" t="s">
        <v>151</v>
      </c>
    </row>
    <row r="3104" spans="1:6" x14ac:dyDescent="0.25">
      <c r="A3104" t="s">
        <v>4201</v>
      </c>
      <c r="B3104" t="s">
        <v>4482</v>
      </c>
      <c r="C3104" t="s">
        <v>4483</v>
      </c>
      <c r="D3104" t="str">
        <f>HYPERLINK("http://service.sap.com/sap/support/notes/1778225","1778225")</f>
        <v>1778225</v>
      </c>
      <c r="E3104">
        <v>1</v>
      </c>
      <c r="F3104" t="s">
        <v>4484</v>
      </c>
    </row>
    <row r="3105" spans="1:6" x14ac:dyDescent="0.25">
      <c r="A3105" t="s">
        <v>4201</v>
      </c>
      <c r="B3105" t="s">
        <v>674</v>
      </c>
      <c r="C3105" t="s">
        <v>675</v>
      </c>
    </row>
    <row r="3106" spans="1:6" x14ac:dyDescent="0.25">
      <c r="A3106" t="s">
        <v>4201</v>
      </c>
      <c r="B3106" t="s">
        <v>4485</v>
      </c>
      <c r="C3106" t="s">
        <v>1588</v>
      </c>
    </row>
    <row r="3107" spans="1:6" x14ac:dyDescent="0.25">
      <c r="A3107" t="s">
        <v>4201</v>
      </c>
      <c r="B3107" t="s">
        <v>4486</v>
      </c>
      <c r="C3107" t="s">
        <v>657</v>
      </c>
      <c r="D3107" t="str">
        <f>HYPERLINK("http://service.sap.com/sap/support/notes/1778348","1778348")</f>
        <v>1778348</v>
      </c>
      <c r="E3107">
        <v>1</v>
      </c>
      <c r="F3107" t="s">
        <v>4487</v>
      </c>
    </row>
    <row r="3108" spans="1:6" x14ac:dyDescent="0.25">
      <c r="A3108" t="s">
        <v>4201</v>
      </c>
      <c r="B3108" t="s">
        <v>690</v>
      </c>
      <c r="C3108" t="s">
        <v>691</v>
      </c>
      <c r="D3108" t="str">
        <f>HYPERLINK("http://service.sap.com/sap/support/notes/1768391","1768391")</f>
        <v>1768391</v>
      </c>
      <c r="E3108">
        <v>2</v>
      </c>
      <c r="F3108" t="s">
        <v>4488</v>
      </c>
    </row>
    <row r="3109" spans="1:6" x14ac:dyDescent="0.25">
      <c r="A3109" t="s">
        <v>4201</v>
      </c>
      <c r="B3109" t="s">
        <v>4489</v>
      </c>
      <c r="C3109" t="s">
        <v>4490</v>
      </c>
      <c r="D3109" t="str">
        <f>HYPERLINK("http://service.sap.com/sap/support/notes/1777037","1777037")</f>
        <v>1777037</v>
      </c>
      <c r="E3109">
        <v>3</v>
      </c>
      <c r="F3109" t="s">
        <v>4491</v>
      </c>
    </row>
    <row r="3110" spans="1:6" x14ac:dyDescent="0.25">
      <c r="A3110" t="s">
        <v>4201</v>
      </c>
      <c r="B3110" t="s">
        <v>4489</v>
      </c>
      <c r="C3110" t="s">
        <v>4490</v>
      </c>
      <c r="D3110" t="str">
        <f>HYPERLINK("http://service.sap.com/sap/support/notes/1784044","1784044")</f>
        <v>1784044</v>
      </c>
      <c r="E3110">
        <v>1</v>
      </c>
      <c r="F3110" t="s">
        <v>4492</v>
      </c>
    </row>
    <row r="3111" spans="1:6" x14ac:dyDescent="0.25">
      <c r="A3111" t="s">
        <v>4201</v>
      </c>
      <c r="B3111" t="s">
        <v>4489</v>
      </c>
      <c r="C3111" t="s">
        <v>4490</v>
      </c>
      <c r="D3111" t="str">
        <f>HYPERLINK("http://service.sap.com/sap/support/notes/1786184","1786184")</f>
        <v>1786184</v>
      </c>
      <c r="E3111">
        <v>2</v>
      </c>
      <c r="F3111" t="s">
        <v>4493</v>
      </c>
    </row>
    <row r="3112" spans="1:6" x14ac:dyDescent="0.25">
      <c r="A3112" t="s">
        <v>4201</v>
      </c>
      <c r="B3112" t="s">
        <v>693</v>
      </c>
      <c r="C3112" t="s">
        <v>694</v>
      </c>
    </row>
    <row r="3113" spans="1:6" x14ac:dyDescent="0.25">
      <c r="A3113" t="s">
        <v>4201</v>
      </c>
      <c r="B3113" t="s">
        <v>695</v>
      </c>
      <c r="C3113" t="s">
        <v>696</v>
      </c>
    </row>
    <row r="3114" spans="1:6" x14ac:dyDescent="0.25">
      <c r="A3114" t="s">
        <v>4201</v>
      </c>
      <c r="B3114" t="s">
        <v>697</v>
      </c>
      <c r="C3114" t="s">
        <v>4494</v>
      </c>
      <c r="D3114" t="str">
        <f>HYPERLINK("http://service.sap.com/sap/support/notes/1793474","1793474")</f>
        <v>1793474</v>
      </c>
      <c r="E3114">
        <v>1</v>
      </c>
      <c r="F3114" t="s">
        <v>4495</v>
      </c>
    </row>
    <row r="3115" spans="1:6" x14ac:dyDescent="0.25">
      <c r="A3115" t="s">
        <v>4201</v>
      </c>
      <c r="B3115" t="s">
        <v>699</v>
      </c>
      <c r="C3115" t="s">
        <v>700</v>
      </c>
      <c r="D3115" t="str">
        <f>HYPERLINK("http://service.sap.com/sap/support/notes/1767455","1767455")</f>
        <v>1767455</v>
      </c>
      <c r="E3115">
        <v>2</v>
      </c>
      <c r="F3115" t="s">
        <v>4496</v>
      </c>
    </row>
    <row r="3116" spans="1:6" x14ac:dyDescent="0.25">
      <c r="A3116" t="s">
        <v>4201</v>
      </c>
      <c r="B3116" t="s">
        <v>713</v>
      </c>
      <c r="C3116" t="s">
        <v>714</v>
      </c>
      <c r="D3116" t="str">
        <f>HYPERLINK("http://service.sap.com/sap/support/notes/1761587","1761587")</f>
        <v>1761587</v>
      </c>
      <c r="E3116">
        <v>3</v>
      </c>
      <c r="F3116" t="s">
        <v>4497</v>
      </c>
    </row>
    <row r="3117" spans="1:6" x14ac:dyDescent="0.25">
      <c r="A3117" t="s">
        <v>4201</v>
      </c>
      <c r="B3117" t="s">
        <v>713</v>
      </c>
      <c r="C3117" t="s">
        <v>714</v>
      </c>
      <c r="D3117" t="str">
        <f>HYPERLINK("http://service.sap.com/sap/support/notes/1778710","1778710")</f>
        <v>1778710</v>
      </c>
      <c r="E3117">
        <v>2</v>
      </c>
      <c r="F3117" t="s">
        <v>4498</v>
      </c>
    </row>
    <row r="3118" spans="1:6" x14ac:dyDescent="0.25">
      <c r="A3118" t="s">
        <v>4201</v>
      </c>
      <c r="B3118" t="s">
        <v>4499</v>
      </c>
      <c r="C3118" t="s">
        <v>4500</v>
      </c>
      <c r="D3118" t="str">
        <f>HYPERLINK("http://service.sap.com/sap/support/notes/1790186","1790186")</f>
        <v>1790186</v>
      </c>
      <c r="E3118">
        <v>1</v>
      </c>
      <c r="F3118" t="s">
        <v>4501</v>
      </c>
    </row>
    <row r="3119" spans="1:6" x14ac:dyDescent="0.25">
      <c r="A3119" t="s">
        <v>4201</v>
      </c>
      <c r="B3119" t="s">
        <v>719</v>
      </c>
      <c r="C3119" t="s">
        <v>720</v>
      </c>
    </row>
    <row r="3120" spans="1:6" x14ac:dyDescent="0.25">
      <c r="A3120" t="s">
        <v>4201</v>
      </c>
      <c r="B3120" t="s">
        <v>721</v>
      </c>
      <c r="C3120" t="s">
        <v>722</v>
      </c>
      <c r="D3120" t="str">
        <f>HYPERLINK("http://service.sap.com/sap/support/notes/1774482","1774482")</f>
        <v>1774482</v>
      </c>
      <c r="E3120">
        <v>1</v>
      </c>
      <c r="F3120" t="s">
        <v>4502</v>
      </c>
    </row>
    <row r="3121" spans="1:6" x14ac:dyDescent="0.25">
      <c r="A3121" t="s">
        <v>4201</v>
      </c>
      <c r="B3121" t="s">
        <v>721</v>
      </c>
      <c r="C3121" t="s">
        <v>722</v>
      </c>
      <c r="D3121" t="str">
        <f>HYPERLINK("http://service.sap.com/sap/support/notes/1776667","1776667")</f>
        <v>1776667</v>
      </c>
      <c r="E3121">
        <v>1</v>
      </c>
      <c r="F3121" t="s">
        <v>4503</v>
      </c>
    </row>
    <row r="3122" spans="1:6" x14ac:dyDescent="0.25">
      <c r="A3122" t="s">
        <v>4201</v>
      </c>
      <c r="B3122" t="s">
        <v>721</v>
      </c>
      <c r="C3122" t="s">
        <v>722</v>
      </c>
      <c r="D3122" t="str">
        <f>HYPERLINK("http://service.sap.com/sap/support/notes/1777772","1777772")</f>
        <v>1777772</v>
      </c>
      <c r="E3122">
        <v>1</v>
      </c>
      <c r="F3122" t="s">
        <v>4504</v>
      </c>
    </row>
    <row r="3123" spans="1:6" x14ac:dyDescent="0.25">
      <c r="A3123" t="s">
        <v>4201</v>
      </c>
      <c r="B3123" t="s">
        <v>721</v>
      </c>
      <c r="C3123" t="s">
        <v>722</v>
      </c>
      <c r="D3123" t="str">
        <f>HYPERLINK("http://service.sap.com/sap/support/notes/1778128","1778128")</f>
        <v>1778128</v>
      </c>
      <c r="E3123">
        <v>1</v>
      </c>
      <c r="F3123" t="s">
        <v>4505</v>
      </c>
    </row>
    <row r="3124" spans="1:6" x14ac:dyDescent="0.25">
      <c r="A3124" t="s">
        <v>4201</v>
      </c>
      <c r="B3124" t="s">
        <v>721</v>
      </c>
      <c r="C3124" t="s">
        <v>722</v>
      </c>
      <c r="D3124" t="str">
        <f>HYPERLINK("http://service.sap.com/sap/support/notes/1779733","1779733")</f>
        <v>1779733</v>
      </c>
      <c r="E3124">
        <v>1</v>
      </c>
      <c r="F3124" t="s">
        <v>4506</v>
      </c>
    </row>
    <row r="3125" spans="1:6" x14ac:dyDescent="0.25">
      <c r="A3125" t="s">
        <v>4201</v>
      </c>
      <c r="B3125" t="s">
        <v>721</v>
      </c>
      <c r="C3125" t="s">
        <v>722</v>
      </c>
      <c r="D3125" t="str">
        <f>HYPERLINK("http://service.sap.com/sap/support/notes/1785497","1785497")</f>
        <v>1785497</v>
      </c>
      <c r="E3125">
        <v>1</v>
      </c>
      <c r="F3125" t="s">
        <v>4507</v>
      </c>
    </row>
    <row r="3126" spans="1:6" x14ac:dyDescent="0.25">
      <c r="A3126" t="s">
        <v>4201</v>
      </c>
      <c r="B3126" t="s">
        <v>731</v>
      </c>
      <c r="C3126" t="s">
        <v>732</v>
      </c>
      <c r="D3126" t="str">
        <f>HYPERLINK("http://service.sap.com/sap/support/notes/1042534","1042534")</f>
        <v>1042534</v>
      </c>
      <c r="E3126">
        <v>11</v>
      </c>
      <c r="F3126" t="s">
        <v>4508</v>
      </c>
    </row>
    <row r="3127" spans="1:6" x14ac:dyDescent="0.25">
      <c r="A3127" t="s">
        <v>4201</v>
      </c>
      <c r="B3127" t="s">
        <v>735</v>
      </c>
      <c r="C3127" t="s">
        <v>736</v>
      </c>
      <c r="D3127" t="str">
        <f>HYPERLINK("http://service.sap.com/sap/support/notes/1487673","1487673")</f>
        <v>1487673</v>
      </c>
      <c r="E3127">
        <v>2</v>
      </c>
      <c r="F3127" t="s">
        <v>4509</v>
      </c>
    </row>
    <row r="3128" spans="1:6" x14ac:dyDescent="0.25">
      <c r="A3128" t="s">
        <v>4201</v>
      </c>
      <c r="B3128" t="s">
        <v>735</v>
      </c>
      <c r="C3128" t="s">
        <v>736</v>
      </c>
      <c r="D3128" t="str">
        <f>HYPERLINK("http://service.sap.com/sap/support/notes/1709817","1709817")</f>
        <v>1709817</v>
      </c>
      <c r="E3128">
        <v>4</v>
      </c>
      <c r="F3128" t="s">
        <v>4510</v>
      </c>
    </row>
    <row r="3129" spans="1:6" x14ac:dyDescent="0.25">
      <c r="A3129" t="s">
        <v>4201</v>
      </c>
      <c r="B3129" t="s">
        <v>735</v>
      </c>
      <c r="C3129" t="s">
        <v>736</v>
      </c>
      <c r="D3129" t="str">
        <f>HYPERLINK("http://service.sap.com/sap/support/notes/1719120","1719120")</f>
        <v>1719120</v>
      </c>
      <c r="E3129">
        <v>4</v>
      </c>
      <c r="F3129" t="s">
        <v>4511</v>
      </c>
    </row>
    <row r="3130" spans="1:6" x14ac:dyDescent="0.25">
      <c r="A3130" t="s">
        <v>4201</v>
      </c>
      <c r="B3130" t="s">
        <v>735</v>
      </c>
      <c r="C3130" t="s">
        <v>736</v>
      </c>
      <c r="D3130" t="str">
        <f>HYPERLINK("http://service.sap.com/sap/support/notes/1730285","1730285")</f>
        <v>1730285</v>
      </c>
      <c r="E3130">
        <v>3</v>
      </c>
      <c r="F3130" t="s">
        <v>4512</v>
      </c>
    </row>
    <row r="3131" spans="1:6" x14ac:dyDescent="0.25">
      <c r="A3131" t="s">
        <v>4201</v>
      </c>
      <c r="B3131" t="s">
        <v>735</v>
      </c>
      <c r="C3131" t="s">
        <v>736</v>
      </c>
      <c r="D3131" t="str">
        <f>HYPERLINK("http://service.sap.com/sap/support/notes/1753314","1753314")</f>
        <v>1753314</v>
      </c>
      <c r="E3131">
        <v>4</v>
      </c>
      <c r="F3131" t="s">
        <v>4513</v>
      </c>
    </row>
    <row r="3132" spans="1:6" x14ac:dyDescent="0.25">
      <c r="A3132" t="s">
        <v>4201</v>
      </c>
      <c r="B3132" t="s">
        <v>735</v>
      </c>
      <c r="C3132" t="s">
        <v>736</v>
      </c>
      <c r="D3132" t="str">
        <f>HYPERLINK("http://service.sap.com/sap/support/notes/1773333","1773333")</f>
        <v>1773333</v>
      </c>
      <c r="E3132">
        <v>2</v>
      </c>
      <c r="F3132" t="s">
        <v>4514</v>
      </c>
    </row>
    <row r="3133" spans="1:6" x14ac:dyDescent="0.25">
      <c r="A3133" t="s">
        <v>4201</v>
      </c>
      <c r="B3133" t="s">
        <v>4515</v>
      </c>
      <c r="C3133" t="s">
        <v>4516</v>
      </c>
      <c r="D3133" t="str">
        <f>HYPERLINK("http://service.sap.com/sap/support/notes/1762246","1762246")</f>
        <v>1762246</v>
      </c>
      <c r="E3133">
        <v>2</v>
      </c>
      <c r="F3133" t="s">
        <v>4517</v>
      </c>
    </row>
    <row r="3134" spans="1:6" x14ac:dyDescent="0.25">
      <c r="A3134" t="s">
        <v>4201</v>
      </c>
      <c r="B3134" t="s">
        <v>739</v>
      </c>
      <c r="C3134" t="s">
        <v>29</v>
      </c>
      <c r="D3134" t="str">
        <f>HYPERLINK("http://service.sap.com/sap/support/notes/792553","792553")</f>
        <v>792553</v>
      </c>
      <c r="E3134">
        <v>6</v>
      </c>
      <c r="F3134" t="s">
        <v>4518</v>
      </c>
    </row>
    <row r="3135" spans="1:6" x14ac:dyDescent="0.25">
      <c r="A3135" t="s">
        <v>4201</v>
      </c>
      <c r="B3135" t="s">
        <v>4519</v>
      </c>
      <c r="C3135" t="s">
        <v>4520</v>
      </c>
    </row>
    <row r="3136" spans="1:6" x14ac:dyDescent="0.25">
      <c r="A3136" t="s">
        <v>4201</v>
      </c>
      <c r="B3136" t="s">
        <v>4521</v>
      </c>
      <c r="C3136" t="s">
        <v>4522</v>
      </c>
      <c r="D3136" t="str">
        <f>HYPERLINK("http://service.sap.com/sap/support/notes/1720112","1720112")</f>
        <v>1720112</v>
      </c>
      <c r="E3136">
        <v>4</v>
      </c>
      <c r="F3136" t="s">
        <v>4523</v>
      </c>
    </row>
    <row r="3137" spans="1:6" x14ac:dyDescent="0.25">
      <c r="A3137" t="s">
        <v>4201</v>
      </c>
      <c r="B3137" t="s">
        <v>745</v>
      </c>
      <c r="C3137" t="s">
        <v>746</v>
      </c>
      <c r="D3137" t="str">
        <f>HYPERLINK("http://service.sap.com/sap/support/notes/808555","808555")</f>
        <v>808555</v>
      </c>
      <c r="E3137">
        <v>4</v>
      </c>
      <c r="F3137" t="s">
        <v>4524</v>
      </c>
    </row>
    <row r="3138" spans="1:6" x14ac:dyDescent="0.25">
      <c r="A3138" t="s">
        <v>4201</v>
      </c>
      <c r="B3138" t="s">
        <v>748</v>
      </c>
      <c r="C3138" t="s">
        <v>749</v>
      </c>
    </row>
    <row r="3139" spans="1:6" x14ac:dyDescent="0.25">
      <c r="A3139" t="s">
        <v>4201</v>
      </c>
      <c r="B3139" t="s">
        <v>4525</v>
      </c>
      <c r="C3139" t="s">
        <v>4526</v>
      </c>
    </row>
    <row r="3140" spans="1:6" x14ac:dyDescent="0.25">
      <c r="A3140" t="s">
        <v>4201</v>
      </c>
      <c r="B3140" t="s">
        <v>4527</v>
      </c>
      <c r="C3140" t="s">
        <v>4528</v>
      </c>
      <c r="D3140" t="str">
        <f>HYPERLINK("http://service.sap.com/sap/support/notes/1784696","1784696")</f>
        <v>1784696</v>
      </c>
      <c r="E3140">
        <v>2</v>
      </c>
      <c r="F3140" t="s">
        <v>4529</v>
      </c>
    </row>
    <row r="3141" spans="1:6" x14ac:dyDescent="0.25">
      <c r="A3141" t="s">
        <v>4201</v>
      </c>
      <c r="B3141" t="s">
        <v>4530</v>
      </c>
      <c r="C3141" t="s">
        <v>4531</v>
      </c>
    </row>
    <row r="3142" spans="1:6" x14ac:dyDescent="0.25">
      <c r="A3142" t="s">
        <v>4201</v>
      </c>
      <c r="B3142" t="s">
        <v>4532</v>
      </c>
      <c r="C3142" t="s">
        <v>4533</v>
      </c>
      <c r="D3142" t="str">
        <f>HYPERLINK("http://service.sap.com/sap/support/notes/1788836","1788836")</f>
        <v>1788836</v>
      </c>
      <c r="E3142">
        <v>1</v>
      </c>
      <c r="F3142" t="s">
        <v>4534</v>
      </c>
    </row>
    <row r="3143" spans="1:6" x14ac:dyDescent="0.25">
      <c r="A3143" t="s">
        <v>4201</v>
      </c>
      <c r="B3143" t="s">
        <v>763</v>
      </c>
      <c r="C3143" t="s">
        <v>764</v>
      </c>
    </row>
    <row r="3144" spans="1:6" x14ac:dyDescent="0.25">
      <c r="A3144" t="s">
        <v>4201</v>
      </c>
      <c r="B3144" t="s">
        <v>765</v>
      </c>
      <c r="C3144" t="s">
        <v>766</v>
      </c>
    </row>
    <row r="3145" spans="1:6" x14ac:dyDescent="0.25">
      <c r="A3145" t="s">
        <v>4201</v>
      </c>
      <c r="B3145" t="s">
        <v>767</v>
      </c>
      <c r="C3145" t="s">
        <v>768</v>
      </c>
    </row>
    <row r="3146" spans="1:6" x14ac:dyDescent="0.25">
      <c r="A3146" t="s">
        <v>4201</v>
      </c>
      <c r="B3146" t="s">
        <v>4535</v>
      </c>
      <c r="C3146" t="s">
        <v>4536</v>
      </c>
      <c r="D3146" t="str">
        <f>HYPERLINK("http://service.sap.com/sap/support/notes/1760266","1760266")</f>
        <v>1760266</v>
      </c>
      <c r="E3146">
        <v>4</v>
      </c>
      <c r="F3146" t="s">
        <v>4537</v>
      </c>
    </row>
    <row r="3147" spans="1:6" x14ac:dyDescent="0.25">
      <c r="A3147" t="s">
        <v>4201</v>
      </c>
      <c r="B3147" t="s">
        <v>4535</v>
      </c>
      <c r="C3147" t="s">
        <v>4536</v>
      </c>
      <c r="D3147" t="str">
        <f>HYPERLINK("http://service.sap.com/sap/support/notes/1798125","1798125")</f>
        <v>1798125</v>
      </c>
      <c r="E3147">
        <v>1</v>
      </c>
      <c r="F3147" t="s">
        <v>4538</v>
      </c>
    </row>
    <row r="3148" spans="1:6" x14ac:dyDescent="0.25">
      <c r="A3148" t="s">
        <v>4201</v>
      </c>
      <c r="B3148" t="s">
        <v>4539</v>
      </c>
      <c r="C3148" t="s">
        <v>4540</v>
      </c>
    </row>
    <row r="3149" spans="1:6" x14ac:dyDescent="0.25">
      <c r="A3149" t="s">
        <v>4201</v>
      </c>
      <c r="B3149" t="s">
        <v>4541</v>
      </c>
      <c r="C3149" t="s">
        <v>4542</v>
      </c>
      <c r="D3149" t="str">
        <f>HYPERLINK("http://service.sap.com/sap/support/notes/1635594","1635594")</f>
        <v>1635594</v>
      </c>
      <c r="E3149">
        <v>5</v>
      </c>
      <c r="F3149" t="s">
        <v>4543</v>
      </c>
    </row>
    <row r="3150" spans="1:6" x14ac:dyDescent="0.25">
      <c r="A3150" t="s">
        <v>4201</v>
      </c>
      <c r="B3150" t="s">
        <v>4541</v>
      </c>
      <c r="C3150" t="s">
        <v>4542</v>
      </c>
      <c r="D3150" t="str">
        <f>HYPERLINK("http://service.sap.com/sap/support/notes/1791772","1791772")</f>
        <v>1791772</v>
      </c>
      <c r="E3150">
        <v>2</v>
      </c>
      <c r="F3150" t="s">
        <v>4544</v>
      </c>
    </row>
    <row r="3151" spans="1:6" x14ac:dyDescent="0.25">
      <c r="A3151" t="s">
        <v>4201</v>
      </c>
      <c r="B3151" t="s">
        <v>772</v>
      </c>
      <c r="C3151" t="s">
        <v>773</v>
      </c>
    </row>
    <row r="3152" spans="1:6" x14ac:dyDescent="0.25">
      <c r="A3152" t="s">
        <v>4201</v>
      </c>
      <c r="B3152" t="s">
        <v>774</v>
      </c>
      <c r="C3152" t="s">
        <v>775</v>
      </c>
      <c r="D3152" t="str">
        <f>HYPERLINK("http://service.sap.com/sap/support/notes/1409005","1409005")</f>
        <v>1409005</v>
      </c>
      <c r="E3152">
        <v>3</v>
      </c>
      <c r="F3152" t="s">
        <v>4545</v>
      </c>
    </row>
    <row r="3153" spans="1:6" x14ac:dyDescent="0.25">
      <c r="A3153" t="s">
        <v>4201</v>
      </c>
      <c r="B3153" t="s">
        <v>774</v>
      </c>
      <c r="C3153" t="s">
        <v>775</v>
      </c>
      <c r="D3153" t="str">
        <f>HYPERLINK("http://service.sap.com/sap/support/notes/1573047","1573047")</f>
        <v>1573047</v>
      </c>
      <c r="E3153">
        <v>3</v>
      </c>
      <c r="F3153" t="s">
        <v>4546</v>
      </c>
    </row>
    <row r="3154" spans="1:6" x14ac:dyDescent="0.25">
      <c r="A3154" t="s">
        <v>4201</v>
      </c>
      <c r="B3154" t="s">
        <v>774</v>
      </c>
      <c r="C3154" t="s">
        <v>775</v>
      </c>
      <c r="D3154" t="str">
        <f>HYPERLINK("http://service.sap.com/sap/support/notes/1718114","1718114")</f>
        <v>1718114</v>
      </c>
      <c r="E3154">
        <v>3</v>
      </c>
      <c r="F3154" t="s">
        <v>4547</v>
      </c>
    </row>
    <row r="3155" spans="1:6" x14ac:dyDescent="0.25">
      <c r="A3155" t="s">
        <v>4201</v>
      </c>
      <c r="B3155" t="s">
        <v>774</v>
      </c>
      <c r="C3155" t="s">
        <v>775</v>
      </c>
      <c r="D3155" t="str">
        <f>HYPERLINK("http://service.sap.com/sap/support/notes/1763343","1763343")</f>
        <v>1763343</v>
      </c>
      <c r="E3155">
        <v>5</v>
      </c>
      <c r="F3155" t="s">
        <v>4548</v>
      </c>
    </row>
    <row r="3156" spans="1:6" x14ac:dyDescent="0.25">
      <c r="A3156" t="s">
        <v>4201</v>
      </c>
      <c r="B3156" t="s">
        <v>774</v>
      </c>
      <c r="C3156" t="s">
        <v>775</v>
      </c>
      <c r="D3156" t="str">
        <f>HYPERLINK("http://service.sap.com/sap/support/notes/1771171","1771171")</f>
        <v>1771171</v>
      </c>
      <c r="E3156">
        <v>1</v>
      </c>
      <c r="F3156" t="s">
        <v>4549</v>
      </c>
    </row>
    <row r="3157" spans="1:6" x14ac:dyDescent="0.25">
      <c r="A3157" t="s">
        <v>4201</v>
      </c>
      <c r="B3157" t="s">
        <v>774</v>
      </c>
      <c r="C3157" t="s">
        <v>775</v>
      </c>
      <c r="D3157" t="str">
        <f>HYPERLINK("http://service.sap.com/sap/support/notes/1777337","1777337")</f>
        <v>1777337</v>
      </c>
      <c r="E3157">
        <v>1</v>
      </c>
      <c r="F3157" t="s">
        <v>4550</v>
      </c>
    </row>
    <row r="3158" spans="1:6" x14ac:dyDescent="0.25">
      <c r="A3158" t="s">
        <v>4201</v>
      </c>
      <c r="B3158" t="s">
        <v>774</v>
      </c>
      <c r="C3158" t="s">
        <v>775</v>
      </c>
      <c r="D3158" t="str">
        <f>HYPERLINK("http://service.sap.com/sap/support/notes/1777475","1777475")</f>
        <v>1777475</v>
      </c>
      <c r="E3158">
        <v>1</v>
      </c>
      <c r="F3158" t="s">
        <v>4551</v>
      </c>
    </row>
    <row r="3159" spans="1:6" x14ac:dyDescent="0.25">
      <c r="A3159" t="s">
        <v>4201</v>
      </c>
      <c r="B3159" t="s">
        <v>774</v>
      </c>
      <c r="C3159" t="s">
        <v>775</v>
      </c>
      <c r="D3159" t="str">
        <f>HYPERLINK("http://service.sap.com/sap/support/notes/1787230","1787230")</f>
        <v>1787230</v>
      </c>
      <c r="E3159">
        <v>1</v>
      </c>
      <c r="F3159" t="s">
        <v>4552</v>
      </c>
    </row>
    <row r="3160" spans="1:6" x14ac:dyDescent="0.25">
      <c r="A3160" t="s">
        <v>4201</v>
      </c>
      <c r="B3160" t="s">
        <v>774</v>
      </c>
      <c r="C3160" t="s">
        <v>775</v>
      </c>
      <c r="D3160" t="str">
        <f>HYPERLINK("http://service.sap.com/sap/support/notes/1788577","1788577")</f>
        <v>1788577</v>
      </c>
      <c r="E3160">
        <v>1</v>
      </c>
      <c r="F3160" t="s">
        <v>4553</v>
      </c>
    </row>
    <row r="3161" spans="1:6" x14ac:dyDescent="0.25">
      <c r="A3161" t="s">
        <v>4201</v>
      </c>
      <c r="B3161" t="s">
        <v>774</v>
      </c>
      <c r="C3161" t="s">
        <v>775</v>
      </c>
      <c r="D3161" t="str">
        <f>HYPERLINK("http://service.sap.com/sap/support/notes/1788912","1788912")</f>
        <v>1788912</v>
      </c>
      <c r="E3161">
        <v>1</v>
      </c>
      <c r="F3161" t="s">
        <v>4554</v>
      </c>
    </row>
    <row r="3162" spans="1:6" x14ac:dyDescent="0.25">
      <c r="A3162" t="s">
        <v>4201</v>
      </c>
      <c r="B3162" t="s">
        <v>774</v>
      </c>
      <c r="C3162" t="s">
        <v>775</v>
      </c>
      <c r="D3162" t="str">
        <f>HYPERLINK("http://service.sap.com/sap/support/notes/1788972","1788972")</f>
        <v>1788972</v>
      </c>
      <c r="E3162">
        <v>1</v>
      </c>
      <c r="F3162" t="s">
        <v>4555</v>
      </c>
    </row>
    <row r="3163" spans="1:6" x14ac:dyDescent="0.25">
      <c r="A3163" t="s">
        <v>4201</v>
      </c>
      <c r="B3163" t="s">
        <v>774</v>
      </c>
      <c r="C3163" t="s">
        <v>775</v>
      </c>
      <c r="D3163" t="str">
        <f>HYPERLINK("http://service.sap.com/sap/support/notes/1791579","1791579")</f>
        <v>1791579</v>
      </c>
      <c r="E3163">
        <v>2</v>
      </c>
      <c r="F3163" t="s">
        <v>4556</v>
      </c>
    </row>
    <row r="3164" spans="1:6" x14ac:dyDescent="0.25">
      <c r="A3164" t="s">
        <v>4201</v>
      </c>
      <c r="B3164" t="s">
        <v>786</v>
      </c>
      <c r="C3164" t="s">
        <v>198</v>
      </c>
    </row>
    <row r="3165" spans="1:6" x14ac:dyDescent="0.25">
      <c r="A3165" t="s">
        <v>4201</v>
      </c>
      <c r="B3165" t="s">
        <v>787</v>
      </c>
      <c r="C3165" t="s">
        <v>201</v>
      </c>
      <c r="D3165" t="str">
        <f>HYPERLINK("http://service.sap.com/sap/support/notes/1710691","1710691")</f>
        <v>1710691</v>
      </c>
      <c r="E3165">
        <v>1</v>
      </c>
      <c r="F3165" t="s">
        <v>790</v>
      </c>
    </row>
    <row r="3166" spans="1:6" x14ac:dyDescent="0.25">
      <c r="A3166" t="s">
        <v>4201</v>
      </c>
      <c r="B3166" t="s">
        <v>787</v>
      </c>
      <c r="C3166" t="s">
        <v>201</v>
      </c>
      <c r="D3166" t="str">
        <f>HYPERLINK("http://service.sap.com/sap/support/notes/1788586","1788586")</f>
        <v>1788586</v>
      </c>
      <c r="E3166">
        <v>1</v>
      </c>
      <c r="F3166" t="s">
        <v>4557</v>
      </c>
    </row>
    <row r="3167" spans="1:6" x14ac:dyDescent="0.25">
      <c r="A3167" t="s">
        <v>4201</v>
      </c>
      <c r="B3167" t="s">
        <v>791</v>
      </c>
      <c r="C3167" t="s">
        <v>151</v>
      </c>
    </row>
    <row r="3168" spans="1:6" x14ac:dyDescent="0.25">
      <c r="A3168" t="s">
        <v>4201</v>
      </c>
      <c r="B3168" t="s">
        <v>793</v>
      </c>
      <c r="C3168" t="s">
        <v>29</v>
      </c>
      <c r="D3168" t="str">
        <f>HYPERLINK("http://service.sap.com/sap/support/notes/1706454","1706454")</f>
        <v>1706454</v>
      </c>
      <c r="E3168">
        <v>2</v>
      </c>
      <c r="F3168" t="s">
        <v>4558</v>
      </c>
    </row>
    <row r="3169" spans="1:6" x14ac:dyDescent="0.25">
      <c r="A3169" t="s">
        <v>4201</v>
      </c>
      <c r="B3169" t="s">
        <v>793</v>
      </c>
      <c r="C3169" t="s">
        <v>29</v>
      </c>
      <c r="D3169" t="str">
        <f>HYPERLINK("http://service.sap.com/sap/support/notes/1712247","1712247")</f>
        <v>1712247</v>
      </c>
      <c r="E3169">
        <v>8</v>
      </c>
      <c r="F3169" t="s">
        <v>4559</v>
      </c>
    </row>
    <row r="3170" spans="1:6" x14ac:dyDescent="0.25">
      <c r="A3170" t="s">
        <v>4201</v>
      </c>
      <c r="B3170" t="s">
        <v>793</v>
      </c>
      <c r="C3170" t="s">
        <v>29</v>
      </c>
      <c r="D3170" t="str">
        <f>HYPERLINK("http://service.sap.com/sap/support/notes/1756440","1756440")</f>
        <v>1756440</v>
      </c>
      <c r="E3170">
        <v>2</v>
      </c>
      <c r="F3170" t="s">
        <v>4560</v>
      </c>
    </row>
    <row r="3171" spans="1:6" x14ac:dyDescent="0.25">
      <c r="A3171" t="s">
        <v>4201</v>
      </c>
      <c r="B3171" t="s">
        <v>793</v>
      </c>
      <c r="C3171" t="s">
        <v>29</v>
      </c>
      <c r="D3171" t="str">
        <f>HYPERLINK("http://service.sap.com/sap/support/notes/1771274","1771274")</f>
        <v>1771274</v>
      </c>
      <c r="E3171">
        <v>2</v>
      </c>
      <c r="F3171" t="s">
        <v>4561</v>
      </c>
    </row>
    <row r="3172" spans="1:6" x14ac:dyDescent="0.25">
      <c r="A3172" t="s">
        <v>4201</v>
      </c>
      <c r="B3172" t="s">
        <v>793</v>
      </c>
      <c r="C3172" t="s">
        <v>29</v>
      </c>
      <c r="D3172" t="str">
        <f>HYPERLINK("http://service.sap.com/sap/support/notes/1773644","1773644")</f>
        <v>1773644</v>
      </c>
      <c r="E3172">
        <v>1</v>
      </c>
      <c r="F3172" t="s">
        <v>4562</v>
      </c>
    </row>
    <row r="3173" spans="1:6" x14ac:dyDescent="0.25">
      <c r="A3173" t="s">
        <v>4201</v>
      </c>
      <c r="B3173" t="s">
        <v>809</v>
      </c>
      <c r="C3173" t="s">
        <v>810</v>
      </c>
      <c r="D3173" t="str">
        <f>HYPERLINK("http://service.sap.com/sap/support/notes/1757943","1757943")</f>
        <v>1757943</v>
      </c>
      <c r="E3173">
        <v>2</v>
      </c>
      <c r="F3173" t="s">
        <v>4563</v>
      </c>
    </row>
    <row r="3174" spans="1:6" x14ac:dyDescent="0.25">
      <c r="A3174" t="s">
        <v>4201</v>
      </c>
      <c r="B3174" t="s">
        <v>4564</v>
      </c>
      <c r="C3174" t="s">
        <v>4565</v>
      </c>
      <c r="D3174" t="str">
        <f>HYPERLINK("http://service.sap.com/sap/support/notes/1748674","1748674")</f>
        <v>1748674</v>
      </c>
      <c r="E3174">
        <v>2</v>
      </c>
      <c r="F3174" t="s">
        <v>4566</v>
      </c>
    </row>
    <row r="3175" spans="1:6" x14ac:dyDescent="0.25">
      <c r="A3175" t="s">
        <v>4201</v>
      </c>
      <c r="B3175" t="s">
        <v>4564</v>
      </c>
      <c r="C3175" t="s">
        <v>4565</v>
      </c>
      <c r="D3175" t="str">
        <f>HYPERLINK("http://service.sap.com/sap/support/notes/1751700","1751700")</f>
        <v>1751700</v>
      </c>
      <c r="E3175">
        <v>2</v>
      </c>
      <c r="F3175" t="s">
        <v>4567</v>
      </c>
    </row>
    <row r="3176" spans="1:6" x14ac:dyDescent="0.25">
      <c r="A3176" t="s">
        <v>4201</v>
      </c>
      <c r="B3176" t="s">
        <v>4564</v>
      </c>
      <c r="C3176" t="s">
        <v>4565</v>
      </c>
      <c r="D3176" t="str">
        <f>HYPERLINK("http://service.sap.com/sap/support/notes/1752257","1752257")</f>
        <v>1752257</v>
      </c>
      <c r="E3176">
        <v>2</v>
      </c>
      <c r="F3176" t="s">
        <v>4568</v>
      </c>
    </row>
    <row r="3177" spans="1:6" x14ac:dyDescent="0.25">
      <c r="A3177" t="s">
        <v>4201</v>
      </c>
      <c r="B3177" t="s">
        <v>815</v>
      </c>
      <c r="C3177" t="s">
        <v>816</v>
      </c>
      <c r="D3177" t="str">
        <f>HYPERLINK("http://service.sap.com/sap/support/notes/1775221","1775221")</f>
        <v>1775221</v>
      </c>
      <c r="E3177">
        <v>1</v>
      </c>
      <c r="F3177" t="s">
        <v>4569</v>
      </c>
    </row>
    <row r="3178" spans="1:6" x14ac:dyDescent="0.25">
      <c r="A3178" t="s">
        <v>4201</v>
      </c>
      <c r="B3178" t="s">
        <v>815</v>
      </c>
      <c r="C3178" t="s">
        <v>816</v>
      </c>
      <c r="D3178" t="str">
        <f>HYPERLINK("http://service.sap.com/sap/support/notes/1777235","1777235")</f>
        <v>1777235</v>
      </c>
      <c r="E3178">
        <v>1</v>
      </c>
      <c r="F3178" t="s">
        <v>4570</v>
      </c>
    </row>
    <row r="3179" spans="1:6" x14ac:dyDescent="0.25">
      <c r="A3179" t="s">
        <v>4201</v>
      </c>
      <c r="B3179" t="s">
        <v>815</v>
      </c>
      <c r="C3179" t="s">
        <v>816</v>
      </c>
      <c r="D3179" t="str">
        <f>HYPERLINK("http://service.sap.com/sap/support/notes/1781797","1781797")</f>
        <v>1781797</v>
      </c>
      <c r="E3179">
        <v>1</v>
      </c>
      <c r="F3179" t="s">
        <v>4571</v>
      </c>
    </row>
    <row r="3180" spans="1:6" x14ac:dyDescent="0.25">
      <c r="A3180" t="s">
        <v>4201</v>
      </c>
      <c r="B3180" t="s">
        <v>823</v>
      </c>
      <c r="C3180" t="s">
        <v>824</v>
      </c>
      <c r="D3180" t="str">
        <f>HYPERLINK("http://service.sap.com/sap/support/notes/1652972","1652972")</f>
        <v>1652972</v>
      </c>
      <c r="E3180">
        <v>5</v>
      </c>
      <c r="F3180" t="s">
        <v>4572</v>
      </c>
    </row>
    <row r="3181" spans="1:6" x14ac:dyDescent="0.25">
      <c r="A3181" t="s">
        <v>4201</v>
      </c>
      <c r="B3181" t="s">
        <v>823</v>
      </c>
      <c r="C3181" t="s">
        <v>824</v>
      </c>
      <c r="D3181" t="str">
        <f>HYPERLINK("http://service.sap.com/sap/support/notes/1703687","1703687")</f>
        <v>1703687</v>
      </c>
      <c r="E3181">
        <v>1</v>
      </c>
      <c r="F3181" t="s">
        <v>4573</v>
      </c>
    </row>
    <row r="3182" spans="1:6" x14ac:dyDescent="0.25">
      <c r="A3182" t="s">
        <v>4201</v>
      </c>
      <c r="B3182" t="s">
        <v>823</v>
      </c>
      <c r="C3182" t="s">
        <v>824</v>
      </c>
      <c r="D3182" t="str">
        <f>HYPERLINK("http://service.sap.com/sap/support/notes/1741719","1741719")</f>
        <v>1741719</v>
      </c>
      <c r="E3182">
        <v>2</v>
      </c>
      <c r="F3182" t="s">
        <v>4574</v>
      </c>
    </row>
    <row r="3183" spans="1:6" x14ac:dyDescent="0.25">
      <c r="A3183" t="s">
        <v>4201</v>
      </c>
      <c r="B3183" t="s">
        <v>823</v>
      </c>
      <c r="C3183" t="s">
        <v>824</v>
      </c>
      <c r="D3183" t="str">
        <f>HYPERLINK("http://service.sap.com/sap/support/notes/1747709","1747709")</f>
        <v>1747709</v>
      </c>
      <c r="E3183">
        <v>2</v>
      </c>
      <c r="F3183" t="s">
        <v>4575</v>
      </c>
    </row>
    <row r="3184" spans="1:6" x14ac:dyDescent="0.25">
      <c r="A3184" t="s">
        <v>4201</v>
      </c>
      <c r="B3184" t="s">
        <v>823</v>
      </c>
      <c r="C3184" t="s">
        <v>824</v>
      </c>
      <c r="D3184" t="str">
        <f>HYPERLINK("http://service.sap.com/sap/support/notes/1748963","1748963")</f>
        <v>1748963</v>
      </c>
      <c r="E3184">
        <v>2</v>
      </c>
      <c r="F3184" t="s">
        <v>4576</v>
      </c>
    </row>
    <row r="3185" spans="1:6" x14ac:dyDescent="0.25">
      <c r="A3185" t="s">
        <v>4201</v>
      </c>
      <c r="B3185" t="s">
        <v>823</v>
      </c>
      <c r="C3185" t="s">
        <v>824</v>
      </c>
      <c r="D3185" t="str">
        <f>HYPERLINK("http://service.sap.com/sap/support/notes/1750152","1750152")</f>
        <v>1750152</v>
      </c>
      <c r="E3185">
        <v>2</v>
      </c>
      <c r="F3185" t="s">
        <v>4577</v>
      </c>
    </row>
    <row r="3186" spans="1:6" x14ac:dyDescent="0.25">
      <c r="A3186" t="s">
        <v>4201</v>
      </c>
      <c r="B3186" t="s">
        <v>823</v>
      </c>
      <c r="C3186" t="s">
        <v>824</v>
      </c>
      <c r="D3186" t="str">
        <f>HYPERLINK("http://service.sap.com/sap/support/notes/1756888","1756888")</f>
        <v>1756888</v>
      </c>
      <c r="E3186">
        <v>2</v>
      </c>
      <c r="F3186" t="s">
        <v>4578</v>
      </c>
    </row>
    <row r="3187" spans="1:6" x14ac:dyDescent="0.25">
      <c r="A3187" t="s">
        <v>4201</v>
      </c>
      <c r="B3187" t="s">
        <v>823</v>
      </c>
      <c r="C3187" t="s">
        <v>824</v>
      </c>
      <c r="D3187" t="str">
        <f>HYPERLINK("http://service.sap.com/sap/support/notes/1766320","1766320")</f>
        <v>1766320</v>
      </c>
      <c r="E3187">
        <v>3</v>
      </c>
      <c r="F3187" t="s">
        <v>4579</v>
      </c>
    </row>
    <row r="3188" spans="1:6" x14ac:dyDescent="0.25">
      <c r="A3188" t="s">
        <v>4201</v>
      </c>
      <c r="B3188" t="s">
        <v>823</v>
      </c>
      <c r="C3188" t="s">
        <v>824</v>
      </c>
      <c r="D3188" t="str">
        <f>HYPERLINK("http://service.sap.com/sap/support/notes/1772986","1772986")</f>
        <v>1772986</v>
      </c>
      <c r="E3188">
        <v>2</v>
      </c>
      <c r="F3188" t="s">
        <v>4580</v>
      </c>
    </row>
    <row r="3189" spans="1:6" x14ac:dyDescent="0.25">
      <c r="A3189" t="s">
        <v>4201</v>
      </c>
      <c r="B3189" t="s">
        <v>823</v>
      </c>
      <c r="C3189" t="s">
        <v>824</v>
      </c>
      <c r="D3189" t="str">
        <f>HYPERLINK("http://service.sap.com/sap/support/notes/1774198","1774198")</f>
        <v>1774198</v>
      </c>
      <c r="E3189">
        <v>2</v>
      </c>
      <c r="F3189" t="s">
        <v>4581</v>
      </c>
    </row>
    <row r="3190" spans="1:6" x14ac:dyDescent="0.25">
      <c r="A3190" t="s">
        <v>4201</v>
      </c>
      <c r="B3190" t="s">
        <v>823</v>
      </c>
      <c r="C3190" t="s">
        <v>824</v>
      </c>
      <c r="D3190" t="str">
        <f>HYPERLINK("http://service.sap.com/sap/support/notes/1774710","1774710")</f>
        <v>1774710</v>
      </c>
      <c r="E3190">
        <v>1</v>
      </c>
      <c r="F3190" t="s">
        <v>4582</v>
      </c>
    </row>
    <row r="3191" spans="1:6" x14ac:dyDescent="0.25">
      <c r="A3191" t="s">
        <v>4201</v>
      </c>
      <c r="B3191" t="s">
        <v>823</v>
      </c>
      <c r="C3191" t="s">
        <v>824</v>
      </c>
      <c r="D3191" t="str">
        <f>HYPERLINK("http://service.sap.com/sap/support/notes/1774890","1774890")</f>
        <v>1774890</v>
      </c>
      <c r="E3191">
        <v>1</v>
      </c>
      <c r="F3191" t="s">
        <v>4583</v>
      </c>
    </row>
    <row r="3192" spans="1:6" x14ac:dyDescent="0.25">
      <c r="A3192" t="s">
        <v>4201</v>
      </c>
      <c r="B3192" t="s">
        <v>823</v>
      </c>
      <c r="C3192" t="s">
        <v>824</v>
      </c>
      <c r="D3192" t="str">
        <f>HYPERLINK("http://service.sap.com/sap/support/notes/1777824","1777824")</f>
        <v>1777824</v>
      </c>
      <c r="E3192">
        <v>1</v>
      </c>
      <c r="F3192" t="s">
        <v>4584</v>
      </c>
    </row>
    <row r="3193" spans="1:6" x14ac:dyDescent="0.25">
      <c r="A3193" t="s">
        <v>4201</v>
      </c>
      <c r="B3193" t="s">
        <v>4585</v>
      </c>
      <c r="C3193" t="s">
        <v>4500</v>
      </c>
    </row>
    <row r="3194" spans="1:6" x14ac:dyDescent="0.25">
      <c r="A3194" t="s">
        <v>4201</v>
      </c>
      <c r="B3194" t="s">
        <v>4586</v>
      </c>
      <c r="C3194" t="s">
        <v>4587</v>
      </c>
      <c r="D3194" t="str">
        <f>HYPERLINK("http://service.sap.com/sap/support/notes/1760765","1760765")</f>
        <v>1760765</v>
      </c>
      <c r="E3194">
        <v>4</v>
      </c>
      <c r="F3194" t="s">
        <v>4588</v>
      </c>
    </row>
    <row r="3195" spans="1:6" x14ac:dyDescent="0.25">
      <c r="A3195" t="s">
        <v>4201</v>
      </c>
      <c r="B3195" t="s">
        <v>4586</v>
      </c>
      <c r="C3195" t="s">
        <v>4587</v>
      </c>
      <c r="D3195" t="str">
        <f>HYPERLINK("http://service.sap.com/sap/support/notes/1782615","1782615")</f>
        <v>1782615</v>
      </c>
      <c r="E3195">
        <v>1</v>
      </c>
      <c r="F3195" t="s">
        <v>4589</v>
      </c>
    </row>
    <row r="3196" spans="1:6" x14ac:dyDescent="0.25">
      <c r="A3196" t="s">
        <v>4201</v>
      </c>
      <c r="B3196" t="s">
        <v>830</v>
      </c>
      <c r="C3196" t="s">
        <v>831</v>
      </c>
    </row>
    <row r="3197" spans="1:6" x14ac:dyDescent="0.25">
      <c r="A3197" t="s">
        <v>4201</v>
      </c>
      <c r="B3197" t="s">
        <v>834</v>
      </c>
      <c r="C3197" t="s">
        <v>151</v>
      </c>
      <c r="D3197" t="str">
        <f>HYPERLINK("http://service.sap.com/sap/support/notes/1771212","1771212")</f>
        <v>1771212</v>
      </c>
      <c r="E3197">
        <v>3</v>
      </c>
      <c r="F3197" t="s">
        <v>4590</v>
      </c>
    </row>
    <row r="3198" spans="1:6" x14ac:dyDescent="0.25">
      <c r="A3198" t="s">
        <v>4201</v>
      </c>
      <c r="B3198" t="s">
        <v>838</v>
      </c>
      <c r="C3198" t="s">
        <v>839</v>
      </c>
      <c r="D3198" t="str">
        <f>HYPERLINK("http://service.sap.com/sap/support/notes/1749187","1749187")</f>
        <v>1749187</v>
      </c>
      <c r="E3198">
        <v>4</v>
      </c>
      <c r="F3198" t="s">
        <v>4591</v>
      </c>
    </row>
    <row r="3199" spans="1:6" x14ac:dyDescent="0.25">
      <c r="A3199" t="s">
        <v>4201</v>
      </c>
      <c r="B3199" t="s">
        <v>838</v>
      </c>
      <c r="C3199" t="s">
        <v>839</v>
      </c>
      <c r="D3199" t="str">
        <f>HYPERLINK("http://service.sap.com/sap/support/notes/1759147","1759147")</f>
        <v>1759147</v>
      </c>
      <c r="E3199">
        <v>3</v>
      </c>
      <c r="F3199" t="s">
        <v>4592</v>
      </c>
    </row>
    <row r="3200" spans="1:6" x14ac:dyDescent="0.25">
      <c r="A3200" t="s">
        <v>4201</v>
      </c>
      <c r="B3200" t="s">
        <v>838</v>
      </c>
      <c r="C3200" t="s">
        <v>839</v>
      </c>
      <c r="D3200" t="str">
        <f>HYPERLINK("http://service.sap.com/sap/support/notes/1769260","1769260")</f>
        <v>1769260</v>
      </c>
      <c r="E3200">
        <v>3</v>
      </c>
      <c r="F3200" t="s">
        <v>4593</v>
      </c>
    </row>
    <row r="3201" spans="1:6" x14ac:dyDescent="0.25">
      <c r="A3201" t="s">
        <v>4201</v>
      </c>
      <c r="B3201" t="s">
        <v>838</v>
      </c>
      <c r="C3201" t="s">
        <v>839</v>
      </c>
      <c r="D3201" t="str">
        <f>HYPERLINK("http://service.sap.com/sap/support/notes/1774969","1774969")</f>
        <v>1774969</v>
      </c>
      <c r="E3201">
        <v>1</v>
      </c>
      <c r="F3201" t="s">
        <v>4594</v>
      </c>
    </row>
    <row r="3202" spans="1:6" x14ac:dyDescent="0.25">
      <c r="A3202" t="s">
        <v>4201</v>
      </c>
      <c r="B3202" t="s">
        <v>838</v>
      </c>
      <c r="C3202" t="s">
        <v>839</v>
      </c>
      <c r="D3202" t="str">
        <f>HYPERLINK("http://service.sap.com/sap/support/notes/1778866","1778866")</f>
        <v>1778866</v>
      </c>
      <c r="E3202">
        <v>1</v>
      </c>
      <c r="F3202" t="s">
        <v>4595</v>
      </c>
    </row>
    <row r="3203" spans="1:6" x14ac:dyDescent="0.25">
      <c r="A3203" t="s">
        <v>4201</v>
      </c>
      <c r="B3203" t="s">
        <v>838</v>
      </c>
      <c r="C3203" t="s">
        <v>839</v>
      </c>
      <c r="D3203" t="str">
        <f>HYPERLINK("http://service.sap.com/sap/support/notes/1785014","1785014")</f>
        <v>1785014</v>
      </c>
      <c r="E3203">
        <v>1</v>
      </c>
      <c r="F3203" t="s">
        <v>4596</v>
      </c>
    </row>
    <row r="3204" spans="1:6" x14ac:dyDescent="0.25">
      <c r="A3204" t="s">
        <v>4201</v>
      </c>
      <c r="B3204" t="s">
        <v>847</v>
      </c>
      <c r="C3204" t="s">
        <v>848</v>
      </c>
      <c r="D3204" t="str">
        <f>HYPERLINK("http://service.sap.com/sap/support/notes/1714439","1714439")</f>
        <v>1714439</v>
      </c>
      <c r="E3204">
        <v>2</v>
      </c>
      <c r="F3204" t="s">
        <v>4597</v>
      </c>
    </row>
    <row r="3205" spans="1:6" x14ac:dyDescent="0.25">
      <c r="A3205" t="s">
        <v>4201</v>
      </c>
      <c r="B3205" t="s">
        <v>847</v>
      </c>
      <c r="C3205" t="s">
        <v>848</v>
      </c>
      <c r="D3205" t="str">
        <f>HYPERLINK("http://service.sap.com/sap/support/notes/1743479","1743479")</f>
        <v>1743479</v>
      </c>
      <c r="E3205">
        <v>2</v>
      </c>
      <c r="F3205" t="s">
        <v>4598</v>
      </c>
    </row>
    <row r="3206" spans="1:6" x14ac:dyDescent="0.25">
      <c r="A3206" t="s">
        <v>4201</v>
      </c>
      <c r="B3206" t="s">
        <v>847</v>
      </c>
      <c r="C3206" t="s">
        <v>848</v>
      </c>
      <c r="D3206" t="str">
        <f>HYPERLINK("http://service.sap.com/sap/support/notes/1753566","1753566")</f>
        <v>1753566</v>
      </c>
      <c r="E3206">
        <v>2</v>
      </c>
      <c r="F3206" t="s">
        <v>4599</v>
      </c>
    </row>
    <row r="3207" spans="1:6" x14ac:dyDescent="0.25">
      <c r="A3207" t="s">
        <v>4201</v>
      </c>
      <c r="B3207" t="s">
        <v>847</v>
      </c>
      <c r="C3207" t="s">
        <v>848</v>
      </c>
      <c r="D3207" t="str">
        <f>HYPERLINK("http://service.sap.com/sap/support/notes/1760564","1760564")</f>
        <v>1760564</v>
      </c>
      <c r="E3207">
        <v>3</v>
      </c>
      <c r="F3207" t="s">
        <v>4600</v>
      </c>
    </row>
    <row r="3208" spans="1:6" x14ac:dyDescent="0.25">
      <c r="A3208" t="s">
        <v>4201</v>
      </c>
      <c r="B3208" t="s">
        <v>847</v>
      </c>
      <c r="C3208" t="s">
        <v>848</v>
      </c>
      <c r="D3208" t="str">
        <f>HYPERLINK("http://service.sap.com/sap/support/notes/1765492","1765492")</f>
        <v>1765492</v>
      </c>
      <c r="E3208">
        <v>1</v>
      </c>
      <c r="F3208" t="s">
        <v>4601</v>
      </c>
    </row>
    <row r="3209" spans="1:6" x14ac:dyDescent="0.25">
      <c r="A3209" t="s">
        <v>4201</v>
      </c>
      <c r="B3209" t="s">
        <v>847</v>
      </c>
      <c r="C3209" t="s">
        <v>848</v>
      </c>
      <c r="D3209" t="str">
        <f>HYPERLINK("http://service.sap.com/sap/support/notes/1767595","1767595")</f>
        <v>1767595</v>
      </c>
      <c r="E3209">
        <v>2</v>
      </c>
      <c r="F3209" t="s">
        <v>4602</v>
      </c>
    </row>
    <row r="3210" spans="1:6" x14ac:dyDescent="0.25">
      <c r="A3210" t="s">
        <v>4201</v>
      </c>
      <c r="B3210" t="s">
        <v>847</v>
      </c>
      <c r="C3210" t="s">
        <v>848</v>
      </c>
      <c r="D3210" t="str">
        <f>HYPERLINK("http://service.sap.com/sap/support/notes/1767803","1767803")</f>
        <v>1767803</v>
      </c>
      <c r="E3210">
        <v>2</v>
      </c>
      <c r="F3210" t="s">
        <v>4603</v>
      </c>
    </row>
    <row r="3211" spans="1:6" x14ac:dyDescent="0.25">
      <c r="A3211" t="s">
        <v>4201</v>
      </c>
      <c r="B3211" t="s">
        <v>847</v>
      </c>
      <c r="C3211" t="s">
        <v>848</v>
      </c>
      <c r="D3211" t="str">
        <f>HYPERLINK("http://service.sap.com/sap/support/notes/1772948","1772948")</f>
        <v>1772948</v>
      </c>
      <c r="E3211">
        <v>2</v>
      </c>
      <c r="F3211" t="s">
        <v>4604</v>
      </c>
    </row>
    <row r="3212" spans="1:6" x14ac:dyDescent="0.25">
      <c r="A3212" t="s">
        <v>4201</v>
      </c>
      <c r="B3212" t="s">
        <v>847</v>
      </c>
      <c r="C3212" t="s">
        <v>848</v>
      </c>
      <c r="D3212" t="str">
        <f>HYPERLINK("http://service.sap.com/sap/support/notes/1774833","1774833")</f>
        <v>1774833</v>
      </c>
      <c r="E3212">
        <v>1</v>
      </c>
      <c r="F3212" t="s">
        <v>4605</v>
      </c>
    </row>
    <row r="3213" spans="1:6" x14ac:dyDescent="0.25">
      <c r="A3213" t="s">
        <v>4201</v>
      </c>
      <c r="B3213" t="s">
        <v>847</v>
      </c>
      <c r="C3213" t="s">
        <v>848</v>
      </c>
      <c r="D3213" t="str">
        <f>HYPERLINK("http://service.sap.com/sap/support/notes/1774986","1774986")</f>
        <v>1774986</v>
      </c>
      <c r="E3213">
        <v>2</v>
      </c>
      <c r="F3213" t="s">
        <v>4606</v>
      </c>
    </row>
    <row r="3214" spans="1:6" x14ac:dyDescent="0.25">
      <c r="A3214" t="s">
        <v>4201</v>
      </c>
      <c r="B3214" t="s">
        <v>847</v>
      </c>
      <c r="C3214" t="s">
        <v>848</v>
      </c>
      <c r="D3214" t="str">
        <f>HYPERLINK("http://service.sap.com/sap/support/notes/1776076","1776076")</f>
        <v>1776076</v>
      </c>
      <c r="E3214">
        <v>4</v>
      </c>
      <c r="F3214" t="s">
        <v>4607</v>
      </c>
    </row>
    <row r="3215" spans="1:6" x14ac:dyDescent="0.25">
      <c r="A3215" t="s">
        <v>4201</v>
      </c>
      <c r="B3215" t="s">
        <v>847</v>
      </c>
      <c r="C3215" t="s">
        <v>848</v>
      </c>
      <c r="D3215" t="str">
        <f>HYPERLINK("http://service.sap.com/sap/support/notes/1778464","1778464")</f>
        <v>1778464</v>
      </c>
      <c r="E3215">
        <v>1</v>
      </c>
      <c r="F3215" t="s">
        <v>4608</v>
      </c>
    </row>
    <row r="3216" spans="1:6" x14ac:dyDescent="0.25">
      <c r="A3216" t="s">
        <v>4201</v>
      </c>
      <c r="B3216" t="s">
        <v>847</v>
      </c>
      <c r="C3216" t="s">
        <v>848</v>
      </c>
      <c r="D3216" t="str">
        <f>HYPERLINK("http://service.sap.com/sap/support/notes/1779966","1779966")</f>
        <v>1779966</v>
      </c>
      <c r="E3216">
        <v>1</v>
      </c>
      <c r="F3216" t="s">
        <v>4609</v>
      </c>
    </row>
    <row r="3217" spans="1:6" x14ac:dyDescent="0.25">
      <c r="A3217" t="s">
        <v>4201</v>
      </c>
      <c r="B3217" t="s">
        <v>847</v>
      </c>
      <c r="C3217" t="s">
        <v>848</v>
      </c>
      <c r="D3217" t="str">
        <f>HYPERLINK("http://service.sap.com/sap/support/notes/1787388","1787388")</f>
        <v>1787388</v>
      </c>
      <c r="E3217">
        <v>1</v>
      </c>
      <c r="F3217" t="s">
        <v>4610</v>
      </c>
    </row>
    <row r="3218" spans="1:6" x14ac:dyDescent="0.25">
      <c r="A3218" t="s">
        <v>4201</v>
      </c>
      <c r="B3218" t="s">
        <v>847</v>
      </c>
      <c r="C3218" t="s">
        <v>848</v>
      </c>
      <c r="D3218" t="str">
        <f>HYPERLINK("http://service.sap.com/sap/support/notes/1792691","1792691")</f>
        <v>1792691</v>
      </c>
      <c r="E3218">
        <v>1</v>
      </c>
      <c r="F3218" t="s">
        <v>4611</v>
      </c>
    </row>
    <row r="3219" spans="1:6" x14ac:dyDescent="0.25">
      <c r="A3219" t="s">
        <v>4201</v>
      </c>
      <c r="B3219" t="s">
        <v>847</v>
      </c>
      <c r="C3219" t="s">
        <v>848</v>
      </c>
      <c r="D3219" t="str">
        <f>HYPERLINK("http://service.sap.com/sap/support/notes/1795890","1795890")</f>
        <v>1795890</v>
      </c>
      <c r="E3219">
        <v>1</v>
      </c>
      <c r="F3219" t="s">
        <v>4612</v>
      </c>
    </row>
    <row r="3220" spans="1:6" x14ac:dyDescent="0.25">
      <c r="A3220" t="s">
        <v>4201</v>
      </c>
      <c r="B3220" t="s">
        <v>847</v>
      </c>
      <c r="C3220" t="s">
        <v>848</v>
      </c>
      <c r="D3220" t="str">
        <f>HYPERLINK("http://service.sap.com/sap/support/notes/1798063","1798063")</f>
        <v>1798063</v>
      </c>
      <c r="E3220">
        <v>1</v>
      </c>
      <c r="F3220" t="s">
        <v>4613</v>
      </c>
    </row>
    <row r="3221" spans="1:6" x14ac:dyDescent="0.25">
      <c r="A3221" t="s">
        <v>4201</v>
      </c>
      <c r="B3221" t="s">
        <v>868</v>
      </c>
      <c r="C3221" t="s">
        <v>869</v>
      </c>
      <c r="D3221" t="str">
        <f>HYPERLINK("http://service.sap.com/sap/support/notes/1442954","1442954")</f>
        <v>1442954</v>
      </c>
      <c r="E3221">
        <v>2</v>
      </c>
      <c r="F3221" t="s">
        <v>4614</v>
      </c>
    </row>
    <row r="3222" spans="1:6" x14ac:dyDescent="0.25">
      <c r="A3222" t="s">
        <v>4201</v>
      </c>
      <c r="B3222" t="s">
        <v>868</v>
      </c>
      <c r="C3222" t="s">
        <v>869</v>
      </c>
      <c r="D3222" t="str">
        <f>HYPERLINK("http://service.sap.com/sap/support/notes/1705402","1705402")</f>
        <v>1705402</v>
      </c>
      <c r="E3222">
        <v>2</v>
      </c>
      <c r="F3222" t="s">
        <v>4615</v>
      </c>
    </row>
    <row r="3223" spans="1:6" x14ac:dyDescent="0.25">
      <c r="A3223" t="s">
        <v>4201</v>
      </c>
      <c r="B3223" t="s">
        <v>868</v>
      </c>
      <c r="C3223" t="s">
        <v>869</v>
      </c>
      <c r="D3223" t="str">
        <f>HYPERLINK("http://service.sap.com/sap/support/notes/1726546","1726546")</f>
        <v>1726546</v>
      </c>
      <c r="E3223">
        <v>2</v>
      </c>
      <c r="F3223" t="s">
        <v>4616</v>
      </c>
    </row>
    <row r="3224" spans="1:6" x14ac:dyDescent="0.25">
      <c r="A3224" t="s">
        <v>4201</v>
      </c>
      <c r="B3224" t="s">
        <v>868</v>
      </c>
      <c r="C3224" t="s">
        <v>869</v>
      </c>
      <c r="D3224" t="str">
        <f>HYPERLINK("http://service.sap.com/sap/support/notes/1753147","1753147")</f>
        <v>1753147</v>
      </c>
      <c r="E3224">
        <v>3</v>
      </c>
      <c r="F3224" t="s">
        <v>4617</v>
      </c>
    </row>
    <row r="3225" spans="1:6" x14ac:dyDescent="0.25">
      <c r="A3225" t="s">
        <v>4201</v>
      </c>
      <c r="B3225" t="s">
        <v>868</v>
      </c>
      <c r="C3225" t="s">
        <v>869</v>
      </c>
      <c r="D3225" t="str">
        <f>HYPERLINK("http://service.sap.com/sap/support/notes/1759691","1759691")</f>
        <v>1759691</v>
      </c>
      <c r="E3225">
        <v>3</v>
      </c>
      <c r="F3225" t="s">
        <v>4618</v>
      </c>
    </row>
    <row r="3226" spans="1:6" x14ac:dyDescent="0.25">
      <c r="A3226" t="s">
        <v>4201</v>
      </c>
      <c r="B3226" t="s">
        <v>868</v>
      </c>
      <c r="C3226" t="s">
        <v>869</v>
      </c>
      <c r="D3226" t="str">
        <f>HYPERLINK("http://service.sap.com/sap/support/notes/1762689","1762689")</f>
        <v>1762689</v>
      </c>
      <c r="E3226">
        <v>1</v>
      </c>
      <c r="F3226" t="s">
        <v>4619</v>
      </c>
    </row>
    <row r="3227" spans="1:6" x14ac:dyDescent="0.25">
      <c r="A3227" t="s">
        <v>4201</v>
      </c>
      <c r="B3227" t="s">
        <v>868</v>
      </c>
      <c r="C3227" t="s">
        <v>869</v>
      </c>
      <c r="D3227" t="str">
        <f>HYPERLINK("http://service.sap.com/sap/support/notes/1763084","1763084")</f>
        <v>1763084</v>
      </c>
      <c r="E3227">
        <v>2</v>
      </c>
      <c r="F3227" t="s">
        <v>4620</v>
      </c>
    </row>
    <row r="3228" spans="1:6" x14ac:dyDescent="0.25">
      <c r="A3228" t="s">
        <v>4201</v>
      </c>
      <c r="B3228" t="s">
        <v>868</v>
      </c>
      <c r="C3228" t="s">
        <v>869</v>
      </c>
      <c r="D3228" t="str">
        <f>HYPERLINK("http://service.sap.com/sap/support/notes/1767214","1767214")</f>
        <v>1767214</v>
      </c>
      <c r="E3228">
        <v>4</v>
      </c>
      <c r="F3228" t="s">
        <v>4621</v>
      </c>
    </row>
    <row r="3229" spans="1:6" x14ac:dyDescent="0.25">
      <c r="A3229" t="s">
        <v>4201</v>
      </c>
      <c r="B3229" t="s">
        <v>868</v>
      </c>
      <c r="C3229" t="s">
        <v>869</v>
      </c>
      <c r="D3229" t="str">
        <f>HYPERLINK("http://service.sap.com/sap/support/notes/1770251","1770251")</f>
        <v>1770251</v>
      </c>
      <c r="E3229">
        <v>2</v>
      </c>
      <c r="F3229" t="s">
        <v>4622</v>
      </c>
    </row>
    <row r="3230" spans="1:6" x14ac:dyDescent="0.25">
      <c r="A3230" t="s">
        <v>4201</v>
      </c>
      <c r="B3230" t="s">
        <v>868</v>
      </c>
      <c r="C3230" t="s">
        <v>869</v>
      </c>
      <c r="D3230" t="str">
        <f>HYPERLINK("http://service.sap.com/sap/support/notes/1773012","1773012")</f>
        <v>1773012</v>
      </c>
      <c r="E3230">
        <v>2</v>
      </c>
      <c r="F3230" t="s">
        <v>4623</v>
      </c>
    </row>
    <row r="3231" spans="1:6" x14ac:dyDescent="0.25">
      <c r="A3231" t="s">
        <v>4201</v>
      </c>
      <c r="B3231" t="s">
        <v>868</v>
      </c>
      <c r="C3231" t="s">
        <v>869</v>
      </c>
      <c r="D3231" t="str">
        <f>HYPERLINK("http://service.sap.com/sap/support/notes/1773613","1773613")</f>
        <v>1773613</v>
      </c>
      <c r="E3231">
        <v>2</v>
      </c>
      <c r="F3231" t="s">
        <v>4624</v>
      </c>
    </row>
    <row r="3232" spans="1:6" x14ac:dyDescent="0.25">
      <c r="A3232" t="s">
        <v>4201</v>
      </c>
      <c r="B3232" t="s">
        <v>868</v>
      </c>
      <c r="C3232" t="s">
        <v>869</v>
      </c>
      <c r="D3232" t="str">
        <f>HYPERLINK("http://service.sap.com/sap/support/notes/1779263","1779263")</f>
        <v>1779263</v>
      </c>
      <c r="E3232">
        <v>3</v>
      </c>
      <c r="F3232" t="s">
        <v>4625</v>
      </c>
    </row>
    <row r="3233" spans="1:6" x14ac:dyDescent="0.25">
      <c r="A3233" t="s">
        <v>4201</v>
      </c>
      <c r="B3233" t="s">
        <v>868</v>
      </c>
      <c r="C3233" t="s">
        <v>869</v>
      </c>
      <c r="D3233" t="str">
        <f>HYPERLINK("http://service.sap.com/sap/support/notes/1779840","1779840")</f>
        <v>1779840</v>
      </c>
      <c r="E3233">
        <v>1</v>
      </c>
      <c r="F3233" t="s">
        <v>4626</v>
      </c>
    </row>
    <row r="3234" spans="1:6" x14ac:dyDescent="0.25">
      <c r="A3234" t="s">
        <v>4201</v>
      </c>
      <c r="B3234" t="s">
        <v>868</v>
      </c>
      <c r="C3234" t="s">
        <v>869</v>
      </c>
      <c r="D3234" t="str">
        <f>HYPERLINK("http://service.sap.com/sap/support/notes/1783750","1783750")</f>
        <v>1783750</v>
      </c>
      <c r="E3234">
        <v>1</v>
      </c>
      <c r="F3234" t="s">
        <v>4627</v>
      </c>
    </row>
    <row r="3235" spans="1:6" x14ac:dyDescent="0.25">
      <c r="A3235" t="s">
        <v>4201</v>
      </c>
      <c r="B3235" t="s">
        <v>868</v>
      </c>
      <c r="C3235" t="s">
        <v>869</v>
      </c>
      <c r="D3235" t="str">
        <f>HYPERLINK("http://service.sap.com/sap/support/notes/1784518","1784518")</f>
        <v>1784518</v>
      </c>
      <c r="E3235">
        <v>1</v>
      </c>
      <c r="F3235" t="s">
        <v>4628</v>
      </c>
    </row>
    <row r="3236" spans="1:6" x14ac:dyDescent="0.25">
      <c r="A3236" t="s">
        <v>4201</v>
      </c>
      <c r="B3236" t="s">
        <v>868</v>
      </c>
      <c r="C3236" t="s">
        <v>869</v>
      </c>
      <c r="D3236" t="str">
        <f>HYPERLINK("http://service.sap.com/sap/support/notes/1787032","1787032")</f>
        <v>1787032</v>
      </c>
      <c r="E3236">
        <v>2</v>
      </c>
      <c r="F3236" t="s">
        <v>4629</v>
      </c>
    </row>
    <row r="3237" spans="1:6" x14ac:dyDescent="0.25">
      <c r="A3237" t="s">
        <v>4201</v>
      </c>
      <c r="B3237" t="s">
        <v>868</v>
      </c>
      <c r="C3237" t="s">
        <v>869</v>
      </c>
      <c r="D3237" t="str">
        <f>HYPERLINK("http://service.sap.com/sap/support/notes/1787334","1787334")</f>
        <v>1787334</v>
      </c>
      <c r="E3237">
        <v>1</v>
      </c>
      <c r="F3237" t="s">
        <v>4630</v>
      </c>
    </row>
    <row r="3238" spans="1:6" x14ac:dyDescent="0.25">
      <c r="A3238" t="s">
        <v>4201</v>
      </c>
      <c r="B3238" t="s">
        <v>868</v>
      </c>
      <c r="C3238" t="s">
        <v>869</v>
      </c>
      <c r="D3238" t="str">
        <f>HYPERLINK("http://service.sap.com/sap/support/notes/1790030","1790030")</f>
        <v>1790030</v>
      </c>
      <c r="E3238">
        <v>1</v>
      </c>
      <c r="F3238" t="s">
        <v>4631</v>
      </c>
    </row>
    <row r="3239" spans="1:6" x14ac:dyDescent="0.25">
      <c r="A3239" t="s">
        <v>4201</v>
      </c>
      <c r="B3239" t="s">
        <v>868</v>
      </c>
      <c r="C3239" t="s">
        <v>869</v>
      </c>
      <c r="D3239" t="str">
        <f>HYPERLINK("http://service.sap.com/sap/support/notes/1791746","1791746")</f>
        <v>1791746</v>
      </c>
      <c r="E3239">
        <v>1</v>
      </c>
      <c r="F3239" t="s">
        <v>4632</v>
      </c>
    </row>
    <row r="3240" spans="1:6" x14ac:dyDescent="0.25">
      <c r="A3240" t="s">
        <v>4201</v>
      </c>
      <c r="B3240" t="s">
        <v>868</v>
      </c>
      <c r="C3240" t="s">
        <v>869</v>
      </c>
      <c r="D3240" t="str">
        <f>HYPERLINK("http://service.sap.com/sap/support/notes/1791747","1791747")</f>
        <v>1791747</v>
      </c>
      <c r="E3240">
        <v>1</v>
      </c>
      <c r="F3240" t="s">
        <v>4633</v>
      </c>
    </row>
    <row r="3241" spans="1:6" x14ac:dyDescent="0.25">
      <c r="A3241" t="s">
        <v>4201</v>
      </c>
      <c r="B3241" t="s">
        <v>868</v>
      </c>
      <c r="C3241" t="s">
        <v>869</v>
      </c>
      <c r="D3241" t="str">
        <f>HYPERLINK("http://service.sap.com/sap/support/notes/1791873","1791873")</f>
        <v>1791873</v>
      </c>
      <c r="E3241">
        <v>1</v>
      </c>
      <c r="F3241" t="s">
        <v>4634</v>
      </c>
    </row>
    <row r="3242" spans="1:6" x14ac:dyDescent="0.25">
      <c r="A3242" t="s">
        <v>4201</v>
      </c>
      <c r="B3242" t="s">
        <v>868</v>
      </c>
      <c r="C3242" t="s">
        <v>869</v>
      </c>
      <c r="D3242" t="str">
        <f>HYPERLINK("http://service.sap.com/sap/support/notes/1792383","1792383")</f>
        <v>1792383</v>
      </c>
      <c r="E3242">
        <v>1</v>
      </c>
      <c r="F3242" t="s">
        <v>4635</v>
      </c>
    </row>
    <row r="3243" spans="1:6" x14ac:dyDescent="0.25">
      <c r="A3243" t="s">
        <v>4201</v>
      </c>
      <c r="B3243" t="s">
        <v>868</v>
      </c>
      <c r="C3243" t="s">
        <v>869</v>
      </c>
      <c r="D3243" t="str">
        <f>HYPERLINK("http://service.sap.com/sap/support/notes/1792634","1792634")</f>
        <v>1792634</v>
      </c>
      <c r="E3243">
        <v>1</v>
      </c>
      <c r="F3243" t="s">
        <v>4629</v>
      </c>
    </row>
    <row r="3244" spans="1:6" x14ac:dyDescent="0.25">
      <c r="A3244" t="s">
        <v>4201</v>
      </c>
      <c r="B3244" t="s">
        <v>868</v>
      </c>
      <c r="C3244" t="s">
        <v>869</v>
      </c>
      <c r="D3244" t="str">
        <f>HYPERLINK("http://service.sap.com/sap/support/notes/1796078","1796078")</f>
        <v>1796078</v>
      </c>
      <c r="E3244">
        <v>1</v>
      </c>
      <c r="F3244" t="s">
        <v>4636</v>
      </c>
    </row>
    <row r="3245" spans="1:6" x14ac:dyDescent="0.25">
      <c r="A3245" t="s">
        <v>4201</v>
      </c>
      <c r="B3245" t="s">
        <v>886</v>
      </c>
      <c r="C3245" t="s">
        <v>887</v>
      </c>
      <c r="D3245" t="str">
        <f>HYPERLINK("http://service.sap.com/sap/support/notes/1770717","1770717")</f>
        <v>1770717</v>
      </c>
      <c r="E3245">
        <v>2</v>
      </c>
      <c r="F3245" t="s">
        <v>4637</v>
      </c>
    </row>
    <row r="3246" spans="1:6" x14ac:dyDescent="0.25">
      <c r="A3246" t="s">
        <v>4201</v>
      </c>
      <c r="B3246" t="s">
        <v>890</v>
      </c>
      <c r="C3246" t="s">
        <v>891</v>
      </c>
      <c r="D3246" t="str">
        <f>HYPERLINK("http://service.sap.com/sap/support/notes/1695649","1695649")</f>
        <v>1695649</v>
      </c>
      <c r="E3246">
        <v>2</v>
      </c>
      <c r="F3246" t="s">
        <v>4638</v>
      </c>
    </row>
    <row r="3247" spans="1:6" x14ac:dyDescent="0.25">
      <c r="A3247" t="s">
        <v>4201</v>
      </c>
      <c r="B3247" t="s">
        <v>890</v>
      </c>
      <c r="C3247" t="s">
        <v>891</v>
      </c>
      <c r="D3247" t="str">
        <f>HYPERLINK("http://service.sap.com/sap/support/notes/1734260","1734260")</f>
        <v>1734260</v>
      </c>
      <c r="E3247">
        <v>4</v>
      </c>
      <c r="F3247" t="s">
        <v>4639</v>
      </c>
    </row>
    <row r="3248" spans="1:6" x14ac:dyDescent="0.25">
      <c r="A3248" t="s">
        <v>4201</v>
      </c>
      <c r="B3248" t="s">
        <v>890</v>
      </c>
      <c r="C3248" t="s">
        <v>891</v>
      </c>
      <c r="D3248" t="str">
        <f>HYPERLINK("http://service.sap.com/sap/support/notes/1763777","1763777")</f>
        <v>1763777</v>
      </c>
      <c r="E3248">
        <v>4</v>
      </c>
      <c r="F3248" t="s">
        <v>4640</v>
      </c>
    </row>
    <row r="3249" spans="1:6" x14ac:dyDescent="0.25">
      <c r="A3249" t="s">
        <v>4201</v>
      </c>
      <c r="B3249" t="s">
        <v>890</v>
      </c>
      <c r="C3249" t="s">
        <v>891</v>
      </c>
      <c r="D3249" t="str">
        <f>HYPERLINK("http://service.sap.com/sap/support/notes/1768650","1768650")</f>
        <v>1768650</v>
      </c>
      <c r="E3249">
        <v>3</v>
      </c>
      <c r="F3249" t="s">
        <v>4641</v>
      </c>
    </row>
    <row r="3250" spans="1:6" x14ac:dyDescent="0.25">
      <c r="A3250" t="s">
        <v>4201</v>
      </c>
      <c r="B3250" t="s">
        <v>890</v>
      </c>
      <c r="C3250" t="s">
        <v>891</v>
      </c>
      <c r="D3250" t="str">
        <f>HYPERLINK("http://service.sap.com/sap/support/notes/1777970","1777970")</f>
        <v>1777970</v>
      </c>
      <c r="E3250">
        <v>1</v>
      </c>
      <c r="F3250" t="s">
        <v>4642</v>
      </c>
    </row>
    <row r="3251" spans="1:6" x14ac:dyDescent="0.25">
      <c r="A3251" t="s">
        <v>4201</v>
      </c>
      <c r="B3251" t="s">
        <v>890</v>
      </c>
      <c r="C3251" t="s">
        <v>891</v>
      </c>
      <c r="D3251" t="str">
        <f>HYPERLINK("http://service.sap.com/sap/support/notes/1784167","1784167")</f>
        <v>1784167</v>
      </c>
      <c r="E3251">
        <v>1</v>
      </c>
      <c r="F3251" t="s">
        <v>4643</v>
      </c>
    </row>
    <row r="3252" spans="1:6" x14ac:dyDescent="0.25">
      <c r="A3252" t="s">
        <v>4201</v>
      </c>
      <c r="B3252" t="s">
        <v>890</v>
      </c>
      <c r="C3252" t="s">
        <v>891</v>
      </c>
      <c r="D3252" t="str">
        <f>HYPERLINK("http://service.sap.com/sap/support/notes/1794729","1794729")</f>
        <v>1794729</v>
      </c>
      <c r="E3252">
        <v>2</v>
      </c>
      <c r="F3252" t="s">
        <v>4644</v>
      </c>
    </row>
    <row r="3253" spans="1:6" x14ac:dyDescent="0.25">
      <c r="A3253" t="s">
        <v>4201</v>
      </c>
      <c r="B3253" t="s">
        <v>890</v>
      </c>
      <c r="C3253" t="s">
        <v>891</v>
      </c>
      <c r="D3253" t="str">
        <f>HYPERLINK("http://service.sap.com/sap/support/notes/1796472","1796472")</f>
        <v>1796472</v>
      </c>
      <c r="E3253">
        <v>2</v>
      </c>
      <c r="F3253" t="s">
        <v>4645</v>
      </c>
    </row>
    <row r="3254" spans="1:6" x14ac:dyDescent="0.25">
      <c r="A3254" t="s">
        <v>4201</v>
      </c>
      <c r="B3254" t="s">
        <v>901</v>
      </c>
      <c r="C3254" t="s">
        <v>902</v>
      </c>
      <c r="D3254" t="str">
        <f>HYPERLINK("http://service.sap.com/sap/support/notes/1750343","1750343")</f>
        <v>1750343</v>
      </c>
      <c r="E3254">
        <v>3</v>
      </c>
      <c r="F3254" t="s">
        <v>4646</v>
      </c>
    </row>
    <row r="3255" spans="1:6" x14ac:dyDescent="0.25">
      <c r="A3255" t="s">
        <v>4201</v>
      </c>
      <c r="B3255" t="s">
        <v>901</v>
      </c>
      <c r="C3255" t="s">
        <v>902</v>
      </c>
      <c r="D3255" t="str">
        <f>HYPERLINK("http://service.sap.com/sap/support/notes/1763118","1763118")</f>
        <v>1763118</v>
      </c>
      <c r="E3255">
        <v>3</v>
      </c>
      <c r="F3255" t="s">
        <v>4647</v>
      </c>
    </row>
    <row r="3256" spans="1:6" x14ac:dyDescent="0.25">
      <c r="A3256" t="s">
        <v>4201</v>
      </c>
      <c r="B3256" t="s">
        <v>905</v>
      </c>
      <c r="C3256" t="s">
        <v>29</v>
      </c>
      <c r="D3256" t="str">
        <f>HYPERLINK("http://service.sap.com/sap/support/notes/1728147","1728147")</f>
        <v>1728147</v>
      </c>
      <c r="E3256">
        <v>3</v>
      </c>
      <c r="F3256" t="s">
        <v>4648</v>
      </c>
    </row>
    <row r="3257" spans="1:6" x14ac:dyDescent="0.25">
      <c r="A3257" t="s">
        <v>4201</v>
      </c>
      <c r="B3257" t="s">
        <v>905</v>
      </c>
      <c r="C3257" t="s">
        <v>29</v>
      </c>
      <c r="D3257" t="str">
        <f>HYPERLINK("http://service.sap.com/sap/support/notes/1797244","1797244")</f>
        <v>1797244</v>
      </c>
      <c r="E3257">
        <v>2</v>
      </c>
      <c r="F3257" t="s">
        <v>4649</v>
      </c>
    </row>
    <row r="3258" spans="1:6" x14ac:dyDescent="0.25">
      <c r="A3258" t="s">
        <v>4201</v>
      </c>
      <c r="B3258" t="s">
        <v>911</v>
      </c>
      <c r="C3258" t="s">
        <v>912</v>
      </c>
      <c r="D3258" t="str">
        <f>HYPERLINK("http://service.sap.com/sap/support/notes/1068968","1068968")</f>
        <v>1068968</v>
      </c>
      <c r="E3258">
        <v>15</v>
      </c>
      <c r="F3258" t="s">
        <v>4650</v>
      </c>
    </row>
    <row r="3259" spans="1:6" x14ac:dyDescent="0.25">
      <c r="A3259" t="s">
        <v>4201</v>
      </c>
      <c r="B3259" t="s">
        <v>911</v>
      </c>
      <c r="C3259" t="s">
        <v>912</v>
      </c>
      <c r="D3259" t="str">
        <f>HYPERLINK("http://service.sap.com/sap/support/notes/1720863","1720863")</f>
        <v>1720863</v>
      </c>
      <c r="E3259">
        <v>2</v>
      </c>
      <c r="F3259" t="s">
        <v>4651</v>
      </c>
    </row>
    <row r="3260" spans="1:6" x14ac:dyDescent="0.25">
      <c r="A3260" t="s">
        <v>4201</v>
      </c>
      <c r="B3260" t="s">
        <v>911</v>
      </c>
      <c r="C3260" t="s">
        <v>912</v>
      </c>
      <c r="D3260" t="str">
        <f>HYPERLINK("http://service.sap.com/sap/support/notes/1790078","1790078")</f>
        <v>1790078</v>
      </c>
      <c r="E3260">
        <v>1</v>
      </c>
      <c r="F3260" t="s">
        <v>4652</v>
      </c>
    </row>
    <row r="3261" spans="1:6" x14ac:dyDescent="0.25">
      <c r="A3261" t="s">
        <v>4201</v>
      </c>
      <c r="B3261" t="s">
        <v>911</v>
      </c>
      <c r="C3261" t="s">
        <v>912</v>
      </c>
      <c r="D3261" t="str">
        <f>HYPERLINK("http://service.sap.com/sap/support/notes/1790485","1790485")</f>
        <v>1790485</v>
      </c>
      <c r="E3261">
        <v>2</v>
      </c>
      <c r="F3261" t="s">
        <v>4653</v>
      </c>
    </row>
    <row r="3262" spans="1:6" x14ac:dyDescent="0.25">
      <c r="A3262" t="s">
        <v>4201</v>
      </c>
      <c r="B3262" t="s">
        <v>911</v>
      </c>
      <c r="C3262" t="s">
        <v>912</v>
      </c>
      <c r="D3262" t="str">
        <f>HYPERLINK("http://service.sap.com/sap/support/notes/1792442","1792442")</f>
        <v>1792442</v>
      </c>
      <c r="E3262">
        <v>1</v>
      </c>
      <c r="F3262" t="s">
        <v>4654</v>
      </c>
    </row>
    <row r="3263" spans="1:6" x14ac:dyDescent="0.25">
      <c r="A3263" t="s">
        <v>4201</v>
      </c>
      <c r="B3263" t="s">
        <v>919</v>
      </c>
      <c r="C3263" t="s">
        <v>920</v>
      </c>
      <c r="D3263" t="str">
        <f>HYPERLINK("http://service.sap.com/sap/support/notes/1325393","1325393")</f>
        <v>1325393</v>
      </c>
      <c r="E3263">
        <v>3</v>
      </c>
      <c r="F3263" t="s">
        <v>4655</v>
      </c>
    </row>
    <row r="3264" spans="1:6" x14ac:dyDescent="0.25">
      <c r="A3264" t="s">
        <v>4201</v>
      </c>
      <c r="B3264" t="s">
        <v>919</v>
      </c>
      <c r="C3264" t="s">
        <v>920</v>
      </c>
      <c r="D3264" t="str">
        <f>HYPERLINK("http://service.sap.com/sap/support/notes/1635493","1635493")</f>
        <v>1635493</v>
      </c>
      <c r="E3264">
        <v>7</v>
      </c>
      <c r="F3264" t="s">
        <v>4656</v>
      </c>
    </row>
    <row r="3265" spans="1:6" x14ac:dyDescent="0.25">
      <c r="A3265" t="s">
        <v>4201</v>
      </c>
      <c r="B3265" t="s">
        <v>919</v>
      </c>
      <c r="C3265" t="s">
        <v>920</v>
      </c>
      <c r="D3265" t="str">
        <f>HYPERLINK("http://service.sap.com/sap/support/notes/1711341","1711341")</f>
        <v>1711341</v>
      </c>
      <c r="E3265">
        <v>5</v>
      </c>
      <c r="F3265" t="s">
        <v>923</v>
      </c>
    </row>
    <row r="3266" spans="1:6" x14ac:dyDescent="0.25">
      <c r="A3266" t="s">
        <v>4201</v>
      </c>
      <c r="B3266" t="s">
        <v>919</v>
      </c>
      <c r="C3266" t="s">
        <v>920</v>
      </c>
      <c r="D3266" t="str">
        <f>HYPERLINK("http://service.sap.com/sap/support/notes/1716090","1716090")</f>
        <v>1716090</v>
      </c>
      <c r="E3266">
        <v>3</v>
      </c>
      <c r="F3266" t="s">
        <v>4657</v>
      </c>
    </row>
    <row r="3267" spans="1:6" x14ac:dyDescent="0.25">
      <c r="A3267" t="s">
        <v>4201</v>
      </c>
      <c r="B3267" t="s">
        <v>919</v>
      </c>
      <c r="C3267" t="s">
        <v>920</v>
      </c>
      <c r="D3267" t="str">
        <f>HYPERLINK("http://service.sap.com/sap/support/notes/1720534","1720534")</f>
        <v>1720534</v>
      </c>
      <c r="E3267">
        <v>4</v>
      </c>
      <c r="F3267" t="s">
        <v>4658</v>
      </c>
    </row>
    <row r="3268" spans="1:6" x14ac:dyDescent="0.25">
      <c r="A3268" t="s">
        <v>4201</v>
      </c>
      <c r="B3268" t="s">
        <v>919</v>
      </c>
      <c r="C3268" t="s">
        <v>920</v>
      </c>
      <c r="D3268" t="str">
        <f>HYPERLINK("http://service.sap.com/sap/support/notes/1722088","1722088")</f>
        <v>1722088</v>
      </c>
      <c r="E3268">
        <v>4</v>
      </c>
      <c r="F3268" t="s">
        <v>4659</v>
      </c>
    </row>
    <row r="3269" spans="1:6" x14ac:dyDescent="0.25">
      <c r="A3269" t="s">
        <v>4201</v>
      </c>
      <c r="B3269" t="s">
        <v>919</v>
      </c>
      <c r="C3269" t="s">
        <v>920</v>
      </c>
      <c r="D3269" t="str">
        <f>HYPERLINK("http://service.sap.com/sap/support/notes/1740158","1740158")</f>
        <v>1740158</v>
      </c>
      <c r="E3269">
        <v>4</v>
      </c>
      <c r="F3269" t="s">
        <v>4660</v>
      </c>
    </row>
    <row r="3270" spans="1:6" x14ac:dyDescent="0.25">
      <c r="A3270" t="s">
        <v>4201</v>
      </c>
      <c r="B3270" t="s">
        <v>919</v>
      </c>
      <c r="C3270" t="s">
        <v>920</v>
      </c>
      <c r="D3270" t="str">
        <f>HYPERLINK("http://service.sap.com/sap/support/notes/1742723","1742723")</f>
        <v>1742723</v>
      </c>
      <c r="E3270">
        <v>3</v>
      </c>
      <c r="F3270" t="s">
        <v>4661</v>
      </c>
    </row>
    <row r="3271" spans="1:6" x14ac:dyDescent="0.25">
      <c r="A3271" t="s">
        <v>4201</v>
      </c>
      <c r="B3271" t="s">
        <v>919</v>
      </c>
      <c r="C3271" t="s">
        <v>920</v>
      </c>
      <c r="D3271" t="str">
        <f>HYPERLINK("http://service.sap.com/sap/support/notes/1743966","1743966")</f>
        <v>1743966</v>
      </c>
      <c r="E3271">
        <v>2</v>
      </c>
      <c r="F3271" t="s">
        <v>4662</v>
      </c>
    </row>
    <row r="3272" spans="1:6" x14ac:dyDescent="0.25">
      <c r="A3272" t="s">
        <v>4201</v>
      </c>
      <c r="B3272" t="s">
        <v>919</v>
      </c>
      <c r="C3272" t="s">
        <v>920</v>
      </c>
      <c r="D3272" t="str">
        <f>HYPERLINK("http://service.sap.com/sap/support/notes/1760499","1760499")</f>
        <v>1760499</v>
      </c>
      <c r="E3272">
        <v>1</v>
      </c>
      <c r="F3272" t="s">
        <v>4663</v>
      </c>
    </row>
    <row r="3273" spans="1:6" x14ac:dyDescent="0.25">
      <c r="A3273" t="s">
        <v>4201</v>
      </c>
      <c r="B3273" t="s">
        <v>919</v>
      </c>
      <c r="C3273" t="s">
        <v>920</v>
      </c>
      <c r="D3273" t="str">
        <f>HYPERLINK("http://service.sap.com/sap/support/notes/1766309","1766309")</f>
        <v>1766309</v>
      </c>
      <c r="E3273">
        <v>3</v>
      </c>
      <c r="F3273" t="s">
        <v>4664</v>
      </c>
    </row>
    <row r="3274" spans="1:6" x14ac:dyDescent="0.25">
      <c r="A3274" t="s">
        <v>4201</v>
      </c>
      <c r="B3274" t="s">
        <v>919</v>
      </c>
      <c r="C3274" t="s">
        <v>920</v>
      </c>
      <c r="D3274" t="str">
        <f>HYPERLINK("http://service.sap.com/sap/support/notes/1777218","1777218")</f>
        <v>1777218</v>
      </c>
      <c r="E3274">
        <v>1</v>
      </c>
      <c r="F3274" t="s">
        <v>4665</v>
      </c>
    </row>
    <row r="3275" spans="1:6" x14ac:dyDescent="0.25">
      <c r="A3275" t="s">
        <v>4201</v>
      </c>
      <c r="B3275" t="s">
        <v>919</v>
      </c>
      <c r="C3275" t="s">
        <v>920</v>
      </c>
      <c r="D3275" t="str">
        <f>HYPERLINK("http://service.sap.com/sap/support/notes/1779467","1779467")</f>
        <v>1779467</v>
      </c>
      <c r="E3275">
        <v>1</v>
      </c>
      <c r="F3275" t="s">
        <v>4666</v>
      </c>
    </row>
    <row r="3276" spans="1:6" x14ac:dyDescent="0.25">
      <c r="A3276" t="s">
        <v>4201</v>
      </c>
      <c r="B3276" t="s">
        <v>919</v>
      </c>
      <c r="C3276" t="s">
        <v>920</v>
      </c>
      <c r="D3276" t="str">
        <f>HYPERLINK("http://service.sap.com/sap/support/notes/1784278","1784278")</f>
        <v>1784278</v>
      </c>
      <c r="E3276">
        <v>2</v>
      </c>
      <c r="F3276" t="s">
        <v>4667</v>
      </c>
    </row>
    <row r="3277" spans="1:6" x14ac:dyDescent="0.25">
      <c r="A3277" t="s">
        <v>4201</v>
      </c>
      <c r="B3277" t="s">
        <v>919</v>
      </c>
      <c r="C3277" t="s">
        <v>920</v>
      </c>
      <c r="D3277" t="str">
        <f>HYPERLINK("http://service.sap.com/sap/support/notes/1789494","1789494")</f>
        <v>1789494</v>
      </c>
      <c r="E3277">
        <v>1</v>
      </c>
      <c r="F3277" t="s">
        <v>4668</v>
      </c>
    </row>
    <row r="3278" spans="1:6" x14ac:dyDescent="0.25">
      <c r="A3278" t="s">
        <v>4201</v>
      </c>
      <c r="B3278" t="s">
        <v>936</v>
      </c>
      <c r="C3278" t="s">
        <v>937</v>
      </c>
      <c r="D3278" t="str">
        <f>HYPERLINK("http://service.sap.com/sap/support/notes/1750624","1750624")</f>
        <v>1750624</v>
      </c>
      <c r="E3278">
        <v>3</v>
      </c>
      <c r="F3278" t="s">
        <v>4669</v>
      </c>
    </row>
    <row r="3279" spans="1:6" x14ac:dyDescent="0.25">
      <c r="A3279" t="s">
        <v>4201</v>
      </c>
      <c r="B3279" t="s">
        <v>936</v>
      </c>
      <c r="C3279" t="s">
        <v>937</v>
      </c>
      <c r="D3279" t="str">
        <f>HYPERLINK("http://service.sap.com/sap/support/notes/1770204","1770204")</f>
        <v>1770204</v>
      </c>
      <c r="E3279">
        <v>3</v>
      </c>
      <c r="F3279" t="s">
        <v>4670</v>
      </c>
    </row>
    <row r="3280" spans="1:6" x14ac:dyDescent="0.25">
      <c r="A3280" t="s">
        <v>4201</v>
      </c>
      <c r="B3280" t="s">
        <v>936</v>
      </c>
      <c r="C3280" t="s">
        <v>937</v>
      </c>
      <c r="D3280" t="str">
        <f>HYPERLINK("http://service.sap.com/sap/support/notes/1781222","1781222")</f>
        <v>1781222</v>
      </c>
      <c r="E3280">
        <v>1</v>
      </c>
      <c r="F3280" t="s">
        <v>4671</v>
      </c>
    </row>
    <row r="3281" spans="1:6" x14ac:dyDescent="0.25">
      <c r="A3281" t="s">
        <v>4201</v>
      </c>
      <c r="B3281" t="s">
        <v>936</v>
      </c>
      <c r="C3281" t="s">
        <v>937</v>
      </c>
      <c r="D3281" t="str">
        <f>HYPERLINK("http://service.sap.com/sap/support/notes/1781788","1781788")</f>
        <v>1781788</v>
      </c>
      <c r="E3281">
        <v>2</v>
      </c>
      <c r="F3281" t="s">
        <v>4672</v>
      </c>
    </row>
    <row r="3282" spans="1:6" x14ac:dyDescent="0.25">
      <c r="A3282" t="s">
        <v>4201</v>
      </c>
      <c r="B3282" t="s">
        <v>936</v>
      </c>
      <c r="C3282" t="s">
        <v>937</v>
      </c>
      <c r="D3282" t="str">
        <f>HYPERLINK("http://service.sap.com/sap/support/notes/1784124","1784124")</f>
        <v>1784124</v>
      </c>
      <c r="E3282">
        <v>1</v>
      </c>
      <c r="F3282" t="s">
        <v>4673</v>
      </c>
    </row>
    <row r="3283" spans="1:6" x14ac:dyDescent="0.25">
      <c r="A3283" t="s">
        <v>4201</v>
      </c>
      <c r="B3283" t="s">
        <v>942</v>
      </c>
      <c r="C3283" t="s">
        <v>943</v>
      </c>
      <c r="D3283" t="str">
        <f>HYPERLINK("http://service.sap.com/sap/support/notes/1770110","1770110")</f>
        <v>1770110</v>
      </c>
      <c r="E3283">
        <v>1</v>
      </c>
      <c r="F3283" t="s">
        <v>4674</v>
      </c>
    </row>
    <row r="3284" spans="1:6" x14ac:dyDescent="0.25">
      <c r="A3284" t="s">
        <v>4201</v>
      </c>
      <c r="B3284" t="s">
        <v>942</v>
      </c>
      <c r="C3284" t="s">
        <v>943</v>
      </c>
      <c r="D3284" t="str">
        <f>HYPERLINK("http://service.sap.com/sap/support/notes/1773591","1773591")</f>
        <v>1773591</v>
      </c>
      <c r="E3284">
        <v>1</v>
      </c>
      <c r="F3284" t="s">
        <v>4675</v>
      </c>
    </row>
    <row r="3285" spans="1:6" x14ac:dyDescent="0.25">
      <c r="A3285" t="s">
        <v>4201</v>
      </c>
      <c r="B3285" t="s">
        <v>942</v>
      </c>
      <c r="C3285" t="s">
        <v>943</v>
      </c>
      <c r="D3285" t="str">
        <f>HYPERLINK("http://service.sap.com/sap/support/notes/1776171","1776171")</f>
        <v>1776171</v>
      </c>
      <c r="E3285">
        <v>1</v>
      </c>
      <c r="F3285" t="s">
        <v>4676</v>
      </c>
    </row>
    <row r="3286" spans="1:6" x14ac:dyDescent="0.25">
      <c r="A3286" t="s">
        <v>4201</v>
      </c>
      <c r="B3286" t="s">
        <v>944</v>
      </c>
      <c r="C3286" t="s">
        <v>151</v>
      </c>
    </row>
    <row r="3287" spans="1:6" x14ac:dyDescent="0.25">
      <c r="A3287" t="s">
        <v>4201</v>
      </c>
      <c r="B3287" t="s">
        <v>945</v>
      </c>
      <c r="C3287" t="s">
        <v>839</v>
      </c>
      <c r="D3287" t="str">
        <f>HYPERLINK("http://service.sap.com/sap/support/notes/1776266","1776266")</f>
        <v>1776266</v>
      </c>
      <c r="E3287">
        <v>1</v>
      </c>
      <c r="F3287" t="s">
        <v>4677</v>
      </c>
    </row>
    <row r="3288" spans="1:6" x14ac:dyDescent="0.25">
      <c r="A3288" t="s">
        <v>4201</v>
      </c>
      <c r="B3288" t="s">
        <v>945</v>
      </c>
      <c r="C3288" t="s">
        <v>839</v>
      </c>
      <c r="D3288" t="str">
        <f>HYPERLINK("http://service.sap.com/sap/support/notes/1778651","1778651")</f>
        <v>1778651</v>
      </c>
      <c r="E3288">
        <v>1</v>
      </c>
      <c r="F3288" t="s">
        <v>4678</v>
      </c>
    </row>
    <row r="3289" spans="1:6" x14ac:dyDescent="0.25">
      <c r="A3289" t="s">
        <v>4201</v>
      </c>
      <c r="B3289" t="s">
        <v>945</v>
      </c>
      <c r="C3289" t="s">
        <v>839</v>
      </c>
      <c r="D3289" t="str">
        <f>HYPERLINK("http://service.sap.com/sap/support/notes/1792797","1792797")</f>
        <v>1792797</v>
      </c>
      <c r="E3289">
        <v>2</v>
      </c>
      <c r="F3289" t="s">
        <v>4679</v>
      </c>
    </row>
    <row r="3290" spans="1:6" x14ac:dyDescent="0.25">
      <c r="A3290" t="s">
        <v>4201</v>
      </c>
      <c r="B3290" t="s">
        <v>945</v>
      </c>
      <c r="C3290" t="s">
        <v>839</v>
      </c>
      <c r="D3290" t="str">
        <f>HYPERLINK("http://service.sap.com/sap/support/notes/1794218","1794218")</f>
        <v>1794218</v>
      </c>
      <c r="E3290">
        <v>1</v>
      </c>
      <c r="F3290" t="s">
        <v>4680</v>
      </c>
    </row>
    <row r="3291" spans="1:6" x14ac:dyDescent="0.25">
      <c r="A3291" t="s">
        <v>4201</v>
      </c>
      <c r="B3291" t="s">
        <v>945</v>
      </c>
      <c r="C3291" t="s">
        <v>839</v>
      </c>
      <c r="D3291" t="str">
        <f>HYPERLINK("http://service.sap.com/sap/support/notes/1794491","1794491")</f>
        <v>1794491</v>
      </c>
      <c r="E3291">
        <v>2</v>
      </c>
      <c r="F3291" t="s">
        <v>4681</v>
      </c>
    </row>
    <row r="3292" spans="1:6" x14ac:dyDescent="0.25">
      <c r="A3292" t="s">
        <v>4201</v>
      </c>
      <c r="B3292" t="s">
        <v>956</v>
      </c>
      <c r="C3292" t="s">
        <v>957</v>
      </c>
      <c r="D3292" t="str">
        <f>HYPERLINK("http://service.sap.com/sap/support/notes/1674958","1674958")</f>
        <v>1674958</v>
      </c>
      <c r="E3292">
        <v>5</v>
      </c>
      <c r="F3292" t="s">
        <v>4682</v>
      </c>
    </row>
    <row r="3293" spans="1:6" x14ac:dyDescent="0.25">
      <c r="A3293" t="s">
        <v>4201</v>
      </c>
      <c r="B3293" t="s">
        <v>956</v>
      </c>
      <c r="C3293" t="s">
        <v>957</v>
      </c>
      <c r="D3293" t="str">
        <f>HYPERLINK("http://service.sap.com/sap/support/notes/1745753","1745753")</f>
        <v>1745753</v>
      </c>
      <c r="E3293">
        <v>2</v>
      </c>
      <c r="F3293" t="s">
        <v>4683</v>
      </c>
    </row>
    <row r="3294" spans="1:6" x14ac:dyDescent="0.25">
      <c r="A3294" t="s">
        <v>4201</v>
      </c>
      <c r="B3294" t="s">
        <v>956</v>
      </c>
      <c r="C3294" t="s">
        <v>957</v>
      </c>
      <c r="D3294" t="str">
        <f>HYPERLINK("http://service.sap.com/sap/support/notes/1766125","1766125")</f>
        <v>1766125</v>
      </c>
      <c r="E3294">
        <v>3</v>
      </c>
      <c r="F3294" t="s">
        <v>4684</v>
      </c>
    </row>
    <row r="3295" spans="1:6" x14ac:dyDescent="0.25">
      <c r="A3295" t="s">
        <v>4201</v>
      </c>
      <c r="B3295" t="s">
        <v>956</v>
      </c>
      <c r="C3295" t="s">
        <v>957</v>
      </c>
      <c r="D3295" t="str">
        <f>HYPERLINK("http://service.sap.com/sap/support/notes/1774224","1774224")</f>
        <v>1774224</v>
      </c>
      <c r="E3295">
        <v>2</v>
      </c>
      <c r="F3295" t="s">
        <v>4685</v>
      </c>
    </row>
    <row r="3296" spans="1:6" x14ac:dyDescent="0.25">
      <c r="A3296" t="s">
        <v>4201</v>
      </c>
      <c r="B3296" t="s">
        <v>956</v>
      </c>
      <c r="C3296" t="s">
        <v>957</v>
      </c>
      <c r="D3296" t="str">
        <f>HYPERLINK("http://service.sap.com/sap/support/notes/1783770","1783770")</f>
        <v>1783770</v>
      </c>
      <c r="E3296">
        <v>2</v>
      </c>
      <c r="F3296" t="s">
        <v>4686</v>
      </c>
    </row>
    <row r="3297" spans="1:6" x14ac:dyDescent="0.25">
      <c r="A3297" t="s">
        <v>4201</v>
      </c>
      <c r="B3297" t="s">
        <v>956</v>
      </c>
      <c r="C3297" t="s">
        <v>957</v>
      </c>
      <c r="D3297" t="str">
        <f>HYPERLINK("http://service.sap.com/sap/support/notes/1785011","1785011")</f>
        <v>1785011</v>
      </c>
      <c r="E3297">
        <v>1</v>
      </c>
      <c r="F3297" t="s">
        <v>4687</v>
      </c>
    </row>
    <row r="3298" spans="1:6" x14ac:dyDescent="0.25">
      <c r="A3298" t="s">
        <v>4201</v>
      </c>
      <c r="B3298" t="s">
        <v>956</v>
      </c>
      <c r="C3298" t="s">
        <v>957</v>
      </c>
      <c r="D3298" t="str">
        <f>HYPERLINK("http://service.sap.com/sap/support/notes/1785194","1785194")</f>
        <v>1785194</v>
      </c>
      <c r="E3298">
        <v>1</v>
      </c>
      <c r="F3298" t="s">
        <v>4688</v>
      </c>
    </row>
    <row r="3299" spans="1:6" x14ac:dyDescent="0.25">
      <c r="A3299" t="s">
        <v>4201</v>
      </c>
      <c r="B3299" t="s">
        <v>970</v>
      </c>
      <c r="C3299" t="s">
        <v>971</v>
      </c>
      <c r="D3299" t="str">
        <f>HYPERLINK("http://service.sap.com/sap/support/notes/1766527","1766527")</f>
        <v>1766527</v>
      </c>
      <c r="E3299">
        <v>3</v>
      </c>
      <c r="F3299" t="s">
        <v>4689</v>
      </c>
    </row>
    <row r="3300" spans="1:6" x14ac:dyDescent="0.25">
      <c r="A3300" t="s">
        <v>4201</v>
      </c>
      <c r="B3300" t="s">
        <v>970</v>
      </c>
      <c r="C3300" t="s">
        <v>971</v>
      </c>
      <c r="D3300" t="str">
        <f>HYPERLINK("http://service.sap.com/sap/support/notes/1775963","1775963")</f>
        <v>1775963</v>
      </c>
      <c r="E3300">
        <v>1</v>
      </c>
      <c r="F3300" t="s">
        <v>4690</v>
      </c>
    </row>
    <row r="3301" spans="1:6" x14ac:dyDescent="0.25">
      <c r="A3301" t="s">
        <v>4201</v>
      </c>
      <c r="B3301" t="s">
        <v>970</v>
      </c>
      <c r="C3301" t="s">
        <v>971</v>
      </c>
      <c r="D3301" t="str">
        <f>HYPERLINK("http://service.sap.com/sap/support/notes/1776203","1776203")</f>
        <v>1776203</v>
      </c>
      <c r="E3301">
        <v>1</v>
      </c>
      <c r="F3301" t="s">
        <v>4691</v>
      </c>
    </row>
    <row r="3302" spans="1:6" x14ac:dyDescent="0.25">
      <c r="A3302" t="s">
        <v>4201</v>
      </c>
      <c r="B3302" t="s">
        <v>970</v>
      </c>
      <c r="C3302" t="s">
        <v>971</v>
      </c>
      <c r="D3302" t="str">
        <f>HYPERLINK("http://service.sap.com/sap/support/notes/1777822","1777822")</f>
        <v>1777822</v>
      </c>
      <c r="E3302">
        <v>2</v>
      </c>
      <c r="F3302" t="s">
        <v>4692</v>
      </c>
    </row>
    <row r="3303" spans="1:6" x14ac:dyDescent="0.25">
      <c r="A3303" t="s">
        <v>4201</v>
      </c>
      <c r="B3303" t="s">
        <v>970</v>
      </c>
      <c r="C3303" t="s">
        <v>971</v>
      </c>
      <c r="D3303" t="str">
        <f>HYPERLINK("http://service.sap.com/sap/support/notes/1782097","1782097")</f>
        <v>1782097</v>
      </c>
      <c r="E3303">
        <v>2</v>
      </c>
      <c r="F3303" t="s">
        <v>4693</v>
      </c>
    </row>
    <row r="3304" spans="1:6" x14ac:dyDescent="0.25">
      <c r="A3304" t="s">
        <v>4201</v>
      </c>
      <c r="B3304" t="s">
        <v>970</v>
      </c>
      <c r="C3304" t="s">
        <v>971</v>
      </c>
      <c r="D3304" t="str">
        <f>HYPERLINK("http://service.sap.com/sap/support/notes/1785442","1785442")</f>
        <v>1785442</v>
      </c>
      <c r="E3304">
        <v>2</v>
      </c>
      <c r="F3304" t="s">
        <v>4694</v>
      </c>
    </row>
    <row r="3305" spans="1:6" x14ac:dyDescent="0.25">
      <c r="A3305" t="s">
        <v>4201</v>
      </c>
      <c r="B3305" t="s">
        <v>980</v>
      </c>
      <c r="C3305" t="s">
        <v>883</v>
      </c>
      <c r="D3305" t="str">
        <f>HYPERLINK("http://service.sap.com/sap/support/notes/1745760","1745760")</f>
        <v>1745760</v>
      </c>
      <c r="E3305">
        <v>1</v>
      </c>
      <c r="F3305" t="s">
        <v>4695</v>
      </c>
    </row>
    <row r="3306" spans="1:6" x14ac:dyDescent="0.25">
      <c r="A3306" t="s">
        <v>4201</v>
      </c>
      <c r="B3306" t="s">
        <v>982</v>
      </c>
      <c r="C3306" t="s">
        <v>983</v>
      </c>
      <c r="D3306" t="str">
        <f>HYPERLINK("http://service.sap.com/sap/support/notes/1778046","1778046")</f>
        <v>1778046</v>
      </c>
      <c r="E3306">
        <v>1</v>
      </c>
      <c r="F3306" t="s">
        <v>4696</v>
      </c>
    </row>
    <row r="3307" spans="1:6" x14ac:dyDescent="0.25">
      <c r="A3307" t="s">
        <v>4201</v>
      </c>
      <c r="B3307" t="s">
        <v>4697</v>
      </c>
      <c r="C3307" t="s">
        <v>891</v>
      </c>
      <c r="D3307" t="str">
        <f>HYPERLINK("http://service.sap.com/sap/support/notes/1744703","1744703")</f>
        <v>1744703</v>
      </c>
      <c r="E3307">
        <v>3</v>
      </c>
      <c r="F3307" t="s">
        <v>4698</v>
      </c>
    </row>
    <row r="3308" spans="1:6" x14ac:dyDescent="0.25">
      <c r="A3308" t="s">
        <v>4201</v>
      </c>
      <c r="B3308" t="s">
        <v>4697</v>
      </c>
      <c r="C3308" t="s">
        <v>891</v>
      </c>
      <c r="D3308" t="str">
        <f>HYPERLINK("http://service.sap.com/sap/support/notes/1761056","1761056")</f>
        <v>1761056</v>
      </c>
      <c r="E3308">
        <v>3</v>
      </c>
      <c r="F3308" t="s">
        <v>4699</v>
      </c>
    </row>
    <row r="3309" spans="1:6" x14ac:dyDescent="0.25">
      <c r="A3309" t="s">
        <v>4201</v>
      </c>
      <c r="B3309" t="s">
        <v>4697</v>
      </c>
      <c r="C3309" t="s">
        <v>891</v>
      </c>
      <c r="D3309" t="str">
        <f>HYPERLINK("http://service.sap.com/sap/support/notes/1766515","1766515")</f>
        <v>1766515</v>
      </c>
      <c r="E3309">
        <v>3</v>
      </c>
      <c r="F3309" t="s">
        <v>4700</v>
      </c>
    </row>
    <row r="3310" spans="1:6" x14ac:dyDescent="0.25">
      <c r="A3310" t="s">
        <v>4201</v>
      </c>
      <c r="B3310" t="s">
        <v>4697</v>
      </c>
      <c r="C3310" t="s">
        <v>891</v>
      </c>
      <c r="D3310" t="str">
        <f>HYPERLINK("http://service.sap.com/sap/support/notes/1773585","1773585")</f>
        <v>1773585</v>
      </c>
      <c r="E3310">
        <v>4</v>
      </c>
      <c r="F3310" t="s">
        <v>4701</v>
      </c>
    </row>
    <row r="3311" spans="1:6" x14ac:dyDescent="0.25">
      <c r="A3311" t="s">
        <v>4201</v>
      </c>
      <c r="B3311" t="s">
        <v>990</v>
      </c>
      <c r="C3311" t="s">
        <v>29</v>
      </c>
      <c r="D3311" t="str">
        <f>HYPERLINK("http://service.sap.com/sap/support/notes/1767035","1767035")</f>
        <v>1767035</v>
      </c>
      <c r="E3311">
        <v>1</v>
      </c>
      <c r="F3311" t="s">
        <v>4702</v>
      </c>
    </row>
    <row r="3312" spans="1:6" x14ac:dyDescent="0.25">
      <c r="A3312" t="s">
        <v>4201</v>
      </c>
      <c r="B3312" t="s">
        <v>990</v>
      </c>
      <c r="C3312" t="s">
        <v>29</v>
      </c>
      <c r="D3312" t="str">
        <f>HYPERLINK("http://service.sap.com/sap/support/notes/1768370","1768370")</f>
        <v>1768370</v>
      </c>
      <c r="E3312">
        <v>2</v>
      </c>
      <c r="F3312" t="s">
        <v>4703</v>
      </c>
    </row>
    <row r="3313" spans="1:6" x14ac:dyDescent="0.25">
      <c r="A3313" t="s">
        <v>4201</v>
      </c>
      <c r="B3313" t="s">
        <v>990</v>
      </c>
      <c r="C3313" t="s">
        <v>29</v>
      </c>
      <c r="D3313" t="str">
        <f>HYPERLINK("http://service.sap.com/sap/support/notes/1777611","1777611")</f>
        <v>1777611</v>
      </c>
      <c r="E3313">
        <v>2</v>
      </c>
      <c r="F3313" t="s">
        <v>4704</v>
      </c>
    </row>
    <row r="3314" spans="1:6" x14ac:dyDescent="0.25">
      <c r="A3314" t="s">
        <v>4201</v>
      </c>
      <c r="B3314" t="s">
        <v>990</v>
      </c>
      <c r="C3314" t="s">
        <v>29</v>
      </c>
      <c r="D3314" t="str">
        <f>HYPERLINK("http://service.sap.com/sap/support/notes/1778138","1778138")</f>
        <v>1778138</v>
      </c>
      <c r="E3314">
        <v>1</v>
      </c>
      <c r="F3314" t="s">
        <v>4705</v>
      </c>
    </row>
    <row r="3315" spans="1:6" x14ac:dyDescent="0.25">
      <c r="A3315" t="s">
        <v>4201</v>
      </c>
      <c r="B3315" t="s">
        <v>990</v>
      </c>
      <c r="C3315" t="s">
        <v>29</v>
      </c>
      <c r="D3315" t="str">
        <f>HYPERLINK("http://service.sap.com/sap/support/notes/1783821","1783821")</f>
        <v>1783821</v>
      </c>
      <c r="E3315">
        <v>1</v>
      </c>
      <c r="F3315" t="s">
        <v>4706</v>
      </c>
    </row>
    <row r="3316" spans="1:6" x14ac:dyDescent="0.25">
      <c r="A3316" t="s">
        <v>4201</v>
      </c>
      <c r="B3316" t="s">
        <v>990</v>
      </c>
      <c r="C3316" t="s">
        <v>29</v>
      </c>
      <c r="D3316" t="str">
        <f>HYPERLINK("http://service.sap.com/sap/support/notes/1784228","1784228")</f>
        <v>1784228</v>
      </c>
      <c r="E3316">
        <v>1</v>
      </c>
      <c r="F3316" t="s">
        <v>4707</v>
      </c>
    </row>
    <row r="3317" spans="1:6" x14ac:dyDescent="0.25">
      <c r="A3317" t="s">
        <v>4201</v>
      </c>
      <c r="B3317" t="s">
        <v>997</v>
      </c>
      <c r="C3317" t="s">
        <v>998</v>
      </c>
      <c r="D3317" t="str">
        <f>HYPERLINK("http://service.sap.com/sap/support/notes/1761735","1761735")</f>
        <v>1761735</v>
      </c>
      <c r="E3317">
        <v>2</v>
      </c>
      <c r="F3317" t="s">
        <v>4708</v>
      </c>
    </row>
    <row r="3318" spans="1:6" x14ac:dyDescent="0.25">
      <c r="A3318" t="s">
        <v>4201</v>
      </c>
      <c r="B3318" t="s">
        <v>997</v>
      </c>
      <c r="C3318" t="s">
        <v>998</v>
      </c>
      <c r="D3318" t="str">
        <f>HYPERLINK("http://service.sap.com/sap/support/notes/1783468","1783468")</f>
        <v>1783468</v>
      </c>
      <c r="E3318">
        <v>1</v>
      </c>
      <c r="F3318" t="s">
        <v>4709</v>
      </c>
    </row>
    <row r="3319" spans="1:6" x14ac:dyDescent="0.25">
      <c r="A3319" t="s">
        <v>4201</v>
      </c>
      <c r="B3319" t="s">
        <v>1000</v>
      </c>
      <c r="C3319" t="s">
        <v>4710</v>
      </c>
      <c r="D3319" t="str">
        <f>HYPERLINK("http://service.sap.com/sap/support/notes/1796132","1796132")</f>
        <v>1796132</v>
      </c>
      <c r="E3319">
        <v>1</v>
      </c>
      <c r="F3319" t="s">
        <v>4711</v>
      </c>
    </row>
    <row r="3320" spans="1:6" x14ac:dyDescent="0.25">
      <c r="A3320" t="s">
        <v>4201</v>
      </c>
      <c r="B3320" t="s">
        <v>1002</v>
      </c>
      <c r="C3320" t="s">
        <v>29</v>
      </c>
      <c r="D3320" t="str">
        <f>HYPERLINK("http://service.sap.com/sap/support/notes/1789695","1789695")</f>
        <v>1789695</v>
      </c>
      <c r="E3320">
        <v>1</v>
      </c>
      <c r="F3320" t="s">
        <v>4712</v>
      </c>
    </row>
    <row r="3321" spans="1:6" x14ac:dyDescent="0.25">
      <c r="A3321" t="s">
        <v>4201</v>
      </c>
      <c r="B3321" t="s">
        <v>1005</v>
      </c>
      <c r="C3321" t="s">
        <v>1006</v>
      </c>
    </row>
    <row r="3322" spans="1:6" x14ac:dyDescent="0.25">
      <c r="A3322" t="s">
        <v>4201</v>
      </c>
      <c r="B3322" t="s">
        <v>1008</v>
      </c>
      <c r="C3322" t="s">
        <v>1009</v>
      </c>
      <c r="D3322" t="str">
        <f>HYPERLINK("http://service.sap.com/sap/support/notes/673539","673539")</f>
        <v>673539</v>
      </c>
      <c r="E3322">
        <v>5</v>
      </c>
      <c r="F3322" t="s">
        <v>4713</v>
      </c>
    </row>
    <row r="3323" spans="1:6" x14ac:dyDescent="0.25">
      <c r="A3323" t="s">
        <v>4201</v>
      </c>
      <c r="B3323" t="s">
        <v>1008</v>
      </c>
      <c r="C3323" t="s">
        <v>1009</v>
      </c>
      <c r="D3323" t="str">
        <f>HYPERLINK("http://service.sap.com/sap/support/notes/1696734","1696734")</f>
        <v>1696734</v>
      </c>
      <c r="E3323">
        <v>3</v>
      </c>
      <c r="F3323" t="s">
        <v>4714</v>
      </c>
    </row>
    <row r="3324" spans="1:6" x14ac:dyDescent="0.25">
      <c r="A3324" t="s">
        <v>4201</v>
      </c>
      <c r="B3324" t="s">
        <v>1008</v>
      </c>
      <c r="C3324" t="s">
        <v>1009</v>
      </c>
      <c r="D3324" t="str">
        <f>HYPERLINK("http://service.sap.com/sap/support/notes/1729746","1729746")</f>
        <v>1729746</v>
      </c>
      <c r="E3324">
        <v>5</v>
      </c>
      <c r="F3324" t="s">
        <v>4715</v>
      </c>
    </row>
    <row r="3325" spans="1:6" x14ac:dyDescent="0.25">
      <c r="A3325" t="s">
        <v>4201</v>
      </c>
      <c r="B3325" t="s">
        <v>1008</v>
      </c>
      <c r="C3325" t="s">
        <v>1009</v>
      </c>
      <c r="D3325" t="str">
        <f>HYPERLINK("http://service.sap.com/sap/support/notes/1748895","1748895")</f>
        <v>1748895</v>
      </c>
      <c r="E3325">
        <v>3</v>
      </c>
      <c r="F3325" t="s">
        <v>4716</v>
      </c>
    </row>
    <row r="3326" spans="1:6" x14ac:dyDescent="0.25">
      <c r="A3326" t="s">
        <v>4201</v>
      </c>
      <c r="B3326" t="s">
        <v>1008</v>
      </c>
      <c r="C3326" t="s">
        <v>1009</v>
      </c>
      <c r="D3326" t="str">
        <f>HYPERLINK("http://service.sap.com/sap/support/notes/1785283","1785283")</f>
        <v>1785283</v>
      </c>
      <c r="E3326">
        <v>3</v>
      </c>
      <c r="F3326" t="s">
        <v>4717</v>
      </c>
    </row>
    <row r="3327" spans="1:6" x14ac:dyDescent="0.25">
      <c r="A3327" t="s">
        <v>4201</v>
      </c>
      <c r="B3327" t="s">
        <v>1008</v>
      </c>
      <c r="C3327" t="s">
        <v>1009</v>
      </c>
      <c r="D3327" t="str">
        <f>HYPERLINK("http://service.sap.com/sap/support/notes/1795770","1795770")</f>
        <v>1795770</v>
      </c>
      <c r="E3327">
        <v>1</v>
      </c>
      <c r="F3327" t="s">
        <v>4718</v>
      </c>
    </row>
    <row r="3328" spans="1:6" x14ac:dyDescent="0.25">
      <c r="A3328" t="s">
        <v>4201</v>
      </c>
      <c r="B3328" t="s">
        <v>1023</v>
      </c>
      <c r="C3328" t="s">
        <v>1024</v>
      </c>
      <c r="D3328" t="str">
        <f>HYPERLINK("http://service.sap.com/sap/support/notes/1743887","1743887")</f>
        <v>1743887</v>
      </c>
      <c r="E3328">
        <v>3</v>
      </c>
      <c r="F3328" t="s">
        <v>4719</v>
      </c>
    </row>
    <row r="3329" spans="1:6" x14ac:dyDescent="0.25">
      <c r="A3329" t="s">
        <v>4201</v>
      </c>
      <c r="B3329" t="s">
        <v>1023</v>
      </c>
      <c r="C3329" t="s">
        <v>1024</v>
      </c>
      <c r="D3329" t="str">
        <f>HYPERLINK("http://service.sap.com/sap/support/notes/1768946","1768946")</f>
        <v>1768946</v>
      </c>
      <c r="E3329">
        <v>1</v>
      </c>
      <c r="F3329" t="s">
        <v>4720</v>
      </c>
    </row>
    <row r="3330" spans="1:6" x14ac:dyDescent="0.25">
      <c r="A3330" t="s">
        <v>4201</v>
      </c>
      <c r="B3330" t="s">
        <v>1023</v>
      </c>
      <c r="C3330" t="s">
        <v>1024</v>
      </c>
      <c r="D3330" t="str">
        <f>HYPERLINK("http://service.sap.com/sap/support/notes/1769059","1769059")</f>
        <v>1769059</v>
      </c>
      <c r="E3330">
        <v>4</v>
      </c>
      <c r="F3330" t="s">
        <v>4721</v>
      </c>
    </row>
    <row r="3331" spans="1:6" x14ac:dyDescent="0.25">
      <c r="A3331" t="s">
        <v>4201</v>
      </c>
      <c r="B3331" t="s">
        <v>1023</v>
      </c>
      <c r="C3331" t="s">
        <v>1024</v>
      </c>
      <c r="D3331" t="str">
        <f>HYPERLINK("http://service.sap.com/sap/support/notes/1770137","1770137")</f>
        <v>1770137</v>
      </c>
      <c r="E3331">
        <v>3</v>
      </c>
      <c r="F3331" t="s">
        <v>4722</v>
      </c>
    </row>
    <row r="3332" spans="1:6" x14ac:dyDescent="0.25">
      <c r="A3332" t="s">
        <v>4201</v>
      </c>
      <c r="B3332" t="s">
        <v>1023</v>
      </c>
      <c r="C3332" t="s">
        <v>1024</v>
      </c>
      <c r="D3332" t="str">
        <f>HYPERLINK("http://service.sap.com/sap/support/notes/1772910","1772910")</f>
        <v>1772910</v>
      </c>
      <c r="E3332">
        <v>1</v>
      </c>
      <c r="F3332" t="s">
        <v>4723</v>
      </c>
    </row>
    <row r="3333" spans="1:6" x14ac:dyDescent="0.25">
      <c r="A3333" t="s">
        <v>4201</v>
      </c>
      <c r="B3333" t="s">
        <v>1023</v>
      </c>
      <c r="C3333" t="s">
        <v>1024</v>
      </c>
      <c r="D3333" t="str">
        <f>HYPERLINK("http://service.sap.com/sap/support/notes/1775647","1775647")</f>
        <v>1775647</v>
      </c>
      <c r="E3333">
        <v>2</v>
      </c>
      <c r="F3333" t="s">
        <v>4724</v>
      </c>
    </row>
    <row r="3334" spans="1:6" x14ac:dyDescent="0.25">
      <c r="A3334" t="s">
        <v>4201</v>
      </c>
      <c r="B3334" t="s">
        <v>1023</v>
      </c>
      <c r="C3334" t="s">
        <v>1024</v>
      </c>
      <c r="D3334" t="str">
        <f>HYPERLINK("http://service.sap.com/sap/support/notes/1778364","1778364")</f>
        <v>1778364</v>
      </c>
      <c r="E3334">
        <v>2</v>
      </c>
      <c r="F3334" t="s">
        <v>4725</v>
      </c>
    </row>
    <row r="3335" spans="1:6" x14ac:dyDescent="0.25">
      <c r="A3335" t="s">
        <v>4201</v>
      </c>
      <c r="B3335" t="s">
        <v>1023</v>
      </c>
      <c r="C3335" t="s">
        <v>1024</v>
      </c>
      <c r="D3335" t="str">
        <f>HYPERLINK("http://service.sap.com/sap/support/notes/1786167","1786167")</f>
        <v>1786167</v>
      </c>
      <c r="E3335">
        <v>1</v>
      </c>
      <c r="F3335" t="s">
        <v>4726</v>
      </c>
    </row>
    <row r="3336" spans="1:6" x14ac:dyDescent="0.25">
      <c r="A3336" t="s">
        <v>4201</v>
      </c>
      <c r="B3336" t="s">
        <v>1023</v>
      </c>
      <c r="C3336" t="s">
        <v>1024</v>
      </c>
      <c r="D3336" t="str">
        <f>HYPERLINK("http://service.sap.com/sap/support/notes/1794034","1794034")</f>
        <v>1794034</v>
      </c>
      <c r="E3336">
        <v>2</v>
      </c>
      <c r="F3336" t="s">
        <v>4727</v>
      </c>
    </row>
    <row r="3337" spans="1:6" x14ac:dyDescent="0.25">
      <c r="A3337" t="s">
        <v>4201</v>
      </c>
      <c r="B3337" t="s">
        <v>1033</v>
      </c>
      <c r="C3337" t="s">
        <v>1034</v>
      </c>
      <c r="D3337" t="str">
        <f>HYPERLINK("http://service.sap.com/sap/support/notes/1757405","1757405")</f>
        <v>1757405</v>
      </c>
      <c r="E3337">
        <v>3</v>
      </c>
      <c r="F3337" t="s">
        <v>4728</v>
      </c>
    </row>
    <row r="3338" spans="1:6" x14ac:dyDescent="0.25">
      <c r="A3338" t="s">
        <v>4201</v>
      </c>
      <c r="B3338" t="s">
        <v>1051</v>
      </c>
      <c r="C3338" t="s">
        <v>1052</v>
      </c>
      <c r="D3338" t="str">
        <f>HYPERLINK("http://service.sap.com/sap/support/notes/1738121","1738121")</f>
        <v>1738121</v>
      </c>
      <c r="E3338">
        <v>4</v>
      </c>
      <c r="F3338" t="s">
        <v>4729</v>
      </c>
    </row>
    <row r="3339" spans="1:6" x14ac:dyDescent="0.25">
      <c r="A3339" t="s">
        <v>4201</v>
      </c>
      <c r="B3339" t="s">
        <v>1051</v>
      </c>
      <c r="C3339" t="s">
        <v>1052</v>
      </c>
      <c r="D3339" t="str">
        <f>HYPERLINK("http://service.sap.com/sap/support/notes/1765417","1765417")</f>
        <v>1765417</v>
      </c>
      <c r="E3339">
        <v>4</v>
      </c>
      <c r="F3339" t="s">
        <v>4730</v>
      </c>
    </row>
    <row r="3340" spans="1:6" x14ac:dyDescent="0.25">
      <c r="A3340" t="s">
        <v>4201</v>
      </c>
      <c r="B3340" t="s">
        <v>1051</v>
      </c>
      <c r="C3340" t="s">
        <v>1052</v>
      </c>
      <c r="D3340" t="str">
        <f>HYPERLINK("http://service.sap.com/sap/support/notes/1770425","1770425")</f>
        <v>1770425</v>
      </c>
      <c r="E3340">
        <v>2</v>
      </c>
      <c r="F3340" t="s">
        <v>4731</v>
      </c>
    </row>
    <row r="3341" spans="1:6" x14ac:dyDescent="0.25">
      <c r="A3341" t="s">
        <v>4201</v>
      </c>
      <c r="B3341" t="s">
        <v>1051</v>
      </c>
      <c r="C3341" t="s">
        <v>1052</v>
      </c>
      <c r="D3341" t="str">
        <f>HYPERLINK("http://service.sap.com/sap/support/notes/1777163","1777163")</f>
        <v>1777163</v>
      </c>
      <c r="E3341">
        <v>2</v>
      </c>
      <c r="F3341" t="s">
        <v>4732</v>
      </c>
    </row>
    <row r="3342" spans="1:6" x14ac:dyDescent="0.25">
      <c r="A3342" t="s">
        <v>4201</v>
      </c>
      <c r="B3342" t="s">
        <v>1051</v>
      </c>
      <c r="C3342" t="s">
        <v>1052</v>
      </c>
      <c r="D3342" t="str">
        <f>HYPERLINK("http://service.sap.com/sap/support/notes/1785258","1785258")</f>
        <v>1785258</v>
      </c>
      <c r="E3342">
        <v>5</v>
      </c>
      <c r="F3342" t="s">
        <v>4733</v>
      </c>
    </row>
    <row r="3343" spans="1:6" x14ac:dyDescent="0.25">
      <c r="A3343" t="s">
        <v>4201</v>
      </c>
      <c r="B3343" t="s">
        <v>1065</v>
      </c>
      <c r="C3343" t="s">
        <v>1066</v>
      </c>
      <c r="D3343" t="str">
        <f>HYPERLINK("http://service.sap.com/sap/support/notes/1780468","1780468")</f>
        <v>1780468</v>
      </c>
      <c r="E3343">
        <v>1</v>
      </c>
      <c r="F3343" t="s">
        <v>4734</v>
      </c>
    </row>
    <row r="3344" spans="1:6" x14ac:dyDescent="0.25">
      <c r="A3344" t="s">
        <v>4201</v>
      </c>
      <c r="B3344" t="s">
        <v>1068</v>
      </c>
      <c r="C3344" t="s">
        <v>1069</v>
      </c>
      <c r="D3344" t="str">
        <f>HYPERLINK("http://service.sap.com/sap/support/notes/1741346","1741346")</f>
        <v>1741346</v>
      </c>
      <c r="E3344">
        <v>2</v>
      </c>
      <c r="F3344" t="s">
        <v>4735</v>
      </c>
    </row>
    <row r="3345" spans="1:6" x14ac:dyDescent="0.25">
      <c r="A3345" t="s">
        <v>4201</v>
      </c>
      <c r="B3345" t="s">
        <v>1068</v>
      </c>
      <c r="C3345" t="s">
        <v>1069</v>
      </c>
      <c r="D3345" t="str">
        <f>HYPERLINK("http://service.sap.com/sap/support/notes/1765564","1765564")</f>
        <v>1765564</v>
      </c>
      <c r="E3345">
        <v>3</v>
      </c>
      <c r="F3345" t="s">
        <v>4736</v>
      </c>
    </row>
    <row r="3346" spans="1:6" x14ac:dyDescent="0.25">
      <c r="A3346" t="s">
        <v>4201</v>
      </c>
      <c r="B3346" t="s">
        <v>1068</v>
      </c>
      <c r="C3346" t="s">
        <v>1069</v>
      </c>
      <c r="D3346" t="str">
        <f>HYPERLINK("http://service.sap.com/sap/support/notes/1769583","1769583")</f>
        <v>1769583</v>
      </c>
      <c r="E3346">
        <v>2</v>
      </c>
      <c r="F3346" t="s">
        <v>4737</v>
      </c>
    </row>
    <row r="3347" spans="1:6" x14ac:dyDescent="0.25">
      <c r="A3347" t="s">
        <v>4201</v>
      </c>
      <c r="B3347" t="s">
        <v>1068</v>
      </c>
      <c r="C3347" t="s">
        <v>1069</v>
      </c>
      <c r="D3347" t="str">
        <f>HYPERLINK("http://service.sap.com/sap/support/notes/1770936","1770936")</f>
        <v>1770936</v>
      </c>
      <c r="E3347">
        <v>3</v>
      </c>
      <c r="F3347" t="s">
        <v>4738</v>
      </c>
    </row>
    <row r="3348" spans="1:6" x14ac:dyDescent="0.25">
      <c r="A3348" t="s">
        <v>4201</v>
      </c>
      <c r="B3348" t="s">
        <v>1068</v>
      </c>
      <c r="C3348" t="s">
        <v>1069</v>
      </c>
      <c r="D3348" t="str">
        <f>HYPERLINK("http://service.sap.com/sap/support/notes/1777263","1777263")</f>
        <v>1777263</v>
      </c>
      <c r="E3348">
        <v>1</v>
      </c>
      <c r="F3348" t="s">
        <v>4739</v>
      </c>
    </row>
    <row r="3349" spans="1:6" x14ac:dyDescent="0.25">
      <c r="A3349" t="s">
        <v>4201</v>
      </c>
      <c r="B3349" t="s">
        <v>1068</v>
      </c>
      <c r="C3349" t="s">
        <v>1069</v>
      </c>
      <c r="D3349" t="str">
        <f>HYPERLINK("http://service.sap.com/sap/support/notes/1779102","1779102")</f>
        <v>1779102</v>
      </c>
      <c r="E3349">
        <v>1</v>
      </c>
      <c r="F3349" t="s">
        <v>4740</v>
      </c>
    </row>
    <row r="3350" spans="1:6" x14ac:dyDescent="0.25">
      <c r="A3350" t="s">
        <v>4201</v>
      </c>
      <c r="B3350" t="s">
        <v>1068</v>
      </c>
      <c r="C3350" t="s">
        <v>1069</v>
      </c>
      <c r="D3350" t="str">
        <f>HYPERLINK("http://service.sap.com/sap/support/notes/1782107","1782107")</f>
        <v>1782107</v>
      </c>
      <c r="E3350">
        <v>1</v>
      </c>
      <c r="F3350" t="s">
        <v>4741</v>
      </c>
    </row>
    <row r="3351" spans="1:6" x14ac:dyDescent="0.25">
      <c r="A3351" t="s">
        <v>4201</v>
      </c>
      <c r="B3351" t="s">
        <v>1068</v>
      </c>
      <c r="C3351" t="s">
        <v>1069</v>
      </c>
      <c r="D3351" t="str">
        <f>HYPERLINK("http://service.sap.com/sap/support/notes/1782622","1782622")</f>
        <v>1782622</v>
      </c>
      <c r="E3351">
        <v>1</v>
      </c>
      <c r="F3351" t="s">
        <v>4742</v>
      </c>
    </row>
    <row r="3352" spans="1:6" x14ac:dyDescent="0.25">
      <c r="A3352" t="s">
        <v>4201</v>
      </c>
      <c r="B3352" t="s">
        <v>1074</v>
      </c>
      <c r="C3352" t="s">
        <v>1075</v>
      </c>
      <c r="D3352" t="str">
        <f>HYPERLINK("http://service.sap.com/sap/support/notes/919042","919042")</f>
        <v>919042</v>
      </c>
      <c r="E3352">
        <v>13</v>
      </c>
      <c r="F3352" t="s">
        <v>4743</v>
      </c>
    </row>
    <row r="3353" spans="1:6" x14ac:dyDescent="0.25">
      <c r="A3353" t="s">
        <v>4201</v>
      </c>
      <c r="B3353" t="s">
        <v>1074</v>
      </c>
      <c r="C3353" t="s">
        <v>1075</v>
      </c>
      <c r="D3353" t="str">
        <f>HYPERLINK("http://service.sap.com/sap/support/notes/1737283","1737283")</f>
        <v>1737283</v>
      </c>
      <c r="E3353">
        <v>3</v>
      </c>
      <c r="F3353" t="s">
        <v>4744</v>
      </c>
    </row>
    <row r="3354" spans="1:6" x14ac:dyDescent="0.25">
      <c r="A3354" t="s">
        <v>4201</v>
      </c>
      <c r="B3354" t="s">
        <v>4745</v>
      </c>
      <c r="C3354" t="s">
        <v>4746</v>
      </c>
      <c r="D3354" t="str">
        <f>HYPERLINK("http://service.sap.com/sap/support/notes/1790932","1790932")</f>
        <v>1790932</v>
      </c>
      <c r="E3354">
        <v>3</v>
      </c>
      <c r="F3354" t="s">
        <v>4747</v>
      </c>
    </row>
    <row r="3355" spans="1:6" x14ac:dyDescent="0.25">
      <c r="A3355" t="s">
        <v>4201</v>
      </c>
      <c r="B3355" t="s">
        <v>1079</v>
      </c>
      <c r="C3355" t="s">
        <v>1080</v>
      </c>
    </row>
    <row r="3356" spans="1:6" x14ac:dyDescent="0.25">
      <c r="A3356" t="s">
        <v>4201</v>
      </c>
      <c r="B3356" t="s">
        <v>1081</v>
      </c>
      <c r="C3356" t="s">
        <v>1082</v>
      </c>
      <c r="D3356" t="str">
        <f>HYPERLINK("http://service.sap.com/sap/support/notes/1649010","1649010")</f>
        <v>1649010</v>
      </c>
      <c r="E3356">
        <v>2</v>
      </c>
      <c r="F3356" t="s">
        <v>4748</v>
      </c>
    </row>
    <row r="3357" spans="1:6" x14ac:dyDescent="0.25">
      <c r="A3357" t="s">
        <v>4201</v>
      </c>
      <c r="B3357" t="s">
        <v>1081</v>
      </c>
      <c r="C3357" t="s">
        <v>1082</v>
      </c>
      <c r="D3357" t="str">
        <f>HYPERLINK("http://service.sap.com/sap/support/notes/1750272","1750272")</f>
        <v>1750272</v>
      </c>
      <c r="E3357">
        <v>2</v>
      </c>
      <c r="F3357" t="s">
        <v>4749</v>
      </c>
    </row>
    <row r="3358" spans="1:6" x14ac:dyDescent="0.25">
      <c r="A3358" t="s">
        <v>4201</v>
      </c>
      <c r="B3358" t="s">
        <v>1081</v>
      </c>
      <c r="C3358" t="s">
        <v>1082</v>
      </c>
      <c r="D3358" t="str">
        <f>HYPERLINK("http://service.sap.com/sap/support/notes/1754708","1754708")</f>
        <v>1754708</v>
      </c>
      <c r="E3358">
        <v>5</v>
      </c>
      <c r="F3358" t="s">
        <v>4750</v>
      </c>
    </row>
    <row r="3359" spans="1:6" x14ac:dyDescent="0.25">
      <c r="A3359" t="s">
        <v>4201</v>
      </c>
      <c r="B3359" t="s">
        <v>1081</v>
      </c>
      <c r="C3359" t="s">
        <v>1082</v>
      </c>
      <c r="D3359" t="str">
        <f>HYPERLINK("http://service.sap.com/sap/support/notes/1756685","1756685")</f>
        <v>1756685</v>
      </c>
      <c r="E3359">
        <v>4</v>
      </c>
      <c r="F3359" t="s">
        <v>1093</v>
      </c>
    </row>
    <row r="3360" spans="1:6" x14ac:dyDescent="0.25">
      <c r="A3360" t="s">
        <v>4201</v>
      </c>
      <c r="B3360" t="s">
        <v>1081</v>
      </c>
      <c r="C3360" t="s">
        <v>1082</v>
      </c>
      <c r="D3360" t="str">
        <f>HYPERLINK("http://service.sap.com/sap/support/notes/1766639","1766639")</f>
        <v>1766639</v>
      </c>
      <c r="E3360">
        <v>3</v>
      </c>
      <c r="F3360" t="s">
        <v>1095</v>
      </c>
    </row>
    <row r="3361" spans="1:6" x14ac:dyDescent="0.25">
      <c r="A3361" t="s">
        <v>4201</v>
      </c>
      <c r="B3361" t="s">
        <v>1081</v>
      </c>
      <c r="C3361" t="s">
        <v>1082</v>
      </c>
      <c r="D3361" t="str">
        <f>HYPERLINK("http://service.sap.com/sap/support/notes/1778928","1778928")</f>
        <v>1778928</v>
      </c>
      <c r="E3361">
        <v>1</v>
      </c>
      <c r="F3361" t="s">
        <v>4751</v>
      </c>
    </row>
    <row r="3362" spans="1:6" x14ac:dyDescent="0.25">
      <c r="A3362" t="s">
        <v>4201</v>
      </c>
      <c r="B3362" t="s">
        <v>1081</v>
      </c>
      <c r="C3362" t="s">
        <v>1082</v>
      </c>
      <c r="D3362" t="str">
        <f>HYPERLINK("http://service.sap.com/sap/support/notes/1780928","1780928")</f>
        <v>1780928</v>
      </c>
      <c r="E3362">
        <v>1</v>
      </c>
      <c r="F3362" t="s">
        <v>4752</v>
      </c>
    </row>
    <row r="3363" spans="1:6" x14ac:dyDescent="0.25">
      <c r="A3363" t="s">
        <v>4201</v>
      </c>
      <c r="B3363" t="s">
        <v>1081</v>
      </c>
      <c r="C3363" t="s">
        <v>1082</v>
      </c>
      <c r="D3363" t="str">
        <f>HYPERLINK("http://service.sap.com/sap/support/notes/1792244","1792244")</f>
        <v>1792244</v>
      </c>
      <c r="E3363">
        <v>2</v>
      </c>
      <c r="F3363" t="s">
        <v>4753</v>
      </c>
    </row>
    <row r="3364" spans="1:6" x14ac:dyDescent="0.25">
      <c r="A3364" t="s">
        <v>4201</v>
      </c>
      <c r="B3364" t="s">
        <v>1096</v>
      </c>
      <c r="C3364" t="s">
        <v>1097</v>
      </c>
      <c r="D3364" t="str">
        <f>HYPERLINK("http://service.sap.com/sap/support/notes/1729279","1729279")</f>
        <v>1729279</v>
      </c>
      <c r="E3364">
        <v>1</v>
      </c>
      <c r="F3364" t="s">
        <v>4754</v>
      </c>
    </row>
    <row r="3365" spans="1:6" x14ac:dyDescent="0.25">
      <c r="A3365" t="s">
        <v>4201</v>
      </c>
      <c r="B3365" t="s">
        <v>1096</v>
      </c>
      <c r="C3365" t="s">
        <v>1097</v>
      </c>
      <c r="D3365" t="str">
        <f>HYPERLINK("http://service.sap.com/sap/support/notes/1743694","1743694")</f>
        <v>1743694</v>
      </c>
      <c r="E3365">
        <v>2</v>
      </c>
      <c r="F3365" t="s">
        <v>4755</v>
      </c>
    </row>
    <row r="3366" spans="1:6" x14ac:dyDescent="0.25">
      <c r="A3366" t="s">
        <v>4201</v>
      </c>
      <c r="B3366" t="s">
        <v>1096</v>
      </c>
      <c r="C3366" t="s">
        <v>1097</v>
      </c>
      <c r="D3366" t="str">
        <f>HYPERLINK("http://service.sap.com/sap/support/notes/1752823","1752823")</f>
        <v>1752823</v>
      </c>
      <c r="E3366">
        <v>2</v>
      </c>
      <c r="F3366" t="s">
        <v>4756</v>
      </c>
    </row>
    <row r="3367" spans="1:6" x14ac:dyDescent="0.25">
      <c r="A3367" t="s">
        <v>4201</v>
      </c>
      <c r="B3367" t="s">
        <v>1096</v>
      </c>
      <c r="C3367" t="s">
        <v>1097</v>
      </c>
      <c r="D3367" t="str">
        <f>HYPERLINK("http://service.sap.com/sap/support/notes/1767057","1767057")</f>
        <v>1767057</v>
      </c>
      <c r="E3367">
        <v>2</v>
      </c>
      <c r="F3367" t="s">
        <v>4757</v>
      </c>
    </row>
    <row r="3368" spans="1:6" x14ac:dyDescent="0.25">
      <c r="A3368" t="s">
        <v>4201</v>
      </c>
      <c r="B3368" t="s">
        <v>1096</v>
      </c>
      <c r="C3368" t="s">
        <v>1097</v>
      </c>
      <c r="D3368" t="str">
        <f>HYPERLINK("http://service.sap.com/sap/support/notes/1772674","1772674")</f>
        <v>1772674</v>
      </c>
      <c r="E3368">
        <v>2</v>
      </c>
      <c r="F3368" t="s">
        <v>4758</v>
      </c>
    </row>
    <row r="3369" spans="1:6" x14ac:dyDescent="0.25">
      <c r="A3369" t="s">
        <v>4201</v>
      </c>
      <c r="B3369" t="s">
        <v>1096</v>
      </c>
      <c r="C3369" t="s">
        <v>1097</v>
      </c>
      <c r="D3369" t="str">
        <f>HYPERLINK("http://service.sap.com/sap/support/notes/1773232","1773232")</f>
        <v>1773232</v>
      </c>
      <c r="E3369">
        <v>1</v>
      </c>
      <c r="F3369" t="s">
        <v>4759</v>
      </c>
    </row>
    <row r="3370" spans="1:6" x14ac:dyDescent="0.25">
      <c r="A3370" t="s">
        <v>4201</v>
      </c>
      <c r="B3370" t="s">
        <v>1096</v>
      </c>
      <c r="C3370" t="s">
        <v>1097</v>
      </c>
      <c r="D3370" t="str">
        <f>HYPERLINK("http://service.sap.com/sap/support/notes/1777546","1777546")</f>
        <v>1777546</v>
      </c>
      <c r="E3370">
        <v>1</v>
      </c>
      <c r="F3370" t="s">
        <v>4760</v>
      </c>
    </row>
    <row r="3371" spans="1:6" x14ac:dyDescent="0.25">
      <c r="A3371" t="s">
        <v>4201</v>
      </c>
      <c r="B3371" t="s">
        <v>1096</v>
      </c>
      <c r="C3371" t="s">
        <v>1097</v>
      </c>
      <c r="D3371" t="str">
        <f>HYPERLINK("http://service.sap.com/sap/support/notes/1784402","1784402")</f>
        <v>1784402</v>
      </c>
      <c r="E3371">
        <v>1</v>
      </c>
      <c r="F3371" t="s">
        <v>4761</v>
      </c>
    </row>
    <row r="3372" spans="1:6" x14ac:dyDescent="0.25">
      <c r="A3372" t="s">
        <v>4201</v>
      </c>
      <c r="B3372" t="s">
        <v>1108</v>
      </c>
      <c r="C3372" t="s">
        <v>151</v>
      </c>
      <c r="D3372" t="str">
        <f>HYPERLINK("http://service.sap.com/sap/support/notes/1338617","1338617")</f>
        <v>1338617</v>
      </c>
      <c r="E3372">
        <v>1</v>
      </c>
      <c r="F3372" t="s">
        <v>4762</v>
      </c>
    </row>
    <row r="3373" spans="1:6" x14ac:dyDescent="0.25">
      <c r="A3373" t="s">
        <v>4201</v>
      </c>
      <c r="B3373" t="s">
        <v>1108</v>
      </c>
      <c r="C3373" t="s">
        <v>151</v>
      </c>
      <c r="D3373" t="str">
        <f>HYPERLINK("http://service.sap.com/sap/support/notes/1698055","1698055")</f>
        <v>1698055</v>
      </c>
      <c r="E3373">
        <v>8</v>
      </c>
      <c r="F3373" t="s">
        <v>4763</v>
      </c>
    </row>
    <row r="3374" spans="1:6" x14ac:dyDescent="0.25">
      <c r="A3374" t="s">
        <v>4201</v>
      </c>
      <c r="B3374" t="s">
        <v>1108</v>
      </c>
      <c r="C3374" t="s">
        <v>151</v>
      </c>
      <c r="D3374" t="str">
        <f>HYPERLINK("http://service.sap.com/sap/support/notes/1756434","1756434")</f>
        <v>1756434</v>
      </c>
      <c r="E3374">
        <v>5</v>
      </c>
      <c r="F3374" t="s">
        <v>4764</v>
      </c>
    </row>
    <row r="3375" spans="1:6" x14ac:dyDescent="0.25">
      <c r="A3375" t="s">
        <v>4201</v>
      </c>
      <c r="B3375" t="s">
        <v>1108</v>
      </c>
      <c r="C3375" t="s">
        <v>151</v>
      </c>
      <c r="D3375" t="str">
        <f>HYPERLINK("http://service.sap.com/sap/support/notes/1775769","1775769")</f>
        <v>1775769</v>
      </c>
      <c r="E3375">
        <v>3</v>
      </c>
      <c r="F3375" t="s">
        <v>4765</v>
      </c>
    </row>
    <row r="3376" spans="1:6" x14ac:dyDescent="0.25">
      <c r="A3376" t="s">
        <v>4201</v>
      </c>
      <c r="B3376" t="s">
        <v>1110</v>
      </c>
      <c r="C3376" t="s">
        <v>1111</v>
      </c>
      <c r="D3376" t="str">
        <f>HYPERLINK("http://service.sap.com/sap/support/notes/1769121","1769121")</f>
        <v>1769121</v>
      </c>
      <c r="E3376">
        <v>1</v>
      </c>
      <c r="F3376" t="s">
        <v>4766</v>
      </c>
    </row>
    <row r="3377" spans="1:6" x14ac:dyDescent="0.25">
      <c r="A3377" t="s">
        <v>4201</v>
      </c>
      <c r="B3377" t="s">
        <v>1110</v>
      </c>
      <c r="C3377" t="s">
        <v>1111</v>
      </c>
      <c r="D3377" t="str">
        <f>HYPERLINK("http://service.sap.com/sap/support/notes/1769582","1769582")</f>
        <v>1769582</v>
      </c>
      <c r="E3377">
        <v>2</v>
      </c>
      <c r="F3377" t="s">
        <v>4767</v>
      </c>
    </row>
    <row r="3378" spans="1:6" x14ac:dyDescent="0.25">
      <c r="A3378" t="s">
        <v>4201</v>
      </c>
      <c r="B3378" t="s">
        <v>1110</v>
      </c>
      <c r="C3378" t="s">
        <v>1111</v>
      </c>
      <c r="D3378" t="str">
        <f>HYPERLINK("http://service.sap.com/sap/support/notes/1772991","1772991")</f>
        <v>1772991</v>
      </c>
      <c r="E3378">
        <v>2</v>
      </c>
      <c r="F3378" t="s">
        <v>4768</v>
      </c>
    </row>
    <row r="3379" spans="1:6" x14ac:dyDescent="0.25">
      <c r="A3379" t="s">
        <v>4201</v>
      </c>
      <c r="B3379" t="s">
        <v>1110</v>
      </c>
      <c r="C3379" t="s">
        <v>1111</v>
      </c>
      <c r="D3379" t="str">
        <f>HYPERLINK("http://service.sap.com/sap/support/notes/1773185","1773185")</f>
        <v>1773185</v>
      </c>
      <c r="E3379">
        <v>2</v>
      </c>
      <c r="F3379" t="s">
        <v>4769</v>
      </c>
    </row>
    <row r="3380" spans="1:6" x14ac:dyDescent="0.25">
      <c r="A3380" t="s">
        <v>4201</v>
      </c>
      <c r="B3380" t="s">
        <v>1110</v>
      </c>
      <c r="C3380" t="s">
        <v>1111</v>
      </c>
      <c r="D3380" t="str">
        <f>HYPERLINK("http://service.sap.com/sap/support/notes/1776153","1776153")</f>
        <v>1776153</v>
      </c>
      <c r="E3380">
        <v>2</v>
      </c>
      <c r="F3380" t="s">
        <v>4770</v>
      </c>
    </row>
    <row r="3381" spans="1:6" x14ac:dyDescent="0.25">
      <c r="A3381" t="s">
        <v>4201</v>
      </c>
      <c r="B3381" t="s">
        <v>1110</v>
      </c>
      <c r="C3381" t="s">
        <v>1111</v>
      </c>
      <c r="D3381" t="str">
        <f>HYPERLINK("http://service.sap.com/sap/support/notes/1776831","1776831")</f>
        <v>1776831</v>
      </c>
      <c r="E3381">
        <v>2</v>
      </c>
      <c r="F3381" t="s">
        <v>4771</v>
      </c>
    </row>
    <row r="3382" spans="1:6" x14ac:dyDescent="0.25">
      <c r="A3382" t="s">
        <v>4201</v>
      </c>
      <c r="B3382" t="s">
        <v>1110</v>
      </c>
      <c r="C3382" t="s">
        <v>1111</v>
      </c>
      <c r="D3382" t="str">
        <f>HYPERLINK("http://service.sap.com/sap/support/notes/1776960","1776960")</f>
        <v>1776960</v>
      </c>
      <c r="E3382">
        <v>1</v>
      </c>
      <c r="F3382" t="s">
        <v>4772</v>
      </c>
    </row>
    <row r="3383" spans="1:6" x14ac:dyDescent="0.25">
      <c r="A3383" t="s">
        <v>4201</v>
      </c>
      <c r="B3383" t="s">
        <v>1110</v>
      </c>
      <c r="C3383" t="s">
        <v>1111</v>
      </c>
      <c r="D3383" t="str">
        <f>HYPERLINK("http://service.sap.com/sap/support/notes/1779422","1779422")</f>
        <v>1779422</v>
      </c>
      <c r="E3383">
        <v>1</v>
      </c>
      <c r="F3383" t="s">
        <v>4773</v>
      </c>
    </row>
    <row r="3384" spans="1:6" x14ac:dyDescent="0.25">
      <c r="A3384" t="s">
        <v>4201</v>
      </c>
      <c r="B3384" t="s">
        <v>1110</v>
      </c>
      <c r="C3384" t="s">
        <v>1111</v>
      </c>
      <c r="D3384" t="str">
        <f>HYPERLINK("http://service.sap.com/sap/support/notes/1783998","1783998")</f>
        <v>1783998</v>
      </c>
      <c r="E3384">
        <v>1</v>
      </c>
      <c r="F3384" t="s">
        <v>4774</v>
      </c>
    </row>
    <row r="3385" spans="1:6" x14ac:dyDescent="0.25">
      <c r="A3385" t="s">
        <v>4201</v>
      </c>
      <c r="B3385" t="s">
        <v>1110</v>
      </c>
      <c r="C3385" t="s">
        <v>1111</v>
      </c>
      <c r="D3385" t="str">
        <f>HYPERLINK("http://service.sap.com/sap/support/notes/1784908","1784908")</f>
        <v>1784908</v>
      </c>
      <c r="E3385">
        <v>1</v>
      </c>
      <c r="F3385" t="s">
        <v>4775</v>
      </c>
    </row>
    <row r="3386" spans="1:6" x14ac:dyDescent="0.25">
      <c r="A3386" t="s">
        <v>4201</v>
      </c>
      <c r="B3386" t="s">
        <v>1110</v>
      </c>
      <c r="C3386" t="s">
        <v>1111</v>
      </c>
      <c r="D3386" t="str">
        <f>HYPERLINK("http://service.sap.com/sap/support/notes/1785468","1785468")</f>
        <v>1785468</v>
      </c>
      <c r="E3386">
        <v>2</v>
      </c>
      <c r="F3386" t="s">
        <v>4776</v>
      </c>
    </row>
    <row r="3387" spans="1:6" x14ac:dyDescent="0.25">
      <c r="A3387" t="s">
        <v>4201</v>
      </c>
      <c r="B3387" t="s">
        <v>1110</v>
      </c>
      <c r="C3387" t="s">
        <v>1111</v>
      </c>
      <c r="D3387" t="str">
        <f>HYPERLINK("http://service.sap.com/sap/support/notes/1788027","1788027")</f>
        <v>1788027</v>
      </c>
      <c r="E3387">
        <v>1</v>
      </c>
      <c r="F3387" t="s">
        <v>4777</v>
      </c>
    </row>
    <row r="3388" spans="1:6" x14ac:dyDescent="0.25">
      <c r="A3388" t="s">
        <v>4201</v>
      </c>
      <c r="B3388" t="s">
        <v>1110</v>
      </c>
      <c r="C3388" t="s">
        <v>1111</v>
      </c>
      <c r="D3388" t="str">
        <f>HYPERLINK("http://service.sap.com/sap/support/notes/1788600","1788600")</f>
        <v>1788600</v>
      </c>
      <c r="E3388">
        <v>2</v>
      </c>
      <c r="F3388" t="s">
        <v>4778</v>
      </c>
    </row>
    <row r="3389" spans="1:6" x14ac:dyDescent="0.25">
      <c r="A3389" t="s">
        <v>4201</v>
      </c>
      <c r="B3389" t="s">
        <v>1110</v>
      </c>
      <c r="C3389" t="s">
        <v>1111</v>
      </c>
      <c r="D3389" t="str">
        <f>HYPERLINK("http://service.sap.com/sap/support/notes/1796868","1796868")</f>
        <v>1796868</v>
      </c>
      <c r="E3389">
        <v>1</v>
      </c>
      <c r="F3389" t="s">
        <v>4779</v>
      </c>
    </row>
    <row r="3390" spans="1:6" x14ac:dyDescent="0.25">
      <c r="A3390" t="s">
        <v>4201</v>
      </c>
      <c r="B3390" t="s">
        <v>1128</v>
      </c>
      <c r="C3390" t="s">
        <v>1129</v>
      </c>
      <c r="D3390" t="str">
        <f>HYPERLINK("http://service.sap.com/sap/support/notes/1770264","1770264")</f>
        <v>1770264</v>
      </c>
      <c r="E3390">
        <v>3</v>
      </c>
      <c r="F3390" t="s">
        <v>4780</v>
      </c>
    </row>
    <row r="3391" spans="1:6" x14ac:dyDescent="0.25">
      <c r="A3391" t="s">
        <v>4201</v>
      </c>
      <c r="B3391" t="s">
        <v>1128</v>
      </c>
      <c r="C3391" t="s">
        <v>1129</v>
      </c>
      <c r="D3391" t="str">
        <f>HYPERLINK("http://service.sap.com/sap/support/notes/1770270","1770270")</f>
        <v>1770270</v>
      </c>
      <c r="E3391">
        <v>3</v>
      </c>
      <c r="F3391" t="s">
        <v>4781</v>
      </c>
    </row>
    <row r="3392" spans="1:6" x14ac:dyDescent="0.25">
      <c r="A3392" t="s">
        <v>4201</v>
      </c>
      <c r="B3392" t="s">
        <v>1133</v>
      </c>
      <c r="C3392" t="s">
        <v>1134</v>
      </c>
      <c r="D3392" t="str">
        <f>HYPERLINK("http://service.sap.com/sap/support/notes/1745040","1745040")</f>
        <v>1745040</v>
      </c>
      <c r="E3392">
        <v>9</v>
      </c>
      <c r="F3392" t="s">
        <v>4782</v>
      </c>
    </row>
    <row r="3393" spans="1:6" x14ac:dyDescent="0.25">
      <c r="A3393" t="s">
        <v>4201</v>
      </c>
      <c r="B3393" t="s">
        <v>1139</v>
      </c>
      <c r="C3393" t="s">
        <v>971</v>
      </c>
      <c r="D3393" t="str">
        <f>HYPERLINK("http://service.sap.com/sap/support/notes/1756485","1756485")</f>
        <v>1756485</v>
      </c>
      <c r="E3393">
        <v>2</v>
      </c>
      <c r="F3393" t="s">
        <v>4783</v>
      </c>
    </row>
    <row r="3394" spans="1:6" x14ac:dyDescent="0.25">
      <c r="A3394" t="s">
        <v>4201</v>
      </c>
      <c r="B3394" t="s">
        <v>1139</v>
      </c>
      <c r="C3394" t="s">
        <v>971</v>
      </c>
      <c r="D3394" t="str">
        <f>HYPERLINK("http://service.sap.com/sap/support/notes/1764845","1764845")</f>
        <v>1764845</v>
      </c>
      <c r="E3394">
        <v>2</v>
      </c>
      <c r="F3394" t="s">
        <v>4784</v>
      </c>
    </row>
    <row r="3395" spans="1:6" x14ac:dyDescent="0.25">
      <c r="A3395" t="s">
        <v>4201</v>
      </c>
      <c r="B3395" t="s">
        <v>1139</v>
      </c>
      <c r="C3395" t="s">
        <v>971</v>
      </c>
      <c r="D3395" t="str">
        <f>HYPERLINK("http://service.sap.com/sap/support/notes/1772382","1772382")</f>
        <v>1772382</v>
      </c>
      <c r="E3395">
        <v>2</v>
      </c>
      <c r="F3395" t="s">
        <v>4785</v>
      </c>
    </row>
    <row r="3396" spans="1:6" x14ac:dyDescent="0.25">
      <c r="A3396" t="s">
        <v>4201</v>
      </c>
      <c r="B3396" t="s">
        <v>1139</v>
      </c>
      <c r="C3396" t="s">
        <v>971</v>
      </c>
      <c r="D3396" t="str">
        <f>HYPERLINK("http://service.sap.com/sap/support/notes/1793167","1793167")</f>
        <v>1793167</v>
      </c>
      <c r="E3396">
        <v>3</v>
      </c>
      <c r="F3396" t="s">
        <v>4786</v>
      </c>
    </row>
    <row r="3397" spans="1:6" x14ac:dyDescent="0.25">
      <c r="A3397" t="s">
        <v>4201</v>
      </c>
      <c r="B3397" t="s">
        <v>1150</v>
      </c>
      <c r="C3397" t="s">
        <v>1151</v>
      </c>
      <c r="D3397" t="str">
        <f>HYPERLINK("http://service.sap.com/sap/support/notes/1755199","1755199")</f>
        <v>1755199</v>
      </c>
      <c r="E3397">
        <v>8</v>
      </c>
      <c r="F3397" t="s">
        <v>4787</v>
      </c>
    </row>
    <row r="3398" spans="1:6" x14ac:dyDescent="0.25">
      <c r="A3398" t="s">
        <v>4201</v>
      </c>
      <c r="B3398" t="s">
        <v>1150</v>
      </c>
      <c r="C3398" t="s">
        <v>1151</v>
      </c>
      <c r="D3398" t="str">
        <f>HYPERLINK("http://service.sap.com/sap/support/notes/1764222","1764222")</f>
        <v>1764222</v>
      </c>
      <c r="E3398">
        <v>4</v>
      </c>
      <c r="F3398" t="s">
        <v>4788</v>
      </c>
    </row>
    <row r="3399" spans="1:6" x14ac:dyDescent="0.25">
      <c r="A3399" t="s">
        <v>4201</v>
      </c>
      <c r="B3399" t="s">
        <v>1150</v>
      </c>
      <c r="C3399" t="s">
        <v>1151</v>
      </c>
      <c r="D3399" t="str">
        <f>HYPERLINK("http://service.sap.com/sap/support/notes/1768670","1768670")</f>
        <v>1768670</v>
      </c>
      <c r="E3399">
        <v>3</v>
      </c>
      <c r="F3399" t="s">
        <v>4789</v>
      </c>
    </row>
    <row r="3400" spans="1:6" x14ac:dyDescent="0.25">
      <c r="A3400" t="s">
        <v>4201</v>
      </c>
      <c r="B3400" t="s">
        <v>1150</v>
      </c>
      <c r="C3400" t="s">
        <v>1151</v>
      </c>
      <c r="D3400" t="str">
        <f>HYPERLINK("http://service.sap.com/sap/support/notes/1771406","1771406")</f>
        <v>1771406</v>
      </c>
      <c r="E3400">
        <v>2</v>
      </c>
      <c r="F3400" t="s">
        <v>4790</v>
      </c>
    </row>
    <row r="3401" spans="1:6" x14ac:dyDescent="0.25">
      <c r="A3401" t="s">
        <v>4201</v>
      </c>
      <c r="B3401" t="s">
        <v>1150</v>
      </c>
      <c r="C3401" t="s">
        <v>1151</v>
      </c>
      <c r="D3401" t="str">
        <f>HYPERLINK("http://service.sap.com/sap/support/notes/1773152","1773152")</f>
        <v>1773152</v>
      </c>
      <c r="E3401">
        <v>4</v>
      </c>
      <c r="F3401" t="s">
        <v>4791</v>
      </c>
    </row>
    <row r="3402" spans="1:6" x14ac:dyDescent="0.25">
      <c r="A3402" t="s">
        <v>4201</v>
      </c>
      <c r="B3402" t="s">
        <v>1150</v>
      </c>
      <c r="C3402" t="s">
        <v>1151</v>
      </c>
      <c r="D3402" t="str">
        <f>HYPERLINK("http://service.sap.com/sap/support/notes/1774579","1774579")</f>
        <v>1774579</v>
      </c>
      <c r="E3402">
        <v>1</v>
      </c>
      <c r="F3402" t="s">
        <v>4792</v>
      </c>
    </row>
    <row r="3403" spans="1:6" x14ac:dyDescent="0.25">
      <c r="A3403" t="s">
        <v>4201</v>
      </c>
      <c r="B3403" t="s">
        <v>1150</v>
      </c>
      <c r="C3403" t="s">
        <v>1151</v>
      </c>
      <c r="D3403" t="str">
        <f>HYPERLINK("http://service.sap.com/sap/support/notes/1775026","1775026")</f>
        <v>1775026</v>
      </c>
      <c r="E3403">
        <v>1</v>
      </c>
      <c r="F3403" t="s">
        <v>4793</v>
      </c>
    </row>
    <row r="3404" spans="1:6" x14ac:dyDescent="0.25">
      <c r="A3404" t="s">
        <v>4201</v>
      </c>
      <c r="B3404" t="s">
        <v>1150</v>
      </c>
      <c r="C3404" t="s">
        <v>1151</v>
      </c>
      <c r="D3404" t="str">
        <f>HYPERLINK("http://service.sap.com/sap/support/notes/1775229","1775229")</f>
        <v>1775229</v>
      </c>
      <c r="E3404">
        <v>1</v>
      </c>
      <c r="F3404" t="s">
        <v>4794</v>
      </c>
    </row>
    <row r="3405" spans="1:6" x14ac:dyDescent="0.25">
      <c r="A3405" t="s">
        <v>4201</v>
      </c>
      <c r="B3405" t="s">
        <v>1150</v>
      </c>
      <c r="C3405" t="s">
        <v>1151</v>
      </c>
      <c r="D3405" t="str">
        <f>HYPERLINK("http://service.sap.com/sap/support/notes/1776497","1776497")</f>
        <v>1776497</v>
      </c>
      <c r="E3405">
        <v>1</v>
      </c>
      <c r="F3405" t="s">
        <v>4795</v>
      </c>
    </row>
    <row r="3406" spans="1:6" x14ac:dyDescent="0.25">
      <c r="A3406" t="s">
        <v>4201</v>
      </c>
      <c r="B3406" t="s">
        <v>1150</v>
      </c>
      <c r="C3406" t="s">
        <v>1151</v>
      </c>
      <c r="D3406" t="str">
        <f>HYPERLINK("http://service.sap.com/sap/support/notes/1776796","1776796")</f>
        <v>1776796</v>
      </c>
      <c r="E3406">
        <v>1</v>
      </c>
      <c r="F3406" t="s">
        <v>4796</v>
      </c>
    </row>
    <row r="3407" spans="1:6" x14ac:dyDescent="0.25">
      <c r="A3407" t="s">
        <v>4201</v>
      </c>
      <c r="B3407" t="s">
        <v>1150</v>
      </c>
      <c r="C3407" t="s">
        <v>1151</v>
      </c>
      <c r="D3407" t="str">
        <f>HYPERLINK("http://service.sap.com/sap/support/notes/1777373","1777373")</f>
        <v>1777373</v>
      </c>
      <c r="E3407">
        <v>2</v>
      </c>
      <c r="F3407" t="s">
        <v>4797</v>
      </c>
    </row>
    <row r="3408" spans="1:6" x14ac:dyDescent="0.25">
      <c r="A3408" t="s">
        <v>4201</v>
      </c>
      <c r="B3408" t="s">
        <v>1150</v>
      </c>
      <c r="C3408" t="s">
        <v>1151</v>
      </c>
      <c r="D3408" t="str">
        <f>HYPERLINK("http://service.sap.com/sap/support/notes/1778054","1778054")</f>
        <v>1778054</v>
      </c>
      <c r="E3408">
        <v>9</v>
      </c>
      <c r="F3408" t="s">
        <v>4798</v>
      </c>
    </row>
    <row r="3409" spans="1:6" x14ac:dyDescent="0.25">
      <c r="A3409" t="s">
        <v>4201</v>
      </c>
      <c r="B3409" t="s">
        <v>1150</v>
      </c>
      <c r="C3409" t="s">
        <v>1151</v>
      </c>
      <c r="D3409" t="str">
        <f>HYPERLINK("http://service.sap.com/sap/support/notes/1782098","1782098")</f>
        <v>1782098</v>
      </c>
      <c r="E3409">
        <v>2</v>
      </c>
      <c r="F3409" t="s">
        <v>4799</v>
      </c>
    </row>
    <row r="3410" spans="1:6" x14ac:dyDescent="0.25">
      <c r="A3410" t="s">
        <v>4201</v>
      </c>
      <c r="B3410" t="s">
        <v>1150</v>
      </c>
      <c r="C3410" t="s">
        <v>1151</v>
      </c>
      <c r="D3410" t="str">
        <f>HYPERLINK("http://service.sap.com/sap/support/notes/1786351","1786351")</f>
        <v>1786351</v>
      </c>
      <c r="E3410">
        <v>2</v>
      </c>
      <c r="F3410" t="s">
        <v>4800</v>
      </c>
    </row>
    <row r="3411" spans="1:6" x14ac:dyDescent="0.25">
      <c r="A3411" t="s">
        <v>4201</v>
      </c>
      <c r="B3411" t="s">
        <v>1150</v>
      </c>
      <c r="C3411" t="s">
        <v>1151</v>
      </c>
      <c r="D3411" t="str">
        <f>HYPERLINK("http://service.sap.com/sap/support/notes/1786677","1786677")</f>
        <v>1786677</v>
      </c>
      <c r="E3411">
        <v>1</v>
      </c>
      <c r="F3411" t="s">
        <v>4801</v>
      </c>
    </row>
    <row r="3412" spans="1:6" x14ac:dyDescent="0.25">
      <c r="A3412" t="s">
        <v>4201</v>
      </c>
      <c r="B3412" t="s">
        <v>1150</v>
      </c>
      <c r="C3412" t="s">
        <v>1151</v>
      </c>
      <c r="D3412" t="str">
        <f>HYPERLINK("http://service.sap.com/sap/support/notes/1791179","1791179")</f>
        <v>1791179</v>
      </c>
      <c r="E3412">
        <v>9</v>
      </c>
      <c r="F3412" t="s">
        <v>4802</v>
      </c>
    </row>
    <row r="3413" spans="1:6" x14ac:dyDescent="0.25">
      <c r="A3413" t="s">
        <v>4201</v>
      </c>
      <c r="B3413" t="s">
        <v>1150</v>
      </c>
      <c r="C3413" t="s">
        <v>1151</v>
      </c>
      <c r="D3413" t="str">
        <f>HYPERLINK("http://service.sap.com/sap/support/notes/1794304","1794304")</f>
        <v>1794304</v>
      </c>
      <c r="E3413">
        <v>2</v>
      </c>
      <c r="F3413" t="s">
        <v>4803</v>
      </c>
    </row>
    <row r="3414" spans="1:6" x14ac:dyDescent="0.25">
      <c r="A3414" t="s">
        <v>4201</v>
      </c>
      <c r="B3414" t="s">
        <v>1184</v>
      </c>
      <c r="C3414" t="s">
        <v>1185</v>
      </c>
      <c r="D3414" t="str">
        <f>HYPERLINK("http://service.sap.com/sap/support/notes/1268032","1268032")</f>
        <v>1268032</v>
      </c>
      <c r="E3414">
        <v>1</v>
      </c>
      <c r="F3414" t="s">
        <v>1186</v>
      </c>
    </row>
    <row r="3415" spans="1:6" x14ac:dyDescent="0.25">
      <c r="A3415" t="s">
        <v>4201</v>
      </c>
      <c r="B3415" t="s">
        <v>1184</v>
      </c>
      <c r="C3415" t="s">
        <v>1185</v>
      </c>
      <c r="D3415" t="str">
        <f>HYPERLINK("http://service.sap.com/sap/support/notes/1457702","1457702")</f>
        <v>1457702</v>
      </c>
      <c r="E3415">
        <v>8</v>
      </c>
      <c r="F3415" t="s">
        <v>4804</v>
      </c>
    </row>
    <row r="3416" spans="1:6" x14ac:dyDescent="0.25">
      <c r="A3416" t="s">
        <v>4201</v>
      </c>
      <c r="B3416" t="s">
        <v>1184</v>
      </c>
      <c r="C3416" t="s">
        <v>1185</v>
      </c>
      <c r="D3416" t="str">
        <f>HYPERLINK("http://service.sap.com/sap/support/notes/1736299","1736299")</f>
        <v>1736299</v>
      </c>
      <c r="E3416">
        <v>4</v>
      </c>
      <c r="F3416" t="s">
        <v>4805</v>
      </c>
    </row>
    <row r="3417" spans="1:6" x14ac:dyDescent="0.25">
      <c r="A3417" t="s">
        <v>4201</v>
      </c>
      <c r="B3417" t="s">
        <v>1184</v>
      </c>
      <c r="C3417" t="s">
        <v>1185</v>
      </c>
      <c r="D3417" t="str">
        <f>HYPERLINK("http://service.sap.com/sap/support/notes/1740995","1740995")</f>
        <v>1740995</v>
      </c>
      <c r="E3417">
        <v>9</v>
      </c>
      <c r="F3417" t="s">
        <v>4806</v>
      </c>
    </row>
    <row r="3418" spans="1:6" x14ac:dyDescent="0.25">
      <c r="A3418" t="s">
        <v>4201</v>
      </c>
      <c r="B3418" t="s">
        <v>1184</v>
      </c>
      <c r="C3418" t="s">
        <v>1185</v>
      </c>
      <c r="D3418" t="str">
        <f>HYPERLINK("http://service.sap.com/sap/support/notes/1743331","1743331")</f>
        <v>1743331</v>
      </c>
      <c r="E3418">
        <v>2</v>
      </c>
      <c r="F3418" t="s">
        <v>4807</v>
      </c>
    </row>
    <row r="3419" spans="1:6" x14ac:dyDescent="0.25">
      <c r="A3419" t="s">
        <v>4201</v>
      </c>
      <c r="B3419" t="s">
        <v>1184</v>
      </c>
      <c r="C3419" t="s">
        <v>1185</v>
      </c>
      <c r="D3419" t="str">
        <f>HYPERLINK("http://service.sap.com/sap/support/notes/1746290","1746290")</f>
        <v>1746290</v>
      </c>
      <c r="E3419">
        <v>2</v>
      </c>
      <c r="F3419" t="s">
        <v>4808</v>
      </c>
    </row>
    <row r="3420" spans="1:6" x14ac:dyDescent="0.25">
      <c r="A3420" t="s">
        <v>4201</v>
      </c>
      <c r="B3420" t="s">
        <v>1184</v>
      </c>
      <c r="C3420" t="s">
        <v>1185</v>
      </c>
      <c r="D3420" t="str">
        <f>HYPERLINK("http://service.sap.com/sap/support/notes/1759215","1759215")</f>
        <v>1759215</v>
      </c>
      <c r="E3420">
        <v>3</v>
      </c>
      <c r="F3420" t="s">
        <v>4809</v>
      </c>
    </row>
    <row r="3421" spans="1:6" x14ac:dyDescent="0.25">
      <c r="A3421" t="s">
        <v>4201</v>
      </c>
      <c r="B3421" t="s">
        <v>1184</v>
      </c>
      <c r="C3421" t="s">
        <v>1185</v>
      </c>
      <c r="D3421" t="str">
        <f>HYPERLINK("http://service.sap.com/sap/support/notes/1763377","1763377")</f>
        <v>1763377</v>
      </c>
      <c r="E3421">
        <v>3</v>
      </c>
      <c r="F3421" t="s">
        <v>4810</v>
      </c>
    </row>
    <row r="3422" spans="1:6" x14ac:dyDescent="0.25">
      <c r="A3422" t="s">
        <v>4201</v>
      </c>
      <c r="B3422" t="s">
        <v>1184</v>
      </c>
      <c r="C3422" t="s">
        <v>1185</v>
      </c>
      <c r="D3422" t="str">
        <f>HYPERLINK("http://service.sap.com/sap/support/notes/1770012","1770012")</f>
        <v>1770012</v>
      </c>
      <c r="E3422">
        <v>1</v>
      </c>
      <c r="F3422" t="s">
        <v>4811</v>
      </c>
    </row>
    <row r="3423" spans="1:6" x14ac:dyDescent="0.25">
      <c r="A3423" t="s">
        <v>4201</v>
      </c>
      <c r="B3423" t="s">
        <v>1184</v>
      </c>
      <c r="C3423" t="s">
        <v>1185</v>
      </c>
      <c r="D3423" t="str">
        <f>HYPERLINK("http://service.sap.com/sap/support/notes/1770039","1770039")</f>
        <v>1770039</v>
      </c>
      <c r="E3423">
        <v>3</v>
      </c>
      <c r="F3423" t="s">
        <v>4812</v>
      </c>
    </row>
    <row r="3424" spans="1:6" x14ac:dyDescent="0.25">
      <c r="A3424" t="s">
        <v>4201</v>
      </c>
      <c r="B3424" t="s">
        <v>1184</v>
      </c>
      <c r="C3424" t="s">
        <v>1185</v>
      </c>
      <c r="D3424" t="str">
        <f>HYPERLINK("http://service.sap.com/sap/support/notes/1774936","1774936")</f>
        <v>1774936</v>
      </c>
      <c r="E3424">
        <v>1</v>
      </c>
      <c r="F3424" t="s">
        <v>4813</v>
      </c>
    </row>
    <row r="3425" spans="1:6" x14ac:dyDescent="0.25">
      <c r="A3425" t="s">
        <v>4201</v>
      </c>
      <c r="B3425" t="s">
        <v>1184</v>
      </c>
      <c r="C3425" t="s">
        <v>1185</v>
      </c>
      <c r="D3425" t="str">
        <f>HYPERLINK("http://service.sap.com/sap/support/notes/1775463","1775463")</f>
        <v>1775463</v>
      </c>
      <c r="E3425">
        <v>2</v>
      </c>
      <c r="F3425" t="s">
        <v>4814</v>
      </c>
    </row>
    <row r="3426" spans="1:6" x14ac:dyDescent="0.25">
      <c r="A3426" t="s">
        <v>4201</v>
      </c>
      <c r="B3426" t="s">
        <v>1184</v>
      </c>
      <c r="C3426" t="s">
        <v>1185</v>
      </c>
      <c r="D3426" t="str">
        <f>HYPERLINK("http://service.sap.com/sap/support/notes/1777213","1777213")</f>
        <v>1777213</v>
      </c>
      <c r="E3426">
        <v>2</v>
      </c>
      <c r="F3426" t="s">
        <v>4815</v>
      </c>
    </row>
    <row r="3427" spans="1:6" x14ac:dyDescent="0.25">
      <c r="A3427" t="s">
        <v>4201</v>
      </c>
      <c r="B3427" t="s">
        <v>1184</v>
      </c>
      <c r="C3427" t="s">
        <v>1185</v>
      </c>
      <c r="D3427" t="str">
        <f>HYPERLINK("http://service.sap.com/sap/support/notes/1779073","1779073")</f>
        <v>1779073</v>
      </c>
      <c r="E3427">
        <v>1</v>
      </c>
      <c r="F3427" t="s">
        <v>4816</v>
      </c>
    </row>
    <row r="3428" spans="1:6" x14ac:dyDescent="0.25">
      <c r="A3428" t="s">
        <v>4201</v>
      </c>
      <c r="B3428" t="s">
        <v>1184</v>
      </c>
      <c r="C3428" t="s">
        <v>1185</v>
      </c>
      <c r="D3428" t="str">
        <f>HYPERLINK("http://service.sap.com/sap/support/notes/1779260","1779260")</f>
        <v>1779260</v>
      </c>
      <c r="E3428">
        <v>1</v>
      </c>
      <c r="F3428" t="s">
        <v>4817</v>
      </c>
    </row>
    <row r="3429" spans="1:6" x14ac:dyDescent="0.25">
      <c r="A3429" t="s">
        <v>4201</v>
      </c>
      <c r="B3429" t="s">
        <v>1184</v>
      </c>
      <c r="C3429" t="s">
        <v>1185</v>
      </c>
      <c r="D3429" t="str">
        <f>HYPERLINK("http://service.sap.com/sap/support/notes/1779374","1779374")</f>
        <v>1779374</v>
      </c>
      <c r="E3429">
        <v>1</v>
      </c>
      <c r="F3429" t="s">
        <v>4818</v>
      </c>
    </row>
    <row r="3430" spans="1:6" x14ac:dyDescent="0.25">
      <c r="A3430" t="s">
        <v>4201</v>
      </c>
      <c r="B3430" t="s">
        <v>1184</v>
      </c>
      <c r="C3430" t="s">
        <v>1185</v>
      </c>
      <c r="D3430" t="str">
        <f>HYPERLINK("http://service.sap.com/sap/support/notes/1779899","1779899")</f>
        <v>1779899</v>
      </c>
      <c r="E3430">
        <v>1</v>
      </c>
      <c r="F3430" t="s">
        <v>4819</v>
      </c>
    </row>
    <row r="3431" spans="1:6" x14ac:dyDescent="0.25">
      <c r="A3431" t="s">
        <v>4201</v>
      </c>
      <c r="B3431" t="s">
        <v>1184</v>
      </c>
      <c r="C3431" t="s">
        <v>1185</v>
      </c>
      <c r="D3431" t="str">
        <f>HYPERLINK("http://service.sap.com/sap/support/notes/1783043","1783043")</f>
        <v>1783043</v>
      </c>
      <c r="E3431">
        <v>1</v>
      </c>
      <c r="F3431" t="s">
        <v>4820</v>
      </c>
    </row>
    <row r="3432" spans="1:6" x14ac:dyDescent="0.25">
      <c r="A3432" t="s">
        <v>4201</v>
      </c>
      <c r="B3432" t="s">
        <v>1184</v>
      </c>
      <c r="C3432" t="s">
        <v>1185</v>
      </c>
      <c r="D3432" t="str">
        <f>HYPERLINK("http://service.sap.com/sap/support/notes/1793619","1793619")</f>
        <v>1793619</v>
      </c>
      <c r="E3432">
        <v>4</v>
      </c>
      <c r="F3432" t="s">
        <v>4821</v>
      </c>
    </row>
    <row r="3433" spans="1:6" x14ac:dyDescent="0.25">
      <c r="A3433" t="s">
        <v>4201</v>
      </c>
      <c r="B3433" t="s">
        <v>1184</v>
      </c>
      <c r="C3433" t="s">
        <v>1185</v>
      </c>
      <c r="D3433" t="str">
        <f>HYPERLINK("http://service.sap.com/sap/support/notes/1793792","1793792")</f>
        <v>1793792</v>
      </c>
      <c r="E3433">
        <v>2</v>
      </c>
      <c r="F3433" t="s">
        <v>4822</v>
      </c>
    </row>
    <row r="3434" spans="1:6" x14ac:dyDescent="0.25">
      <c r="A3434" t="s">
        <v>4201</v>
      </c>
      <c r="B3434" t="s">
        <v>1184</v>
      </c>
      <c r="C3434" t="s">
        <v>1185</v>
      </c>
      <c r="D3434" t="str">
        <f>HYPERLINK("http://service.sap.com/sap/support/notes/1793848","1793848")</f>
        <v>1793848</v>
      </c>
      <c r="E3434">
        <v>2</v>
      </c>
      <c r="F3434" t="s">
        <v>4822</v>
      </c>
    </row>
    <row r="3435" spans="1:6" x14ac:dyDescent="0.25">
      <c r="A3435" t="s">
        <v>4201</v>
      </c>
      <c r="B3435" t="s">
        <v>1184</v>
      </c>
      <c r="C3435" t="s">
        <v>1185</v>
      </c>
      <c r="D3435" t="str">
        <f>HYPERLINK("http://service.sap.com/sap/support/notes/1796558","1796558")</f>
        <v>1796558</v>
      </c>
      <c r="E3435">
        <v>3</v>
      </c>
      <c r="F3435" t="s">
        <v>4823</v>
      </c>
    </row>
    <row r="3436" spans="1:6" x14ac:dyDescent="0.25">
      <c r="A3436" t="s">
        <v>4201</v>
      </c>
      <c r="B3436" t="s">
        <v>1220</v>
      </c>
      <c r="C3436" t="s">
        <v>883</v>
      </c>
      <c r="D3436" t="str">
        <f>HYPERLINK("http://service.sap.com/sap/support/notes/1663653","1663653")</f>
        <v>1663653</v>
      </c>
      <c r="E3436">
        <v>3</v>
      </c>
      <c r="F3436" t="s">
        <v>4824</v>
      </c>
    </row>
    <row r="3437" spans="1:6" x14ac:dyDescent="0.25">
      <c r="A3437" t="s">
        <v>4201</v>
      </c>
      <c r="B3437" t="s">
        <v>1220</v>
      </c>
      <c r="C3437" t="s">
        <v>883</v>
      </c>
      <c r="D3437" t="str">
        <f>HYPERLINK("http://service.sap.com/sap/support/notes/1694175","1694175")</f>
        <v>1694175</v>
      </c>
      <c r="E3437">
        <v>3</v>
      </c>
      <c r="F3437" t="s">
        <v>4825</v>
      </c>
    </row>
    <row r="3438" spans="1:6" x14ac:dyDescent="0.25">
      <c r="A3438" t="s">
        <v>4201</v>
      </c>
      <c r="B3438" t="s">
        <v>1220</v>
      </c>
      <c r="C3438" t="s">
        <v>883</v>
      </c>
      <c r="D3438" t="str">
        <f>HYPERLINK("http://service.sap.com/sap/support/notes/1701743","1701743")</f>
        <v>1701743</v>
      </c>
      <c r="E3438">
        <v>2</v>
      </c>
      <c r="F3438" t="s">
        <v>4826</v>
      </c>
    </row>
    <row r="3439" spans="1:6" x14ac:dyDescent="0.25">
      <c r="A3439" t="s">
        <v>4201</v>
      </c>
      <c r="B3439" t="s">
        <v>1220</v>
      </c>
      <c r="C3439" t="s">
        <v>883</v>
      </c>
      <c r="D3439" t="str">
        <f>HYPERLINK("http://service.sap.com/sap/support/notes/1751784","1751784")</f>
        <v>1751784</v>
      </c>
      <c r="E3439">
        <v>3</v>
      </c>
      <c r="F3439" t="s">
        <v>4827</v>
      </c>
    </row>
    <row r="3440" spans="1:6" x14ac:dyDescent="0.25">
      <c r="A3440" t="s">
        <v>4201</v>
      </c>
      <c r="B3440" t="s">
        <v>1220</v>
      </c>
      <c r="C3440" t="s">
        <v>883</v>
      </c>
      <c r="D3440" t="str">
        <f>HYPERLINK("http://service.sap.com/sap/support/notes/1752817","1752817")</f>
        <v>1752817</v>
      </c>
      <c r="E3440">
        <v>4</v>
      </c>
      <c r="F3440" t="s">
        <v>4828</v>
      </c>
    </row>
    <row r="3441" spans="1:6" x14ac:dyDescent="0.25">
      <c r="A3441" t="s">
        <v>4201</v>
      </c>
      <c r="B3441" t="s">
        <v>1220</v>
      </c>
      <c r="C3441" t="s">
        <v>883</v>
      </c>
      <c r="D3441" t="str">
        <f>HYPERLINK("http://service.sap.com/sap/support/notes/1755931","1755931")</f>
        <v>1755931</v>
      </c>
      <c r="E3441">
        <v>2</v>
      </c>
      <c r="F3441" t="s">
        <v>4829</v>
      </c>
    </row>
    <row r="3442" spans="1:6" x14ac:dyDescent="0.25">
      <c r="A3442" t="s">
        <v>4201</v>
      </c>
      <c r="B3442" t="s">
        <v>1220</v>
      </c>
      <c r="C3442" t="s">
        <v>883</v>
      </c>
      <c r="D3442" t="str">
        <f>HYPERLINK("http://service.sap.com/sap/support/notes/1761582","1761582")</f>
        <v>1761582</v>
      </c>
      <c r="E3442">
        <v>3</v>
      </c>
      <c r="F3442" t="s">
        <v>4830</v>
      </c>
    </row>
    <row r="3443" spans="1:6" x14ac:dyDescent="0.25">
      <c r="A3443" t="s">
        <v>4201</v>
      </c>
      <c r="B3443" t="s">
        <v>1220</v>
      </c>
      <c r="C3443" t="s">
        <v>883</v>
      </c>
      <c r="D3443" t="str">
        <f>HYPERLINK("http://service.sap.com/sap/support/notes/1765054","1765054")</f>
        <v>1765054</v>
      </c>
      <c r="E3443">
        <v>3</v>
      </c>
      <c r="F3443" t="s">
        <v>4831</v>
      </c>
    </row>
    <row r="3444" spans="1:6" x14ac:dyDescent="0.25">
      <c r="A3444" t="s">
        <v>4201</v>
      </c>
      <c r="B3444" t="s">
        <v>1220</v>
      </c>
      <c r="C3444" t="s">
        <v>883</v>
      </c>
      <c r="D3444" t="str">
        <f>HYPERLINK("http://service.sap.com/sap/support/notes/1766347","1766347")</f>
        <v>1766347</v>
      </c>
      <c r="E3444">
        <v>4</v>
      </c>
      <c r="F3444" t="s">
        <v>4832</v>
      </c>
    </row>
    <row r="3445" spans="1:6" x14ac:dyDescent="0.25">
      <c r="A3445" t="s">
        <v>4201</v>
      </c>
      <c r="B3445" t="s">
        <v>1220</v>
      </c>
      <c r="C3445" t="s">
        <v>883</v>
      </c>
      <c r="D3445" t="str">
        <f>HYPERLINK("http://service.sap.com/sap/support/notes/1766350","1766350")</f>
        <v>1766350</v>
      </c>
      <c r="E3445">
        <v>3</v>
      </c>
      <c r="F3445" t="s">
        <v>4833</v>
      </c>
    </row>
    <row r="3446" spans="1:6" x14ac:dyDescent="0.25">
      <c r="A3446" t="s">
        <v>4201</v>
      </c>
      <c r="B3446" t="s">
        <v>1220</v>
      </c>
      <c r="C3446" t="s">
        <v>883</v>
      </c>
      <c r="D3446" t="str">
        <f>HYPERLINK("http://service.sap.com/sap/support/notes/1766821","1766821")</f>
        <v>1766821</v>
      </c>
      <c r="E3446">
        <v>3</v>
      </c>
      <c r="F3446" t="s">
        <v>4834</v>
      </c>
    </row>
    <row r="3447" spans="1:6" x14ac:dyDescent="0.25">
      <c r="A3447" t="s">
        <v>4201</v>
      </c>
      <c r="B3447" t="s">
        <v>1220</v>
      </c>
      <c r="C3447" t="s">
        <v>883</v>
      </c>
      <c r="D3447" t="str">
        <f>HYPERLINK("http://service.sap.com/sap/support/notes/1767966","1767966")</f>
        <v>1767966</v>
      </c>
      <c r="E3447">
        <v>2</v>
      </c>
      <c r="F3447" t="s">
        <v>4835</v>
      </c>
    </row>
    <row r="3448" spans="1:6" x14ac:dyDescent="0.25">
      <c r="A3448" t="s">
        <v>4201</v>
      </c>
      <c r="B3448" t="s">
        <v>1220</v>
      </c>
      <c r="C3448" t="s">
        <v>883</v>
      </c>
      <c r="D3448" t="str">
        <f>HYPERLINK("http://service.sap.com/sap/support/notes/1772152","1772152")</f>
        <v>1772152</v>
      </c>
      <c r="E3448">
        <v>5</v>
      </c>
      <c r="F3448" t="s">
        <v>4836</v>
      </c>
    </row>
    <row r="3449" spans="1:6" x14ac:dyDescent="0.25">
      <c r="A3449" t="s">
        <v>4201</v>
      </c>
      <c r="B3449" t="s">
        <v>1220</v>
      </c>
      <c r="C3449" t="s">
        <v>883</v>
      </c>
      <c r="D3449" t="str">
        <f>HYPERLINK("http://service.sap.com/sap/support/notes/1779600","1779600")</f>
        <v>1779600</v>
      </c>
      <c r="E3449">
        <v>2</v>
      </c>
      <c r="F3449" t="s">
        <v>4837</v>
      </c>
    </row>
    <row r="3450" spans="1:6" x14ac:dyDescent="0.25">
      <c r="A3450" t="s">
        <v>4201</v>
      </c>
      <c r="B3450" t="s">
        <v>1220</v>
      </c>
      <c r="C3450" t="s">
        <v>883</v>
      </c>
      <c r="D3450" t="str">
        <f>HYPERLINK("http://service.sap.com/sap/support/notes/1779644","1779644")</f>
        <v>1779644</v>
      </c>
      <c r="E3450">
        <v>2</v>
      </c>
      <c r="F3450" t="s">
        <v>4838</v>
      </c>
    </row>
    <row r="3451" spans="1:6" x14ac:dyDescent="0.25">
      <c r="A3451" t="s">
        <v>4201</v>
      </c>
      <c r="B3451" t="s">
        <v>1220</v>
      </c>
      <c r="C3451" t="s">
        <v>883</v>
      </c>
      <c r="D3451" t="str">
        <f>HYPERLINK("http://service.sap.com/sap/support/notes/1781380","1781380")</f>
        <v>1781380</v>
      </c>
      <c r="E3451">
        <v>2</v>
      </c>
      <c r="F3451" t="s">
        <v>4839</v>
      </c>
    </row>
    <row r="3452" spans="1:6" x14ac:dyDescent="0.25">
      <c r="A3452" t="s">
        <v>4201</v>
      </c>
      <c r="B3452" t="s">
        <v>1220</v>
      </c>
      <c r="C3452" t="s">
        <v>883</v>
      </c>
      <c r="D3452" t="str">
        <f>HYPERLINK("http://service.sap.com/sap/support/notes/1784488","1784488")</f>
        <v>1784488</v>
      </c>
      <c r="E3452">
        <v>1</v>
      </c>
      <c r="F3452" t="s">
        <v>4840</v>
      </c>
    </row>
    <row r="3453" spans="1:6" x14ac:dyDescent="0.25">
      <c r="A3453" t="s">
        <v>4201</v>
      </c>
      <c r="B3453" t="s">
        <v>1220</v>
      </c>
      <c r="C3453" t="s">
        <v>883</v>
      </c>
      <c r="D3453" t="str">
        <f>HYPERLINK("http://service.sap.com/sap/support/notes/1785715","1785715")</f>
        <v>1785715</v>
      </c>
      <c r="E3453">
        <v>1</v>
      </c>
      <c r="F3453" t="s">
        <v>4841</v>
      </c>
    </row>
    <row r="3454" spans="1:6" x14ac:dyDescent="0.25">
      <c r="A3454" t="s">
        <v>4201</v>
      </c>
      <c r="B3454" t="s">
        <v>1220</v>
      </c>
      <c r="C3454" t="s">
        <v>883</v>
      </c>
      <c r="D3454" t="str">
        <f>HYPERLINK("http://service.sap.com/sap/support/notes/1788572","1788572")</f>
        <v>1788572</v>
      </c>
      <c r="E3454">
        <v>1</v>
      </c>
      <c r="F3454" t="s">
        <v>4842</v>
      </c>
    </row>
    <row r="3455" spans="1:6" x14ac:dyDescent="0.25">
      <c r="A3455" t="s">
        <v>4201</v>
      </c>
      <c r="B3455" t="s">
        <v>1220</v>
      </c>
      <c r="C3455" t="s">
        <v>883</v>
      </c>
      <c r="D3455" t="str">
        <f>HYPERLINK("http://service.sap.com/sap/support/notes/1790998","1790998")</f>
        <v>1790998</v>
      </c>
      <c r="E3455">
        <v>1</v>
      </c>
      <c r="F3455" t="s">
        <v>4843</v>
      </c>
    </row>
    <row r="3456" spans="1:6" x14ac:dyDescent="0.25">
      <c r="A3456" t="s">
        <v>4201</v>
      </c>
      <c r="B3456" t="s">
        <v>1264</v>
      </c>
      <c r="C3456" t="s">
        <v>891</v>
      </c>
      <c r="D3456" t="str">
        <f>HYPERLINK("http://service.sap.com/sap/support/notes/1701094","1701094")</f>
        <v>1701094</v>
      </c>
      <c r="E3456">
        <v>1</v>
      </c>
      <c r="F3456" t="s">
        <v>1265</v>
      </c>
    </row>
    <row r="3457" spans="1:6" x14ac:dyDescent="0.25">
      <c r="A3457" t="s">
        <v>4201</v>
      </c>
      <c r="B3457" t="s">
        <v>1264</v>
      </c>
      <c r="C3457" t="s">
        <v>891</v>
      </c>
      <c r="D3457" t="str">
        <f>HYPERLINK("http://service.sap.com/sap/support/notes/1749371","1749371")</f>
        <v>1749371</v>
      </c>
      <c r="E3457">
        <v>2</v>
      </c>
      <c r="F3457" t="s">
        <v>4844</v>
      </c>
    </row>
    <row r="3458" spans="1:6" x14ac:dyDescent="0.25">
      <c r="A3458" t="s">
        <v>4201</v>
      </c>
      <c r="B3458" t="s">
        <v>1264</v>
      </c>
      <c r="C3458" t="s">
        <v>891</v>
      </c>
      <c r="D3458" t="str">
        <f>HYPERLINK("http://service.sap.com/sap/support/notes/1771071","1771071")</f>
        <v>1771071</v>
      </c>
      <c r="E3458">
        <v>5</v>
      </c>
      <c r="F3458" t="s">
        <v>4845</v>
      </c>
    </row>
    <row r="3459" spans="1:6" x14ac:dyDescent="0.25">
      <c r="A3459" t="s">
        <v>4201</v>
      </c>
      <c r="B3459" t="s">
        <v>1264</v>
      </c>
      <c r="C3459" t="s">
        <v>891</v>
      </c>
      <c r="D3459" t="str">
        <f>HYPERLINK("http://service.sap.com/sap/support/notes/1772031","1772031")</f>
        <v>1772031</v>
      </c>
      <c r="E3459">
        <v>1</v>
      </c>
      <c r="F3459" t="s">
        <v>4846</v>
      </c>
    </row>
    <row r="3460" spans="1:6" x14ac:dyDescent="0.25">
      <c r="A3460" t="s">
        <v>4201</v>
      </c>
      <c r="B3460" t="s">
        <v>1264</v>
      </c>
      <c r="C3460" t="s">
        <v>891</v>
      </c>
      <c r="D3460" t="str">
        <f>HYPERLINK("http://service.sap.com/sap/support/notes/1775800","1775800")</f>
        <v>1775800</v>
      </c>
      <c r="E3460">
        <v>1</v>
      </c>
      <c r="F3460" t="s">
        <v>4847</v>
      </c>
    </row>
    <row r="3461" spans="1:6" x14ac:dyDescent="0.25">
      <c r="A3461" t="s">
        <v>4201</v>
      </c>
      <c r="B3461" t="s">
        <v>1264</v>
      </c>
      <c r="C3461" t="s">
        <v>891</v>
      </c>
      <c r="D3461" t="str">
        <f>HYPERLINK("http://service.sap.com/sap/support/notes/1775846","1775846")</f>
        <v>1775846</v>
      </c>
      <c r="E3461">
        <v>2</v>
      </c>
      <c r="F3461" t="s">
        <v>4848</v>
      </c>
    </row>
    <row r="3462" spans="1:6" x14ac:dyDescent="0.25">
      <c r="A3462" t="s">
        <v>4201</v>
      </c>
      <c r="B3462" t="s">
        <v>1264</v>
      </c>
      <c r="C3462" t="s">
        <v>891</v>
      </c>
      <c r="D3462" t="str">
        <f>HYPERLINK("http://service.sap.com/sap/support/notes/1787016","1787016")</f>
        <v>1787016</v>
      </c>
      <c r="E3462">
        <v>2</v>
      </c>
      <c r="F3462" t="s">
        <v>4849</v>
      </c>
    </row>
    <row r="3463" spans="1:6" x14ac:dyDescent="0.25">
      <c r="A3463" t="s">
        <v>4201</v>
      </c>
      <c r="B3463" t="s">
        <v>1264</v>
      </c>
      <c r="C3463" t="s">
        <v>891</v>
      </c>
      <c r="D3463" t="str">
        <f>HYPERLINK("http://service.sap.com/sap/support/notes/1790403","1790403")</f>
        <v>1790403</v>
      </c>
      <c r="E3463">
        <v>1</v>
      </c>
      <c r="F3463" t="s">
        <v>4850</v>
      </c>
    </row>
    <row r="3464" spans="1:6" x14ac:dyDescent="0.25">
      <c r="A3464" t="s">
        <v>4201</v>
      </c>
      <c r="B3464" t="s">
        <v>1264</v>
      </c>
      <c r="C3464" t="s">
        <v>891</v>
      </c>
      <c r="D3464" t="str">
        <f>HYPERLINK("http://service.sap.com/sap/support/notes/1792645","1792645")</f>
        <v>1792645</v>
      </c>
      <c r="E3464">
        <v>1</v>
      </c>
      <c r="F3464" t="s">
        <v>4851</v>
      </c>
    </row>
    <row r="3465" spans="1:6" x14ac:dyDescent="0.25">
      <c r="A3465" t="s">
        <v>4201</v>
      </c>
      <c r="B3465" t="s">
        <v>1269</v>
      </c>
      <c r="C3465" t="s">
        <v>902</v>
      </c>
      <c r="D3465" t="str">
        <f>HYPERLINK("http://service.sap.com/sap/support/notes/670891","670891")</f>
        <v>670891</v>
      </c>
      <c r="E3465">
        <v>3</v>
      </c>
      <c r="F3465" t="s">
        <v>4852</v>
      </c>
    </row>
    <row r="3466" spans="1:6" x14ac:dyDescent="0.25">
      <c r="A3466" t="s">
        <v>4201</v>
      </c>
      <c r="B3466" t="s">
        <v>1272</v>
      </c>
      <c r="C3466" t="s">
        <v>29</v>
      </c>
      <c r="D3466" t="str">
        <f>HYPERLINK("http://service.sap.com/sap/support/notes/1725173","1725173")</f>
        <v>1725173</v>
      </c>
      <c r="E3466">
        <v>2</v>
      </c>
      <c r="F3466" t="s">
        <v>4853</v>
      </c>
    </row>
    <row r="3467" spans="1:6" x14ac:dyDescent="0.25">
      <c r="A3467" t="s">
        <v>4201</v>
      </c>
      <c r="B3467" t="s">
        <v>1272</v>
      </c>
      <c r="C3467" t="s">
        <v>29</v>
      </c>
      <c r="D3467" t="str">
        <f>HYPERLINK("http://service.sap.com/sap/support/notes/1773072","1773072")</f>
        <v>1773072</v>
      </c>
      <c r="E3467">
        <v>1</v>
      </c>
      <c r="F3467" t="s">
        <v>4854</v>
      </c>
    </row>
    <row r="3468" spans="1:6" x14ac:dyDescent="0.25">
      <c r="A3468" t="s">
        <v>4201</v>
      </c>
      <c r="B3468" t="s">
        <v>4855</v>
      </c>
      <c r="C3468" t="s">
        <v>4856</v>
      </c>
      <c r="D3468" t="str">
        <f>HYPERLINK("http://service.sap.com/sap/support/notes/1713083","1713083")</f>
        <v>1713083</v>
      </c>
      <c r="E3468">
        <v>3</v>
      </c>
      <c r="F3468" t="s">
        <v>4857</v>
      </c>
    </row>
    <row r="3469" spans="1:6" x14ac:dyDescent="0.25">
      <c r="A3469" t="s">
        <v>4201</v>
      </c>
      <c r="B3469" t="s">
        <v>4855</v>
      </c>
      <c r="C3469" t="s">
        <v>4856</v>
      </c>
      <c r="D3469" t="str">
        <f>HYPERLINK("http://service.sap.com/sap/support/notes/1752177","1752177")</f>
        <v>1752177</v>
      </c>
      <c r="E3469">
        <v>3</v>
      </c>
      <c r="F3469" t="s">
        <v>4858</v>
      </c>
    </row>
    <row r="3470" spans="1:6" x14ac:dyDescent="0.25">
      <c r="A3470" t="s">
        <v>4201</v>
      </c>
      <c r="B3470" t="s">
        <v>1277</v>
      </c>
      <c r="C3470" t="s">
        <v>937</v>
      </c>
      <c r="D3470" t="str">
        <f>HYPERLINK("http://service.sap.com/sap/support/notes/1776666","1776666")</f>
        <v>1776666</v>
      </c>
      <c r="E3470">
        <v>1</v>
      </c>
      <c r="F3470" t="s">
        <v>4859</v>
      </c>
    </row>
    <row r="3471" spans="1:6" x14ac:dyDescent="0.25">
      <c r="A3471" t="s">
        <v>4201</v>
      </c>
      <c r="B3471" t="s">
        <v>1277</v>
      </c>
      <c r="C3471" t="s">
        <v>937</v>
      </c>
      <c r="D3471" t="str">
        <f>HYPERLINK("http://service.sap.com/sap/support/notes/1779695","1779695")</f>
        <v>1779695</v>
      </c>
      <c r="E3471">
        <v>1</v>
      </c>
      <c r="F3471" t="s">
        <v>4860</v>
      </c>
    </row>
    <row r="3472" spans="1:6" x14ac:dyDescent="0.25">
      <c r="A3472" t="s">
        <v>4201</v>
      </c>
      <c r="B3472" t="s">
        <v>1277</v>
      </c>
      <c r="C3472" t="s">
        <v>937</v>
      </c>
      <c r="D3472" t="str">
        <f>HYPERLINK("http://service.sap.com/sap/support/notes/1782105","1782105")</f>
        <v>1782105</v>
      </c>
      <c r="E3472">
        <v>1</v>
      </c>
      <c r="F3472" t="s">
        <v>4861</v>
      </c>
    </row>
    <row r="3473" spans="1:6" x14ac:dyDescent="0.25">
      <c r="A3473" t="s">
        <v>4201</v>
      </c>
      <c r="B3473" t="s">
        <v>1282</v>
      </c>
      <c r="C3473" t="s">
        <v>1283</v>
      </c>
      <c r="D3473" t="str">
        <f>HYPERLINK("http://service.sap.com/sap/support/notes/1772143","1772143")</f>
        <v>1772143</v>
      </c>
      <c r="E3473">
        <v>2</v>
      </c>
      <c r="F3473" t="s">
        <v>4862</v>
      </c>
    </row>
    <row r="3474" spans="1:6" x14ac:dyDescent="0.25">
      <c r="A3474" t="s">
        <v>4201</v>
      </c>
      <c r="B3474" t="s">
        <v>1282</v>
      </c>
      <c r="C3474" t="s">
        <v>1283</v>
      </c>
      <c r="D3474" t="str">
        <f>HYPERLINK("http://service.sap.com/sap/support/notes/1773598","1773598")</f>
        <v>1773598</v>
      </c>
      <c r="E3474">
        <v>1</v>
      </c>
      <c r="F3474" t="s">
        <v>4863</v>
      </c>
    </row>
    <row r="3475" spans="1:6" x14ac:dyDescent="0.25">
      <c r="A3475" t="s">
        <v>4201</v>
      </c>
      <c r="B3475" t="s">
        <v>1282</v>
      </c>
      <c r="C3475" t="s">
        <v>1283</v>
      </c>
      <c r="D3475" t="str">
        <f>HYPERLINK("http://service.sap.com/sap/support/notes/1776642","1776642")</f>
        <v>1776642</v>
      </c>
      <c r="E3475">
        <v>1</v>
      </c>
      <c r="F3475" t="s">
        <v>4864</v>
      </c>
    </row>
    <row r="3476" spans="1:6" x14ac:dyDescent="0.25">
      <c r="A3476" t="s">
        <v>4201</v>
      </c>
      <c r="B3476" t="s">
        <v>1282</v>
      </c>
      <c r="C3476" t="s">
        <v>1283</v>
      </c>
      <c r="D3476" t="str">
        <f>HYPERLINK("http://service.sap.com/sap/support/notes/1776819","1776819")</f>
        <v>1776819</v>
      </c>
      <c r="E3476">
        <v>2</v>
      </c>
      <c r="F3476" t="s">
        <v>4865</v>
      </c>
    </row>
    <row r="3477" spans="1:6" x14ac:dyDescent="0.25">
      <c r="A3477" t="s">
        <v>4201</v>
      </c>
      <c r="B3477" t="s">
        <v>1287</v>
      </c>
      <c r="C3477" t="s">
        <v>824</v>
      </c>
      <c r="D3477" t="str">
        <f>HYPERLINK("http://service.sap.com/sap/support/notes/1696778","1696778")</f>
        <v>1696778</v>
      </c>
      <c r="E3477">
        <v>13</v>
      </c>
      <c r="F3477" t="s">
        <v>4866</v>
      </c>
    </row>
    <row r="3478" spans="1:6" x14ac:dyDescent="0.25">
      <c r="A3478" t="s">
        <v>4201</v>
      </c>
      <c r="B3478" t="s">
        <v>1287</v>
      </c>
      <c r="C3478" t="s">
        <v>824</v>
      </c>
      <c r="D3478" t="str">
        <f>HYPERLINK("http://service.sap.com/sap/support/notes/1701747","1701747")</f>
        <v>1701747</v>
      </c>
      <c r="E3478">
        <v>5</v>
      </c>
      <c r="F3478" t="s">
        <v>4867</v>
      </c>
    </row>
    <row r="3479" spans="1:6" x14ac:dyDescent="0.25">
      <c r="A3479" t="s">
        <v>4201</v>
      </c>
      <c r="B3479" t="s">
        <v>1287</v>
      </c>
      <c r="C3479" t="s">
        <v>824</v>
      </c>
      <c r="D3479" t="str">
        <f>HYPERLINK("http://service.sap.com/sap/support/notes/1712986","1712986")</f>
        <v>1712986</v>
      </c>
      <c r="E3479">
        <v>1</v>
      </c>
      <c r="F3479" t="s">
        <v>4868</v>
      </c>
    </row>
    <row r="3480" spans="1:6" x14ac:dyDescent="0.25">
      <c r="A3480" t="s">
        <v>4201</v>
      </c>
      <c r="B3480" t="s">
        <v>1287</v>
      </c>
      <c r="C3480" t="s">
        <v>824</v>
      </c>
      <c r="D3480" t="str">
        <f>HYPERLINK("http://service.sap.com/sap/support/notes/1755708","1755708")</f>
        <v>1755708</v>
      </c>
      <c r="E3480">
        <v>3</v>
      </c>
      <c r="F3480" t="s">
        <v>4869</v>
      </c>
    </row>
    <row r="3481" spans="1:6" x14ac:dyDescent="0.25">
      <c r="A3481" t="s">
        <v>4201</v>
      </c>
      <c r="B3481" t="s">
        <v>1287</v>
      </c>
      <c r="C3481" t="s">
        <v>824</v>
      </c>
      <c r="D3481" t="str">
        <f>HYPERLINK("http://service.sap.com/sap/support/notes/1760907","1760907")</f>
        <v>1760907</v>
      </c>
      <c r="E3481">
        <v>2</v>
      </c>
      <c r="F3481" t="s">
        <v>4870</v>
      </c>
    </row>
    <row r="3482" spans="1:6" x14ac:dyDescent="0.25">
      <c r="A3482" t="s">
        <v>4201</v>
      </c>
      <c r="B3482" t="s">
        <v>1287</v>
      </c>
      <c r="C3482" t="s">
        <v>824</v>
      </c>
      <c r="D3482" t="str">
        <f>HYPERLINK("http://service.sap.com/sap/support/notes/1762281","1762281")</f>
        <v>1762281</v>
      </c>
      <c r="E3482">
        <v>3</v>
      </c>
      <c r="F3482" t="s">
        <v>4871</v>
      </c>
    </row>
    <row r="3483" spans="1:6" x14ac:dyDescent="0.25">
      <c r="A3483" t="s">
        <v>4201</v>
      </c>
      <c r="B3483" t="s">
        <v>1287</v>
      </c>
      <c r="C3483" t="s">
        <v>824</v>
      </c>
      <c r="D3483" t="str">
        <f>HYPERLINK("http://service.sap.com/sap/support/notes/1764361","1764361")</f>
        <v>1764361</v>
      </c>
      <c r="E3483">
        <v>3</v>
      </c>
      <c r="F3483" t="s">
        <v>4872</v>
      </c>
    </row>
    <row r="3484" spans="1:6" x14ac:dyDescent="0.25">
      <c r="A3484" t="s">
        <v>4201</v>
      </c>
      <c r="B3484" t="s">
        <v>1287</v>
      </c>
      <c r="C3484" t="s">
        <v>824</v>
      </c>
      <c r="D3484" t="str">
        <f>HYPERLINK("http://service.sap.com/sap/support/notes/1775504","1775504")</f>
        <v>1775504</v>
      </c>
      <c r="E3484">
        <v>2</v>
      </c>
      <c r="F3484" t="s">
        <v>4873</v>
      </c>
    </row>
    <row r="3485" spans="1:6" x14ac:dyDescent="0.25">
      <c r="A3485" t="s">
        <v>4201</v>
      </c>
      <c r="B3485" t="s">
        <v>1287</v>
      </c>
      <c r="C3485" t="s">
        <v>824</v>
      </c>
      <c r="D3485" t="str">
        <f>HYPERLINK("http://service.sap.com/sap/support/notes/1777810","1777810")</f>
        <v>1777810</v>
      </c>
      <c r="E3485">
        <v>1</v>
      </c>
      <c r="F3485" t="s">
        <v>4874</v>
      </c>
    </row>
    <row r="3486" spans="1:6" x14ac:dyDescent="0.25">
      <c r="A3486" t="s">
        <v>4201</v>
      </c>
      <c r="B3486" t="s">
        <v>1287</v>
      </c>
      <c r="C3486" t="s">
        <v>824</v>
      </c>
      <c r="D3486" t="str">
        <f>HYPERLINK("http://service.sap.com/sap/support/notes/1779489","1779489")</f>
        <v>1779489</v>
      </c>
      <c r="E3486">
        <v>2</v>
      </c>
      <c r="F3486" t="s">
        <v>4875</v>
      </c>
    </row>
    <row r="3487" spans="1:6" x14ac:dyDescent="0.25">
      <c r="A3487" t="s">
        <v>4201</v>
      </c>
      <c r="B3487" t="s">
        <v>1287</v>
      </c>
      <c r="C3487" t="s">
        <v>824</v>
      </c>
      <c r="D3487" t="str">
        <f>HYPERLINK("http://service.sap.com/sap/support/notes/1783693","1783693")</f>
        <v>1783693</v>
      </c>
      <c r="E3487">
        <v>2</v>
      </c>
      <c r="F3487" t="s">
        <v>4876</v>
      </c>
    </row>
    <row r="3488" spans="1:6" x14ac:dyDescent="0.25">
      <c r="A3488" t="s">
        <v>4201</v>
      </c>
      <c r="B3488" t="s">
        <v>1287</v>
      </c>
      <c r="C3488" t="s">
        <v>824</v>
      </c>
      <c r="D3488" t="str">
        <f>HYPERLINK("http://service.sap.com/sap/support/notes/1788558","1788558")</f>
        <v>1788558</v>
      </c>
      <c r="E3488">
        <v>2</v>
      </c>
      <c r="F3488" t="s">
        <v>4877</v>
      </c>
    </row>
    <row r="3489" spans="1:6" x14ac:dyDescent="0.25">
      <c r="A3489" t="s">
        <v>4201</v>
      </c>
      <c r="B3489" t="s">
        <v>1287</v>
      </c>
      <c r="C3489" t="s">
        <v>824</v>
      </c>
      <c r="D3489" t="str">
        <f>HYPERLINK("http://service.sap.com/sap/support/notes/1790490","1790490")</f>
        <v>1790490</v>
      </c>
      <c r="E3489">
        <v>6</v>
      </c>
      <c r="F3489" t="s">
        <v>4878</v>
      </c>
    </row>
    <row r="3490" spans="1:6" x14ac:dyDescent="0.25">
      <c r="A3490" t="s">
        <v>4201</v>
      </c>
      <c r="B3490" t="s">
        <v>1313</v>
      </c>
      <c r="C3490" t="s">
        <v>1314</v>
      </c>
    </row>
    <row r="3491" spans="1:6" x14ac:dyDescent="0.25">
      <c r="A3491" t="s">
        <v>4201</v>
      </c>
      <c r="B3491" t="s">
        <v>1315</v>
      </c>
      <c r="C3491" t="s">
        <v>1316</v>
      </c>
      <c r="D3491" t="str">
        <f>HYPERLINK("http://service.sap.com/sap/support/notes/1717810","1717810")</f>
        <v>1717810</v>
      </c>
      <c r="E3491">
        <v>2</v>
      </c>
      <c r="F3491" t="s">
        <v>4879</v>
      </c>
    </row>
    <row r="3492" spans="1:6" x14ac:dyDescent="0.25">
      <c r="A3492" t="s">
        <v>4201</v>
      </c>
      <c r="B3492" t="s">
        <v>1315</v>
      </c>
      <c r="C3492" t="s">
        <v>1316</v>
      </c>
      <c r="D3492" t="str">
        <f>HYPERLINK("http://service.sap.com/sap/support/notes/1733682","1733682")</f>
        <v>1733682</v>
      </c>
      <c r="E3492">
        <v>2</v>
      </c>
      <c r="F3492" t="s">
        <v>4880</v>
      </c>
    </row>
    <row r="3493" spans="1:6" x14ac:dyDescent="0.25">
      <c r="A3493" t="s">
        <v>4201</v>
      </c>
      <c r="B3493" t="s">
        <v>1315</v>
      </c>
      <c r="C3493" t="s">
        <v>1316</v>
      </c>
      <c r="D3493" t="str">
        <f>HYPERLINK("http://service.sap.com/sap/support/notes/1750870","1750870")</f>
        <v>1750870</v>
      </c>
      <c r="E3493">
        <v>3</v>
      </c>
      <c r="F3493" t="s">
        <v>4881</v>
      </c>
    </row>
    <row r="3494" spans="1:6" x14ac:dyDescent="0.25">
      <c r="A3494" t="s">
        <v>4201</v>
      </c>
      <c r="B3494" t="s">
        <v>1315</v>
      </c>
      <c r="C3494" t="s">
        <v>1316</v>
      </c>
      <c r="D3494" t="str">
        <f>HYPERLINK("http://service.sap.com/sap/support/notes/1752707","1752707")</f>
        <v>1752707</v>
      </c>
      <c r="E3494">
        <v>2</v>
      </c>
      <c r="F3494" t="s">
        <v>4882</v>
      </c>
    </row>
    <row r="3495" spans="1:6" x14ac:dyDescent="0.25">
      <c r="A3495" t="s">
        <v>4201</v>
      </c>
      <c r="B3495" t="s">
        <v>1315</v>
      </c>
      <c r="C3495" t="s">
        <v>1316</v>
      </c>
      <c r="D3495" t="str">
        <f>HYPERLINK("http://service.sap.com/sap/support/notes/1754638","1754638")</f>
        <v>1754638</v>
      </c>
      <c r="E3495">
        <v>3</v>
      </c>
      <c r="F3495" t="s">
        <v>4883</v>
      </c>
    </row>
    <row r="3496" spans="1:6" x14ac:dyDescent="0.25">
      <c r="A3496" t="s">
        <v>4201</v>
      </c>
      <c r="B3496" t="s">
        <v>1315</v>
      </c>
      <c r="C3496" t="s">
        <v>1316</v>
      </c>
      <c r="D3496" t="str">
        <f>HYPERLINK("http://service.sap.com/sap/support/notes/1773028","1773028")</f>
        <v>1773028</v>
      </c>
      <c r="E3496">
        <v>1</v>
      </c>
      <c r="F3496" t="s">
        <v>4884</v>
      </c>
    </row>
    <row r="3497" spans="1:6" x14ac:dyDescent="0.25">
      <c r="A3497" t="s">
        <v>4201</v>
      </c>
      <c r="B3497" t="s">
        <v>1315</v>
      </c>
      <c r="C3497" t="s">
        <v>1316</v>
      </c>
      <c r="D3497" t="str">
        <f>HYPERLINK("http://service.sap.com/sap/support/notes/1773965","1773965")</f>
        <v>1773965</v>
      </c>
      <c r="E3497">
        <v>2</v>
      </c>
      <c r="F3497" t="s">
        <v>4885</v>
      </c>
    </row>
    <row r="3498" spans="1:6" x14ac:dyDescent="0.25">
      <c r="A3498" t="s">
        <v>4201</v>
      </c>
      <c r="B3498" t="s">
        <v>1315</v>
      </c>
      <c r="C3498" t="s">
        <v>1316</v>
      </c>
      <c r="D3498" t="str">
        <f>HYPERLINK("http://service.sap.com/sap/support/notes/1775928","1775928")</f>
        <v>1775928</v>
      </c>
      <c r="E3498">
        <v>2</v>
      </c>
      <c r="F3498" t="s">
        <v>4886</v>
      </c>
    </row>
    <row r="3499" spans="1:6" x14ac:dyDescent="0.25">
      <c r="A3499" t="s">
        <v>4201</v>
      </c>
      <c r="B3499" t="s">
        <v>1315</v>
      </c>
      <c r="C3499" t="s">
        <v>1316</v>
      </c>
      <c r="D3499" t="str">
        <f>HYPERLINK("http://service.sap.com/sap/support/notes/1777433","1777433")</f>
        <v>1777433</v>
      </c>
      <c r="E3499">
        <v>3</v>
      </c>
      <c r="F3499" t="s">
        <v>4887</v>
      </c>
    </row>
    <row r="3500" spans="1:6" x14ac:dyDescent="0.25">
      <c r="A3500" t="s">
        <v>4201</v>
      </c>
      <c r="B3500" t="s">
        <v>1326</v>
      </c>
      <c r="C3500" t="s">
        <v>1327</v>
      </c>
      <c r="D3500" t="str">
        <f>HYPERLINK("http://service.sap.com/sap/support/notes/1629318","1629318")</f>
        <v>1629318</v>
      </c>
      <c r="E3500">
        <v>2</v>
      </c>
      <c r="F3500" t="s">
        <v>4888</v>
      </c>
    </row>
    <row r="3501" spans="1:6" x14ac:dyDescent="0.25">
      <c r="A3501" t="s">
        <v>4201</v>
      </c>
      <c r="B3501" t="s">
        <v>1326</v>
      </c>
      <c r="C3501" t="s">
        <v>1327</v>
      </c>
      <c r="D3501" t="str">
        <f>HYPERLINK("http://service.sap.com/sap/support/notes/1722628","1722628")</f>
        <v>1722628</v>
      </c>
      <c r="E3501">
        <v>3</v>
      </c>
      <c r="F3501" t="s">
        <v>4889</v>
      </c>
    </row>
    <row r="3502" spans="1:6" x14ac:dyDescent="0.25">
      <c r="A3502" t="s">
        <v>4201</v>
      </c>
      <c r="B3502" t="s">
        <v>1326</v>
      </c>
      <c r="C3502" t="s">
        <v>1327</v>
      </c>
      <c r="D3502" t="str">
        <f>HYPERLINK("http://service.sap.com/sap/support/notes/1768369","1768369")</f>
        <v>1768369</v>
      </c>
      <c r="E3502">
        <v>2</v>
      </c>
      <c r="F3502" t="s">
        <v>4890</v>
      </c>
    </row>
    <row r="3503" spans="1:6" x14ac:dyDescent="0.25">
      <c r="A3503" t="s">
        <v>4201</v>
      </c>
      <c r="B3503" t="s">
        <v>1333</v>
      </c>
      <c r="C3503" t="s">
        <v>1334</v>
      </c>
      <c r="D3503" t="str">
        <f>HYPERLINK("http://service.sap.com/sap/support/notes/1707832","1707832")</f>
        <v>1707832</v>
      </c>
      <c r="E3503">
        <v>4</v>
      </c>
      <c r="F3503" t="s">
        <v>4891</v>
      </c>
    </row>
    <row r="3504" spans="1:6" x14ac:dyDescent="0.25">
      <c r="A3504" t="s">
        <v>4201</v>
      </c>
      <c r="B3504" t="s">
        <v>1333</v>
      </c>
      <c r="C3504" t="s">
        <v>1334</v>
      </c>
      <c r="D3504" t="str">
        <f>HYPERLINK("http://service.sap.com/sap/support/notes/1772402","1772402")</f>
        <v>1772402</v>
      </c>
      <c r="E3504">
        <v>2</v>
      </c>
      <c r="F3504" t="s">
        <v>4892</v>
      </c>
    </row>
    <row r="3505" spans="1:6" x14ac:dyDescent="0.25">
      <c r="A3505" t="s">
        <v>4201</v>
      </c>
      <c r="B3505" t="s">
        <v>1336</v>
      </c>
      <c r="C3505" t="s">
        <v>1327</v>
      </c>
      <c r="D3505" t="str">
        <f>HYPERLINK("http://service.sap.com/sap/support/notes/1744690","1744690")</f>
        <v>1744690</v>
      </c>
      <c r="E3505">
        <v>1</v>
      </c>
      <c r="F3505" t="s">
        <v>4893</v>
      </c>
    </row>
    <row r="3506" spans="1:6" x14ac:dyDescent="0.25">
      <c r="A3506" t="s">
        <v>4201</v>
      </c>
      <c r="B3506" t="s">
        <v>1336</v>
      </c>
      <c r="C3506" t="s">
        <v>1327</v>
      </c>
      <c r="D3506" t="str">
        <f>HYPERLINK("http://service.sap.com/sap/support/notes/1783742","1783742")</f>
        <v>1783742</v>
      </c>
      <c r="E3506">
        <v>2</v>
      </c>
      <c r="F3506" t="s">
        <v>4894</v>
      </c>
    </row>
    <row r="3507" spans="1:6" x14ac:dyDescent="0.25">
      <c r="A3507" t="s">
        <v>4201</v>
      </c>
      <c r="B3507" t="s">
        <v>1336</v>
      </c>
      <c r="C3507" t="s">
        <v>1327</v>
      </c>
      <c r="D3507" t="str">
        <f>HYPERLINK("http://service.sap.com/sap/support/notes/1787464","1787464")</f>
        <v>1787464</v>
      </c>
      <c r="E3507">
        <v>1</v>
      </c>
      <c r="F3507" t="s">
        <v>4895</v>
      </c>
    </row>
    <row r="3508" spans="1:6" x14ac:dyDescent="0.25">
      <c r="A3508" t="s">
        <v>4201</v>
      </c>
      <c r="B3508" t="s">
        <v>1336</v>
      </c>
      <c r="C3508" t="s">
        <v>1327</v>
      </c>
      <c r="D3508" t="str">
        <f>HYPERLINK("http://service.sap.com/sap/support/notes/1793304","1793304")</f>
        <v>1793304</v>
      </c>
      <c r="E3508">
        <v>1</v>
      </c>
      <c r="F3508" t="s">
        <v>4896</v>
      </c>
    </row>
    <row r="3509" spans="1:6" x14ac:dyDescent="0.25">
      <c r="A3509" t="s">
        <v>4201</v>
      </c>
      <c r="B3509" t="s">
        <v>1336</v>
      </c>
      <c r="C3509" t="s">
        <v>1327</v>
      </c>
      <c r="D3509" t="str">
        <f>HYPERLINK("http://service.sap.com/sap/support/notes/1794458","1794458")</f>
        <v>1794458</v>
      </c>
      <c r="E3509">
        <v>1</v>
      </c>
      <c r="F3509" t="s">
        <v>4897</v>
      </c>
    </row>
    <row r="3510" spans="1:6" x14ac:dyDescent="0.25">
      <c r="A3510" t="s">
        <v>4201</v>
      </c>
      <c r="B3510" t="s">
        <v>1351</v>
      </c>
      <c r="C3510" t="s">
        <v>1327</v>
      </c>
      <c r="D3510" t="str">
        <f>HYPERLINK("http://service.sap.com/sap/support/notes/1772403","1772403")</f>
        <v>1772403</v>
      </c>
      <c r="E3510">
        <v>2</v>
      </c>
      <c r="F3510" t="s">
        <v>4898</v>
      </c>
    </row>
    <row r="3511" spans="1:6" x14ac:dyDescent="0.25">
      <c r="A3511" t="s">
        <v>4201</v>
      </c>
      <c r="B3511" t="s">
        <v>1351</v>
      </c>
      <c r="C3511" t="s">
        <v>1327</v>
      </c>
      <c r="D3511" t="str">
        <f>HYPERLINK("http://service.sap.com/sap/support/notes/1773094","1773094")</f>
        <v>1773094</v>
      </c>
      <c r="E3511">
        <v>2</v>
      </c>
      <c r="F3511" t="s">
        <v>4899</v>
      </c>
    </row>
    <row r="3512" spans="1:6" x14ac:dyDescent="0.25">
      <c r="A3512" t="s">
        <v>4201</v>
      </c>
      <c r="B3512" t="s">
        <v>1351</v>
      </c>
      <c r="C3512" t="s">
        <v>1327</v>
      </c>
      <c r="D3512" t="str">
        <f>HYPERLINK("http://service.sap.com/sap/support/notes/1774057","1774057")</f>
        <v>1774057</v>
      </c>
      <c r="E3512">
        <v>2</v>
      </c>
      <c r="F3512" t="s">
        <v>4900</v>
      </c>
    </row>
    <row r="3513" spans="1:6" x14ac:dyDescent="0.25">
      <c r="A3513" t="s">
        <v>4201</v>
      </c>
      <c r="B3513" t="s">
        <v>1351</v>
      </c>
      <c r="C3513" t="s">
        <v>1327</v>
      </c>
      <c r="D3513" t="str">
        <f>HYPERLINK("http://service.sap.com/sap/support/notes/1778408","1778408")</f>
        <v>1778408</v>
      </c>
      <c r="E3513">
        <v>1</v>
      </c>
      <c r="F3513" t="s">
        <v>4901</v>
      </c>
    </row>
    <row r="3514" spans="1:6" x14ac:dyDescent="0.25">
      <c r="A3514" t="s">
        <v>4201</v>
      </c>
      <c r="B3514" t="s">
        <v>1351</v>
      </c>
      <c r="C3514" t="s">
        <v>1327</v>
      </c>
      <c r="D3514" t="str">
        <f>HYPERLINK("http://service.sap.com/sap/support/notes/1782671","1782671")</f>
        <v>1782671</v>
      </c>
      <c r="E3514">
        <v>6</v>
      </c>
      <c r="F3514" t="s">
        <v>4902</v>
      </c>
    </row>
    <row r="3515" spans="1:6" x14ac:dyDescent="0.25">
      <c r="A3515" t="s">
        <v>4201</v>
      </c>
      <c r="B3515" t="s">
        <v>1351</v>
      </c>
      <c r="C3515" t="s">
        <v>1327</v>
      </c>
      <c r="D3515" t="str">
        <f>HYPERLINK("http://service.sap.com/sap/support/notes/1785239","1785239")</f>
        <v>1785239</v>
      </c>
      <c r="E3515">
        <v>2</v>
      </c>
      <c r="F3515" t="s">
        <v>4903</v>
      </c>
    </row>
    <row r="3516" spans="1:6" x14ac:dyDescent="0.25">
      <c r="A3516" t="s">
        <v>4201</v>
      </c>
      <c r="B3516" t="s">
        <v>1351</v>
      </c>
      <c r="C3516" t="s">
        <v>1327</v>
      </c>
      <c r="D3516" t="str">
        <f>HYPERLINK("http://service.sap.com/sap/support/notes/1790465","1790465")</f>
        <v>1790465</v>
      </c>
      <c r="E3516">
        <v>1</v>
      </c>
      <c r="F3516" t="s">
        <v>4904</v>
      </c>
    </row>
    <row r="3517" spans="1:6" x14ac:dyDescent="0.25">
      <c r="A3517" t="s">
        <v>4201</v>
      </c>
      <c r="B3517" t="s">
        <v>1362</v>
      </c>
      <c r="C3517" t="s">
        <v>1327</v>
      </c>
      <c r="D3517" t="str">
        <f>HYPERLINK("http://service.sap.com/sap/support/notes/1766461","1766461")</f>
        <v>1766461</v>
      </c>
      <c r="E3517">
        <v>2</v>
      </c>
      <c r="F3517" t="s">
        <v>4905</v>
      </c>
    </row>
    <row r="3518" spans="1:6" x14ac:dyDescent="0.25">
      <c r="A3518" t="s">
        <v>4201</v>
      </c>
      <c r="B3518" t="s">
        <v>1362</v>
      </c>
      <c r="C3518" t="s">
        <v>1327</v>
      </c>
      <c r="D3518" t="str">
        <f>HYPERLINK("http://service.sap.com/sap/support/notes/1771400","1771400")</f>
        <v>1771400</v>
      </c>
      <c r="E3518">
        <v>2</v>
      </c>
      <c r="F3518" t="s">
        <v>4906</v>
      </c>
    </row>
    <row r="3519" spans="1:6" x14ac:dyDescent="0.25">
      <c r="A3519" t="s">
        <v>4201</v>
      </c>
      <c r="B3519" t="s">
        <v>1362</v>
      </c>
      <c r="C3519" t="s">
        <v>1327</v>
      </c>
      <c r="D3519" t="str">
        <f>HYPERLINK("http://service.sap.com/sap/support/notes/1775191","1775191")</f>
        <v>1775191</v>
      </c>
      <c r="E3519">
        <v>1</v>
      </c>
      <c r="F3519" t="s">
        <v>4907</v>
      </c>
    </row>
    <row r="3520" spans="1:6" x14ac:dyDescent="0.25">
      <c r="A3520" t="s">
        <v>4201</v>
      </c>
      <c r="B3520" t="s">
        <v>1362</v>
      </c>
      <c r="C3520" t="s">
        <v>1327</v>
      </c>
      <c r="D3520" t="str">
        <f>HYPERLINK("http://service.sap.com/sap/support/notes/1776393","1776393")</f>
        <v>1776393</v>
      </c>
      <c r="E3520">
        <v>1</v>
      </c>
      <c r="F3520" t="s">
        <v>4908</v>
      </c>
    </row>
    <row r="3521" spans="1:6" x14ac:dyDescent="0.25">
      <c r="A3521" t="s">
        <v>4201</v>
      </c>
      <c r="B3521" t="s">
        <v>1362</v>
      </c>
      <c r="C3521" t="s">
        <v>1327</v>
      </c>
      <c r="D3521" t="str">
        <f>HYPERLINK("http://service.sap.com/sap/support/notes/1780051","1780051")</f>
        <v>1780051</v>
      </c>
      <c r="E3521">
        <v>1</v>
      </c>
      <c r="F3521" t="s">
        <v>4909</v>
      </c>
    </row>
    <row r="3522" spans="1:6" x14ac:dyDescent="0.25">
      <c r="A3522" t="s">
        <v>4201</v>
      </c>
      <c r="B3522" t="s">
        <v>4910</v>
      </c>
      <c r="C3522" t="s">
        <v>4911</v>
      </c>
      <c r="D3522" t="str">
        <f>HYPERLINK("http://service.sap.com/sap/support/notes/1785129","1785129")</f>
        <v>1785129</v>
      </c>
      <c r="E3522">
        <v>1</v>
      </c>
      <c r="F3522" t="s">
        <v>4912</v>
      </c>
    </row>
    <row r="3523" spans="1:6" x14ac:dyDescent="0.25">
      <c r="A3523" t="s">
        <v>4201</v>
      </c>
      <c r="B3523" t="s">
        <v>1372</v>
      </c>
      <c r="C3523" t="s">
        <v>1373</v>
      </c>
    </row>
    <row r="3524" spans="1:6" x14ac:dyDescent="0.25">
      <c r="A3524" t="s">
        <v>4201</v>
      </c>
      <c r="B3524" t="s">
        <v>1374</v>
      </c>
      <c r="C3524" t="s">
        <v>824</v>
      </c>
    </row>
    <row r="3525" spans="1:6" x14ac:dyDescent="0.25">
      <c r="A3525" t="s">
        <v>4201</v>
      </c>
      <c r="B3525" t="s">
        <v>1375</v>
      </c>
      <c r="C3525" t="s">
        <v>1376</v>
      </c>
      <c r="D3525" t="str">
        <f>HYPERLINK("http://service.sap.com/sap/support/notes/1748700","1748700")</f>
        <v>1748700</v>
      </c>
      <c r="E3525">
        <v>9</v>
      </c>
      <c r="F3525" t="s">
        <v>4913</v>
      </c>
    </row>
    <row r="3526" spans="1:6" x14ac:dyDescent="0.25">
      <c r="A3526" t="s">
        <v>4201</v>
      </c>
      <c r="B3526" t="s">
        <v>1375</v>
      </c>
      <c r="C3526" t="s">
        <v>1376</v>
      </c>
      <c r="D3526" t="str">
        <f>HYPERLINK("http://service.sap.com/sap/support/notes/1759460","1759460")</f>
        <v>1759460</v>
      </c>
      <c r="E3526">
        <v>2</v>
      </c>
      <c r="F3526" t="s">
        <v>4914</v>
      </c>
    </row>
    <row r="3527" spans="1:6" x14ac:dyDescent="0.25">
      <c r="A3527" t="s">
        <v>4201</v>
      </c>
      <c r="B3527" t="s">
        <v>1375</v>
      </c>
      <c r="C3527" t="s">
        <v>1376</v>
      </c>
      <c r="D3527" t="str">
        <f>HYPERLINK("http://service.sap.com/sap/support/notes/1774741","1774741")</f>
        <v>1774741</v>
      </c>
      <c r="E3527">
        <v>16</v>
      </c>
      <c r="F3527" t="s">
        <v>4915</v>
      </c>
    </row>
    <row r="3528" spans="1:6" x14ac:dyDescent="0.25">
      <c r="A3528" t="s">
        <v>4201</v>
      </c>
      <c r="B3528" t="s">
        <v>1389</v>
      </c>
      <c r="C3528" t="s">
        <v>151</v>
      </c>
    </row>
    <row r="3529" spans="1:6" x14ac:dyDescent="0.25">
      <c r="A3529" t="s">
        <v>4201</v>
      </c>
      <c r="B3529" t="s">
        <v>4916</v>
      </c>
      <c r="C3529" t="s">
        <v>4917</v>
      </c>
      <c r="D3529" t="str">
        <f>HYPERLINK("http://service.sap.com/sap/support/notes/1783463","1783463")</f>
        <v>1783463</v>
      </c>
      <c r="E3529">
        <v>1</v>
      </c>
      <c r="F3529" t="s">
        <v>4918</v>
      </c>
    </row>
    <row r="3530" spans="1:6" x14ac:dyDescent="0.25">
      <c r="A3530" t="s">
        <v>4201</v>
      </c>
      <c r="B3530" t="s">
        <v>4919</v>
      </c>
      <c r="C3530" t="s">
        <v>4920</v>
      </c>
      <c r="D3530" t="str">
        <f>HYPERLINK("http://service.sap.com/sap/support/notes/1517356","1517356")</f>
        <v>1517356</v>
      </c>
      <c r="E3530">
        <v>3</v>
      </c>
      <c r="F3530" t="s">
        <v>4921</v>
      </c>
    </row>
    <row r="3531" spans="1:6" x14ac:dyDescent="0.25">
      <c r="A3531" t="s">
        <v>4201</v>
      </c>
      <c r="B3531" t="s">
        <v>1398</v>
      </c>
      <c r="C3531" t="s">
        <v>1399</v>
      </c>
      <c r="D3531" t="str">
        <f>HYPERLINK("http://service.sap.com/sap/support/notes/1778711","1778711")</f>
        <v>1778711</v>
      </c>
      <c r="E3531">
        <v>1</v>
      </c>
      <c r="F3531" t="s">
        <v>4922</v>
      </c>
    </row>
    <row r="3532" spans="1:6" x14ac:dyDescent="0.25">
      <c r="A3532" t="s">
        <v>4201</v>
      </c>
      <c r="B3532" t="s">
        <v>1404</v>
      </c>
      <c r="C3532" t="s">
        <v>1405</v>
      </c>
    </row>
    <row r="3533" spans="1:6" x14ac:dyDescent="0.25">
      <c r="A3533" t="s">
        <v>4201</v>
      </c>
      <c r="B3533" t="s">
        <v>1406</v>
      </c>
      <c r="C3533" t="s">
        <v>1407</v>
      </c>
      <c r="D3533" t="str">
        <f>HYPERLINK("http://service.sap.com/sap/support/notes/1776178","1776178")</f>
        <v>1776178</v>
      </c>
      <c r="E3533">
        <v>1</v>
      </c>
      <c r="F3533" t="s">
        <v>4923</v>
      </c>
    </row>
    <row r="3534" spans="1:6" x14ac:dyDescent="0.25">
      <c r="A3534" t="s">
        <v>4201</v>
      </c>
      <c r="B3534" t="s">
        <v>1406</v>
      </c>
      <c r="C3534" t="s">
        <v>1407</v>
      </c>
      <c r="D3534" t="str">
        <f>HYPERLINK("http://service.sap.com/sap/support/notes/1777015","1777015")</f>
        <v>1777015</v>
      </c>
      <c r="E3534">
        <v>1</v>
      </c>
      <c r="F3534" t="s">
        <v>4924</v>
      </c>
    </row>
    <row r="3535" spans="1:6" x14ac:dyDescent="0.25">
      <c r="A3535" t="s">
        <v>4201</v>
      </c>
      <c r="B3535" t="s">
        <v>1406</v>
      </c>
      <c r="C3535" t="s">
        <v>1407</v>
      </c>
      <c r="D3535" t="str">
        <f>HYPERLINK("http://service.sap.com/sap/support/notes/1793931","1793931")</f>
        <v>1793931</v>
      </c>
      <c r="E3535">
        <v>1</v>
      </c>
      <c r="F3535" t="s">
        <v>4925</v>
      </c>
    </row>
    <row r="3536" spans="1:6" x14ac:dyDescent="0.25">
      <c r="A3536" t="s">
        <v>4201</v>
      </c>
      <c r="B3536" t="s">
        <v>1406</v>
      </c>
      <c r="C3536" t="s">
        <v>1407</v>
      </c>
      <c r="D3536" t="str">
        <f>HYPERLINK("http://service.sap.com/sap/support/notes/1795549","1795549")</f>
        <v>1795549</v>
      </c>
      <c r="E3536">
        <v>1</v>
      </c>
      <c r="F3536" t="s">
        <v>4926</v>
      </c>
    </row>
    <row r="3537" spans="1:6" x14ac:dyDescent="0.25">
      <c r="A3537" t="s">
        <v>4201</v>
      </c>
      <c r="B3537" t="s">
        <v>1411</v>
      </c>
      <c r="C3537" t="s">
        <v>1412</v>
      </c>
    </row>
    <row r="3538" spans="1:6" x14ac:dyDescent="0.25">
      <c r="A3538" t="s">
        <v>4201</v>
      </c>
      <c r="B3538" t="s">
        <v>1413</v>
      </c>
      <c r="C3538" t="s">
        <v>1414</v>
      </c>
      <c r="D3538" t="str">
        <f>HYPERLINK("http://service.sap.com/sap/support/notes/1610148","1610148")</f>
        <v>1610148</v>
      </c>
      <c r="E3538">
        <v>1</v>
      </c>
      <c r="F3538" t="s">
        <v>1415</v>
      </c>
    </row>
    <row r="3539" spans="1:6" x14ac:dyDescent="0.25">
      <c r="A3539" t="s">
        <v>4201</v>
      </c>
      <c r="B3539" t="s">
        <v>1416</v>
      </c>
      <c r="C3539" t="s">
        <v>1417</v>
      </c>
    </row>
    <row r="3540" spans="1:6" x14ac:dyDescent="0.25">
      <c r="A3540" t="s">
        <v>4201</v>
      </c>
      <c r="B3540" t="s">
        <v>1418</v>
      </c>
      <c r="C3540" t="s">
        <v>1419</v>
      </c>
    </row>
    <row r="3541" spans="1:6" x14ac:dyDescent="0.25">
      <c r="A3541" t="s">
        <v>4201</v>
      </c>
      <c r="B3541" t="s">
        <v>1420</v>
      </c>
      <c r="C3541" t="s">
        <v>1421</v>
      </c>
      <c r="D3541" t="str">
        <f>HYPERLINK("http://service.sap.com/sap/support/notes/1768568","1768568")</f>
        <v>1768568</v>
      </c>
      <c r="E3541">
        <v>1</v>
      </c>
      <c r="F3541" t="s">
        <v>4927</v>
      </c>
    </row>
    <row r="3542" spans="1:6" x14ac:dyDescent="0.25">
      <c r="A3542" t="s">
        <v>4201</v>
      </c>
      <c r="B3542" t="s">
        <v>1420</v>
      </c>
      <c r="C3542" t="s">
        <v>1421</v>
      </c>
      <c r="D3542" t="str">
        <f>HYPERLINK("http://service.sap.com/sap/support/notes/1769669","1769669")</f>
        <v>1769669</v>
      </c>
      <c r="E3542">
        <v>1</v>
      </c>
      <c r="F3542" t="s">
        <v>4928</v>
      </c>
    </row>
    <row r="3543" spans="1:6" x14ac:dyDescent="0.25">
      <c r="A3543" t="s">
        <v>4201</v>
      </c>
      <c r="B3543" t="s">
        <v>1420</v>
      </c>
      <c r="C3543" t="s">
        <v>1421</v>
      </c>
      <c r="D3543" t="str">
        <f>HYPERLINK("http://service.sap.com/sap/support/notes/1769733","1769733")</f>
        <v>1769733</v>
      </c>
      <c r="E3543">
        <v>1</v>
      </c>
      <c r="F3543" t="s">
        <v>4929</v>
      </c>
    </row>
    <row r="3544" spans="1:6" x14ac:dyDescent="0.25">
      <c r="A3544" t="s">
        <v>4201</v>
      </c>
      <c r="B3544" t="s">
        <v>1420</v>
      </c>
      <c r="C3544" t="s">
        <v>1421</v>
      </c>
      <c r="D3544" t="str">
        <f>HYPERLINK("http://service.sap.com/sap/support/notes/1769823","1769823")</f>
        <v>1769823</v>
      </c>
      <c r="E3544">
        <v>2</v>
      </c>
      <c r="F3544" t="s">
        <v>4930</v>
      </c>
    </row>
    <row r="3545" spans="1:6" x14ac:dyDescent="0.25">
      <c r="A3545" t="s">
        <v>4201</v>
      </c>
      <c r="B3545" t="s">
        <v>1420</v>
      </c>
      <c r="C3545" t="s">
        <v>1421</v>
      </c>
      <c r="D3545" t="str">
        <f>HYPERLINK("http://service.sap.com/sap/support/notes/1769824","1769824")</f>
        <v>1769824</v>
      </c>
      <c r="E3545">
        <v>1</v>
      </c>
      <c r="F3545" t="s">
        <v>4931</v>
      </c>
    </row>
    <row r="3546" spans="1:6" x14ac:dyDescent="0.25">
      <c r="A3546" t="s">
        <v>4201</v>
      </c>
      <c r="B3546" t="s">
        <v>1420</v>
      </c>
      <c r="C3546" t="s">
        <v>1421</v>
      </c>
      <c r="D3546" t="str">
        <f>HYPERLINK("http://service.sap.com/sap/support/notes/1769826","1769826")</f>
        <v>1769826</v>
      </c>
      <c r="E3546">
        <v>1</v>
      </c>
      <c r="F3546" t="s">
        <v>4932</v>
      </c>
    </row>
    <row r="3547" spans="1:6" x14ac:dyDescent="0.25">
      <c r="A3547" t="s">
        <v>4201</v>
      </c>
      <c r="B3547" t="s">
        <v>1420</v>
      </c>
      <c r="C3547" t="s">
        <v>1421</v>
      </c>
      <c r="D3547" t="str">
        <f>HYPERLINK("http://service.sap.com/sap/support/notes/1774003","1774003")</f>
        <v>1774003</v>
      </c>
      <c r="E3547">
        <v>1</v>
      </c>
      <c r="F3547" t="s">
        <v>4933</v>
      </c>
    </row>
    <row r="3548" spans="1:6" x14ac:dyDescent="0.25">
      <c r="A3548" t="s">
        <v>4201</v>
      </c>
      <c r="B3548" t="s">
        <v>1420</v>
      </c>
      <c r="C3548" t="s">
        <v>1421</v>
      </c>
      <c r="D3548" t="str">
        <f>HYPERLINK("http://service.sap.com/sap/support/notes/1775004","1775004")</f>
        <v>1775004</v>
      </c>
      <c r="E3548">
        <v>1</v>
      </c>
      <c r="F3548" t="s">
        <v>4934</v>
      </c>
    </row>
    <row r="3549" spans="1:6" x14ac:dyDescent="0.25">
      <c r="A3549" t="s">
        <v>4201</v>
      </c>
      <c r="B3549" t="s">
        <v>1420</v>
      </c>
      <c r="C3549" t="s">
        <v>1421</v>
      </c>
      <c r="D3549" t="str">
        <f>HYPERLINK("http://service.sap.com/sap/support/notes/1776312","1776312")</f>
        <v>1776312</v>
      </c>
      <c r="E3549">
        <v>1</v>
      </c>
      <c r="F3549" t="s">
        <v>4935</v>
      </c>
    </row>
    <row r="3550" spans="1:6" x14ac:dyDescent="0.25">
      <c r="A3550" t="s">
        <v>4201</v>
      </c>
      <c r="B3550" t="s">
        <v>1420</v>
      </c>
      <c r="C3550" t="s">
        <v>1421</v>
      </c>
      <c r="D3550" t="str">
        <f>HYPERLINK("http://service.sap.com/sap/support/notes/1785674","1785674")</f>
        <v>1785674</v>
      </c>
      <c r="E3550">
        <v>1</v>
      </c>
      <c r="F3550" t="s">
        <v>4936</v>
      </c>
    </row>
    <row r="3551" spans="1:6" x14ac:dyDescent="0.25">
      <c r="A3551" t="s">
        <v>4201</v>
      </c>
      <c r="B3551" t="s">
        <v>1425</v>
      </c>
      <c r="C3551" t="s">
        <v>1426</v>
      </c>
      <c r="D3551" t="str">
        <f>HYPERLINK("http://service.sap.com/sap/support/notes/1739588","1739588")</f>
        <v>1739588</v>
      </c>
      <c r="E3551">
        <v>1</v>
      </c>
      <c r="F3551" t="s">
        <v>4937</v>
      </c>
    </row>
    <row r="3552" spans="1:6" x14ac:dyDescent="0.25">
      <c r="A3552" t="s">
        <v>4201</v>
      </c>
      <c r="B3552" t="s">
        <v>1425</v>
      </c>
      <c r="C3552" t="s">
        <v>1426</v>
      </c>
      <c r="D3552" t="str">
        <f>HYPERLINK("http://service.sap.com/sap/support/notes/1747636","1747636")</f>
        <v>1747636</v>
      </c>
      <c r="E3552">
        <v>2</v>
      </c>
      <c r="F3552" t="s">
        <v>4938</v>
      </c>
    </row>
    <row r="3553" spans="1:6" x14ac:dyDescent="0.25">
      <c r="A3553" t="s">
        <v>4201</v>
      </c>
      <c r="B3553" t="s">
        <v>1425</v>
      </c>
      <c r="C3553" t="s">
        <v>1426</v>
      </c>
      <c r="D3553" t="str">
        <f>HYPERLINK("http://service.sap.com/sap/support/notes/1765936","1765936")</f>
        <v>1765936</v>
      </c>
      <c r="E3553">
        <v>4</v>
      </c>
      <c r="F3553" t="s">
        <v>4939</v>
      </c>
    </row>
    <row r="3554" spans="1:6" x14ac:dyDescent="0.25">
      <c r="A3554" t="s">
        <v>4201</v>
      </c>
      <c r="B3554" t="s">
        <v>1425</v>
      </c>
      <c r="C3554" t="s">
        <v>1426</v>
      </c>
      <c r="D3554" t="str">
        <f>HYPERLINK("http://service.sap.com/sap/support/notes/1766819","1766819")</f>
        <v>1766819</v>
      </c>
      <c r="E3554">
        <v>2</v>
      </c>
      <c r="F3554" t="s">
        <v>4940</v>
      </c>
    </row>
    <row r="3555" spans="1:6" x14ac:dyDescent="0.25">
      <c r="A3555" t="s">
        <v>4201</v>
      </c>
      <c r="B3555" t="s">
        <v>1425</v>
      </c>
      <c r="C3555" t="s">
        <v>1426</v>
      </c>
      <c r="D3555" t="str">
        <f>HYPERLINK("http://service.sap.com/sap/support/notes/1767448","1767448")</f>
        <v>1767448</v>
      </c>
      <c r="E3555">
        <v>3</v>
      </c>
      <c r="F3555" t="s">
        <v>4941</v>
      </c>
    </row>
    <row r="3556" spans="1:6" x14ac:dyDescent="0.25">
      <c r="A3556" t="s">
        <v>4201</v>
      </c>
      <c r="B3556" t="s">
        <v>1425</v>
      </c>
      <c r="C3556" t="s">
        <v>1426</v>
      </c>
      <c r="D3556" t="str">
        <f>HYPERLINK("http://service.sap.com/sap/support/notes/1769711","1769711")</f>
        <v>1769711</v>
      </c>
      <c r="E3556">
        <v>2</v>
      </c>
      <c r="F3556" t="s">
        <v>4942</v>
      </c>
    </row>
    <row r="3557" spans="1:6" x14ac:dyDescent="0.25">
      <c r="A3557" t="s">
        <v>4201</v>
      </c>
      <c r="B3557" t="s">
        <v>1425</v>
      </c>
      <c r="C3557" t="s">
        <v>1426</v>
      </c>
      <c r="D3557" t="str">
        <f>HYPERLINK("http://service.sap.com/sap/support/notes/1774464","1774464")</f>
        <v>1774464</v>
      </c>
      <c r="E3557">
        <v>2</v>
      </c>
      <c r="F3557" t="s">
        <v>4943</v>
      </c>
    </row>
    <row r="3558" spans="1:6" x14ac:dyDescent="0.25">
      <c r="A3558" t="s">
        <v>4201</v>
      </c>
      <c r="B3558" t="s">
        <v>1425</v>
      </c>
      <c r="C3558" t="s">
        <v>1426</v>
      </c>
      <c r="D3558" t="str">
        <f>HYPERLINK("http://service.sap.com/sap/support/notes/1774599","1774599")</f>
        <v>1774599</v>
      </c>
      <c r="E3558">
        <v>2</v>
      </c>
      <c r="F3558" t="s">
        <v>4944</v>
      </c>
    </row>
    <row r="3559" spans="1:6" x14ac:dyDescent="0.25">
      <c r="A3559" t="s">
        <v>4201</v>
      </c>
      <c r="B3559" t="s">
        <v>1425</v>
      </c>
      <c r="C3559" t="s">
        <v>1426</v>
      </c>
      <c r="D3559" t="str">
        <f>HYPERLINK("http://service.sap.com/sap/support/notes/1793163","1793163")</f>
        <v>1793163</v>
      </c>
      <c r="E3559">
        <v>1</v>
      </c>
      <c r="F3559" t="s">
        <v>4945</v>
      </c>
    </row>
    <row r="3560" spans="1:6" x14ac:dyDescent="0.25">
      <c r="A3560" t="s">
        <v>4201</v>
      </c>
      <c r="B3560" t="s">
        <v>1444</v>
      </c>
      <c r="C3560" t="s">
        <v>1445</v>
      </c>
    </row>
    <row r="3561" spans="1:6" x14ac:dyDescent="0.25">
      <c r="A3561" t="s">
        <v>4201</v>
      </c>
      <c r="B3561" t="s">
        <v>1447</v>
      </c>
      <c r="C3561" t="s">
        <v>151</v>
      </c>
      <c r="D3561" t="str">
        <f>HYPERLINK("http://service.sap.com/sap/support/notes/1770040","1770040")</f>
        <v>1770040</v>
      </c>
      <c r="E3561">
        <v>5</v>
      </c>
      <c r="F3561" t="s">
        <v>4946</v>
      </c>
    </row>
    <row r="3562" spans="1:6" x14ac:dyDescent="0.25">
      <c r="A3562" t="s">
        <v>4201</v>
      </c>
      <c r="B3562" t="s">
        <v>4947</v>
      </c>
      <c r="C3562" t="s">
        <v>824</v>
      </c>
      <c r="D3562" t="str">
        <f>HYPERLINK("http://service.sap.com/sap/support/notes/1786737","1786737")</f>
        <v>1786737</v>
      </c>
      <c r="E3562">
        <v>1</v>
      </c>
      <c r="F3562" t="s">
        <v>4948</v>
      </c>
    </row>
    <row r="3563" spans="1:6" x14ac:dyDescent="0.25">
      <c r="A3563" t="s">
        <v>4201</v>
      </c>
      <c r="B3563" t="s">
        <v>1459</v>
      </c>
      <c r="C3563" t="s">
        <v>1460</v>
      </c>
      <c r="D3563" t="str">
        <f>HYPERLINK("http://service.sap.com/sap/support/notes/1763678","1763678")</f>
        <v>1763678</v>
      </c>
      <c r="E3563">
        <v>3</v>
      </c>
      <c r="F3563" t="s">
        <v>4949</v>
      </c>
    </row>
    <row r="3564" spans="1:6" x14ac:dyDescent="0.25">
      <c r="A3564" t="s">
        <v>4201</v>
      </c>
      <c r="B3564" t="s">
        <v>1459</v>
      </c>
      <c r="C3564" t="s">
        <v>1460</v>
      </c>
      <c r="D3564" t="str">
        <f>HYPERLINK("http://service.sap.com/sap/support/notes/1780978","1780978")</f>
        <v>1780978</v>
      </c>
      <c r="E3564">
        <v>3</v>
      </c>
      <c r="F3564" t="s">
        <v>4950</v>
      </c>
    </row>
    <row r="3565" spans="1:6" x14ac:dyDescent="0.25">
      <c r="A3565" t="s">
        <v>4201</v>
      </c>
      <c r="B3565" t="s">
        <v>1459</v>
      </c>
      <c r="C3565" t="s">
        <v>1460</v>
      </c>
      <c r="D3565" t="str">
        <f>HYPERLINK("http://service.sap.com/sap/support/notes/1784075","1784075")</f>
        <v>1784075</v>
      </c>
      <c r="E3565">
        <v>4</v>
      </c>
      <c r="F3565" t="s">
        <v>4951</v>
      </c>
    </row>
    <row r="3566" spans="1:6" x14ac:dyDescent="0.25">
      <c r="A3566" t="s">
        <v>4201</v>
      </c>
      <c r="B3566" t="s">
        <v>1459</v>
      </c>
      <c r="C3566" t="s">
        <v>1460</v>
      </c>
      <c r="D3566" t="str">
        <f>HYPERLINK("http://service.sap.com/sap/support/notes/1790280","1790280")</f>
        <v>1790280</v>
      </c>
      <c r="E3566">
        <v>1</v>
      </c>
      <c r="F3566" t="s">
        <v>4952</v>
      </c>
    </row>
    <row r="3567" spans="1:6" x14ac:dyDescent="0.25">
      <c r="A3567" t="s">
        <v>4201</v>
      </c>
      <c r="B3567" t="s">
        <v>1470</v>
      </c>
      <c r="C3567" t="s">
        <v>998</v>
      </c>
      <c r="D3567" t="str">
        <f>HYPERLINK("http://service.sap.com/sap/support/notes/1760626","1760626")</f>
        <v>1760626</v>
      </c>
      <c r="E3567">
        <v>2</v>
      </c>
      <c r="F3567" t="s">
        <v>4953</v>
      </c>
    </row>
    <row r="3568" spans="1:6" x14ac:dyDescent="0.25">
      <c r="A3568" t="s">
        <v>4201</v>
      </c>
      <c r="B3568" t="s">
        <v>1470</v>
      </c>
      <c r="C3568" t="s">
        <v>998</v>
      </c>
      <c r="D3568" t="str">
        <f>HYPERLINK("http://service.sap.com/sap/support/notes/1767231","1767231")</f>
        <v>1767231</v>
      </c>
      <c r="E3568">
        <v>2</v>
      </c>
      <c r="F3568" t="s">
        <v>4954</v>
      </c>
    </row>
    <row r="3569" spans="1:6" x14ac:dyDescent="0.25">
      <c r="A3569" t="s">
        <v>4201</v>
      </c>
      <c r="B3569" t="s">
        <v>1470</v>
      </c>
      <c r="C3569" t="s">
        <v>998</v>
      </c>
      <c r="D3569" t="str">
        <f>HYPERLINK("http://service.sap.com/sap/support/notes/1790342","1790342")</f>
        <v>1790342</v>
      </c>
      <c r="E3569">
        <v>1</v>
      </c>
      <c r="F3569" t="s">
        <v>4955</v>
      </c>
    </row>
    <row r="3570" spans="1:6" x14ac:dyDescent="0.25">
      <c r="A3570" t="s">
        <v>4201</v>
      </c>
      <c r="B3570" t="s">
        <v>1473</v>
      </c>
      <c r="C3570" t="s">
        <v>1474</v>
      </c>
      <c r="D3570" t="str">
        <f>HYPERLINK("http://service.sap.com/sap/support/notes/1775274","1775274")</f>
        <v>1775274</v>
      </c>
      <c r="E3570">
        <v>3</v>
      </c>
      <c r="F3570" t="s">
        <v>4956</v>
      </c>
    </row>
    <row r="3571" spans="1:6" x14ac:dyDescent="0.25">
      <c r="A3571" t="s">
        <v>4201</v>
      </c>
      <c r="B3571" t="s">
        <v>1473</v>
      </c>
      <c r="C3571" t="s">
        <v>1474</v>
      </c>
      <c r="D3571" t="str">
        <f>HYPERLINK("http://service.sap.com/sap/support/notes/1779765","1779765")</f>
        <v>1779765</v>
      </c>
      <c r="E3571">
        <v>1</v>
      </c>
      <c r="F3571" t="s">
        <v>4957</v>
      </c>
    </row>
    <row r="3572" spans="1:6" x14ac:dyDescent="0.25">
      <c r="A3572" t="s">
        <v>4201</v>
      </c>
      <c r="B3572" t="s">
        <v>4958</v>
      </c>
      <c r="C3572" t="s">
        <v>4959</v>
      </c>
      <c r="D3572" t="str">
        <f>HYPERLINK("http://service.sap.com/sap/support/notes/1722607","1722607")</f>
        <v>1722607</v>
      </c>
      <c r="E3572">
        <v>4</v>
      </c>
      <c r="F3572" t="s">
        <v>4960</v>
      </c>
    </row>
    <row r="3573" spans="1:6" x14ac:dyDescent="0.25">
      <c r="A3573" t="s">
        <v>4201</v>
      </c>
      <c r="B3573" t="s">
        <v>4961</v>
      </c>
      <c r="C3573" t="s">
        <v>4962</v>
      </c>
      <c r="D3573" t="str">
        <f>HYPERLINK("http://service.sap.com/sap/support/notes/1774581","1774581")</f>
        <v>1774581</v>
      </c>
      <c r="E3573">
        <v>1</v>
      </c>
      <c r="F3573" t="s">
        <v>4963</v>
      </c>
    </row>
    <row r="3574" spans="1:6" x14ac:dyDescent="0.25">
      <c r="A3574" t="s">
        <v>4201</v>
      </c>
      <c r="B3574" t="s">
        <v>1482</v>
      </c>
      <c r="C3574" t="s">
        <v>4964</v>
      </c>
    </row>
    <row r="3575" spans="1:6" x14ac:dyDescent="0.25">
      <c r="A3575" t="s">
        <v>4201</v>
      </c>
      <c r="B3575" t="s">
        <v>4965</v>
      </c>
      <c r="C3575" t="s">
        <v>4966</v>
      </c>
    </row>
    <row r="3576" spans="1:6" x14ac:dyDescent="0.25">
      <c r="A3576" t="s">
        <v>4201</v>
      </c>
      <c r="B3576" t="s">
        <v>4967</v>
      </c>
      <c r="C3576" t="s">
        <v>4968</v>
      </c>
      <c r="D3576" t="str">
        <f>HYPERLINK("http://service.sap.com/sap/support/notes/1787688","1787688")</f>
        <v>1787688</v>
      </c>
      <c r="E3576">
        <v>1</v>
      </c>
      <c r="F3576" t="s">
        <v>4969</v>
      </c>
    </row>
    <row r="3577" spans="1:6" x14ac:dyDescent="0.25">
      <c r="A3577" t="s">
        <v>4201</v>
      </c>
      <c r="B3577" t="s">
        <v>1488</v>
      </c>
      <c r="C3577" t="s">
        <v>1489</v>
      </c>
      <c r="D3577" t="str">
        <f>HYPERLINK("http://service.sap.com/sap/support/notes/1773551","1773551")</f>
        <v>1773551</v>
      </c>
      <c r="E3577">
        <v>1</v>
      </c>
      <c r="F3577" t="s">
        <v>4970</v>
      </c>
    </row>
    <row r="3578" spans="1:6" x14ac:dyDescent="0.25">
      <c r="A3578" t="s">
        <v>4201</v>
      </c>
      <c r="B3578" t="s">
        <v>1496</v>
      </c>
      <c r="C3578" t="s">
        <v>1497</v>
      </c>
    </row>
    <row r="3579" spans="1:6" x14ac:dyDescent="0.25">
      <c r="A3579" t="s">
        <v>4201</v>
      </c>
      <c r="B3579" t="s">
        <v>1498</v>
      </c>
      <c r="C3579" t="s">
        <v>126</v>
      </c>
      <c r="D3579" t="str">
        <f>HYPERLINK("http://service.sap.com/sap/support/notes/1753915","1753915")</f>
        <v>1753915</v>
      </c>
      <c r="E3579">
        <v>3</v>
      </c>
      <c r="F3579" t="s">
        <v>4971</v>
      </c>
    </row>
    <row r="3580" spans="1:6" x14ac:dyDescent="0.25">
      <c r="A3580" t="s">
        <v>4201</v>
      </c>
      <c r="B3580" t="s">
        <v>1498</v>
      </c>
      <c r="C3580" t="s">
        <v>126</v>
      </c>
      <c r="D3580" t="str">
        <f>HYPERLINK("http://service.sap.com/sap/support/notes/1777818","1777818")</f>
        <v>1777818</v>
      </c>
      <c r="E3580">
        <v>2</v>
      </c>
      <c r="F3580" t="s">
        <v>4972</v>
      </c>
    </row>
    <row r="3581" spans="1:6" x14ac:dyDescent="0.25">
      <c r="A3581" t="s">
        <v>4201</v>
      </c>
      <c r="B3581" t="s">
        <v>1498</v>
      </c>
      <c r="C3581" t="s">
        <v>126</v>
      </c>
      <c r="D3581" t="str">
        <f>HYPERLINK("http://service.sap.com/sap/support/notes/1782845","1782845")</f>
        <v>1782845</v>
      </c>
      <c r="E3581">
        <v>2</v>
      </c>
      <c r="F3581" t="s">
        <v>4973</v>
      </c>
    </row>
    <row r="3582" spans="1:6" x14ac:dyDescent="0.25">
      <c r="A3582" t="s">
        <v>4201</v>
      </c>
      <c r="B3582" t="s">
        <v>1498</v>
      </c>
      <c r="C3582" t="s">
        <v>126</v>
      </c>
      <c r="D3582" t="str">
        <f>HYPERLINK("http://service.sap.com/sap/support/notes/1791878","1791878")</f>
        <v>1791878</v>
      </c>
      <c r="E3582">
        <v>1</v>
      </c>
      <c r="F3582" t="s">
        <v>4974</v>
      </c>
    </row>
    <row r="3583" spans="1:6" x14ac:dyDescent="0.25">
      <c r="A3583" t="s">
        <v>4201</v>
      </c>
      <c r="B3583" t="s">
        <v>1498</v>
      </c>
      <c r="C3583" t="s">
        <v>126</v>
      </c>
      <c r="D3583" t="str">
        <f>HYPERLINK("http://service.sap.com/sap/support/notes/1793193","1793193")</f>
        <v>1793193</v>
      </c>
      <c r="E3583">
        <v>1</v>
      </c>
      <c r="F3583" t="s">
        <v>4975</v>
      </c>
    </row>
    <row r="3584" spans="1:6" x14ac:dyDescent="0.25">
      <c r="A3584" t="s">
        <v>4201</v>
      </c>
      <c r="B3584" t="s">
        <v>1498</v>
      </c>
      <c r="C3584" t="s">
        <v>126</v>
      </c>
      <c r="D3584" t="str">
        <f>HYPERLINK("http://service.sap.com/sap/support/notes/1795742","1795742")</f>
        <v>1795742</v>
      </c>
      <c r="E3584">
        <v>1</v>
      </c>
      <c r="F3584" t="s">
        <v>4976</v>
      </c>
    </row>
    <row r="3585" spans="1:6" x14ac:dyDescent="0.25">
      <c r="A3585" t="s">
        <v>4201</v>
      </c>
      <c r="B3585" t="s">
        <v>1498</v>
      </c>
      <c r="C3585" t="s">
        <v>126</v>
      </c>
      <c r="D3585" t="str">
        <f>HYPERLINK("http://service.sap.com/sap/support/notes/1795825","1795825")</f>
        <v>1795825</v>
      </c>
      <c r="E3585">
        <v>2</v>
      </c>
      <c r="F3585" t="s">
        <v>4977</v>
      </c>
    </row>
    <row r="3586" spans="1:6" x14ac:dyDescent="0.25">
      <c r="A3586" t="s">
        <v>4201</v>
      </c>
      <c r="B3586" t="s">
        <v>1507</v>
      </c>
      <c r="C3586" t="s">
        <v>1508</v>
      </c>
    </row>
    <row r="3587" spans="1:6" x14ac:dyDescent="0.25">
      <c r="A3587" t="s">
        <v>4201</v>
      </c>
      <c r="B3587" t="s">
        <v>1509</v>
      </c>
      <c r="C3587" t="s">
        <v>1510</v>
      </c>
    </row>
    <row r="3588" spans="1:6" x14ac:dyDescent="0.25">
      <c r="A3588" t="s">
        <v>4201</v>
      </c>
      <c r="B3588" t="s">
        <v>1511</v>
      </c>
      <c r="C3588" t="s">
        <v>1512</v>
      </c>
      <c r="D3588" t="str">
        <f>HYPERLINK("http://service.sap.com/sap/support/notes/1738042","1738042")</f>
        <v>1738042</v>
      </c>
      <c r="E3588">
        <v>2</v>
      </c>
      <c r="F3588" t="s">
        <v>4978</v>
      </c>
    </row>
    <row r="3589" spans="1:6" x14ac:dyDescent="0.25">
      <c r="A3589" t="s">
        <v>4201</v>
      </c>
      <c r="B3589" t="s">
        <v>1511</v>
      </c>
      <c r="C3589" t="s">
        <v>1512</v>
      </c>
      <c r="D3589" t="str">
        <f>HYPERLINK("http://service.sap.com/sap/support/notes/1760868","1760868")</f>
        <v>1760868</v>
      </c>
      <c r="E3589">
        <v>2</v>
      </c>
      <c r="F3589" t="s">
        <v>4979</v>
      </c>
    </row>
    <row r="3590" spans="1:6" x14ac:dyDescent="0.25">
      <c r="A3590" t="s">
        <v>4201</v>
      </c>
      <c r="B3590" t="s">
        <v>1511</v>
      </c>
      <c r="C3590" t="s">
        <v>1512</v>
      </c>
      <c r="D3590" t="str">
        <f>HYPERLINK("http://service.sap.com/sap/support/notes/1767895","1767895")</f>
        <v>1767895</v>
      </c>
      <c r="E3590">
        <v>2</v>
      </c>
      <c r="F3590" t="s">
        <v>4980</v>
      </c>
    </row>
    <row r="3591" spans="1:6" x14ac:dyDescent="0.25">
      <c r="A3591" t="s">
        <v>4201</v>
      </c>
      <c r="B3591" t="s">
        <v>1511</v>
      </c>
      <c r="C3591" t="s">
        <v>1512</v>
      </c>
      <c r="D3591" t="str">
        <f>HYPERLINK("http://service.sap.com/sap/support/notes/1768101","1768101")</f>
        <v>1768101</v>
      </c>
      <c r="E3591">
        <v>2</v>
      </c>
      <c r="F3591" t="s">
        <v>4981</v>
      </c>
    </row>
    <row r="3592" spans="1:6" x14ac:dyDescent="0.25">
      <c r="A3592" t="s">
        <v>4201</v>
      </c>
      <c r="B3592" t="s">
        <v>1511</v>
      </c>
      <c r="C3592" t="s">
        <v>1512</v>
      </c>
      <c r="D3592" t="str">
        <f>HYPERLINK("http://service.sap.com/sap/support/notes/1779147","1779147")</f>
        <v>1779147</v>
      </c>
      <c r="E3592">
        <v>1</v>
      </c>
      <c r="F3592" t="s">
        <v>4982</v>
      </c>
    </row>
    <row r="3593" spans="1:6" x14ac:dyDescent="0.25">
      <c r="A3593" t="s">
        <v>4201</v>
      </c>
      <c r="B3593" t="s">
        <v>1511</v>
      </c>
      <c r="C3593" t="s">
        <v>1512</v>
      </c>
      <c r="D3593" t="str">
        <f>HYPERLINK("http://service.sap.com/sap/support/notes/1780272","1780272")</f>
        <v>1780272</v>
      </c>
      <c r="E3593">
        <v>1</v>
      </c>
      <c r="F3593" t="s">
        <v>4983</v>
      </c>
    </row>
    <row r="3594" spans="1:6" x14ac:dyDescent="0.25">
      <c r="A3594" t="s">
        <v>4201</v>
      </c>
      <c r="B3594" t="s">
        <v>1516</v>
      </c>
      <c r="C3594" t="s">
        <v>1517</v>
      </c>
      <c r="D3594" t="str">
        <f>HYPERLINK("http://service.sap.com/sap/support/notes/1762796","1762796")</f>
        <v>1762796</v>
      </c>
      <c r="E3594">
        <v>1</v>
      </c>
      <c r="F3594" t="s">
        <v>4984</v>
      </c>
    </row>
    <row r="3595" spans="1:6" x14ac:dyDescent="0.25">
      <c r="A3595" t="s">
        <v>4201</v>
      </c>
      <c r="B3595" t="s">
        <v>1516</v>
      </c>
      <c r="C3595" t="s">
        <v>1517</v>
      </c>
      <c r="D3595" t="str">
        <f>HYPERLINK("http://service.sap.com/sap/support/notes/1774048","1774048")</f>
        <v>1774048</v>
      </c>
      <c r="E3595">
        <v>2</v>
      </c>
      <c r="F3595" t="s">
        <v>4985</v>
      </c>
    </row>
    <row r="3596" spans="1:6" x14ac:dyDescent="0.25">
      <c r="A3596" t="s">
        <v>4201</v>
      </c>
      <c r="B3596" t="s">
        <v>1516</v>
      </c>
      <c r="C3596" t="s">
        <v>1517</v>
      </c>
      <c r="D3596" t="str">
        <f>HYPERLINK("http://service.sap.com/sap/support/notes/1791831","1791831")</f>
        <v>1791831</v>
      </c>
      <c r="E3596">
        <v>1</v>
      </c>
      <c r="F3596" t="s">
        <v>4986</v>
      </c>
    </row>
    <row r="3597" spans="1:6" x14ac:dyDescent="0.25">
      <c r="A3597" t="s">
        <v>4201</v>
      </c>
      <c r="B3597" t="s">
        <v>1516</v>
      </c>
      <c r="C3597" t="s">
        <v>1517</v>
      </c>
      <c r="D3597" t="str">
        <f>HYPERLINK("http://service.sap.com/sap/support/notes/1797092","1797092")</f>
        <v>1797092</v>
      </c>
      <c r="E3597">
        <v>1</v>
      </c>
      <c r="F3597" t="s">
        <v>4987</v>
      </c>
    </row>
    <row r="3598" spans="1:6" x14ac:dyDescent="0.25">
      <c r="A3598" t="s">
        <v>4201</v>
      </c>
      <c r="B3598" t="s">
        <v>1521</v>
      </c>
      <c r="C3598" t="s">
        <v>824</v>
      </c>
      <c r="D3598" t="str">
        <f>HYPERLINK("http://service.sap.com/sap/support/notes/1751352","1751352")</f>
        <v>1751352</v>
      </c>
      <c r="E3598">
        <v>2</v>
      </c>
      <c r="F3598" t="s">
        <v>4988</v>
      </c>
    </row>
    <row r="3599" spans="1:6" x14ac:dyDescent="0.25">
      <c r="A3599" t="s">
        <v>4201</v>
      </c>
      <c r="B3599" t="s">
        <v>1521</v>
      </c>
      <c r="C3599" t="s">
        <v>824</v>
      </c>
      <c r="D3599" t="str">
        <f>HYPERLINK("http://service.sap.com/sap/support/notes/1765359","1765359")</f>
        <v>1765359</v>
      </c>
      <c r="E3599">
        <v>2</v>
      </c>
      <c r="F3599" t="s">
        <v>4989</v>
      </c>
    </row>
    <row r="3600" spans="1:6" x14ac:dyDescent="0.25">
      <c r="A3600" t="s">
        <v>4201</v>
      </c>
      <c r="B3600" t="s">
        <v>1529</v>
      </c>
      <c r="C3600" t="s">
        <v>1530</v>
      </c>
    </row>
    <row r="3601" spans="1:6" x14ac:dyDescent="0.25">
      <c r="A3601" t="s">
        <v>4201</v>
      </c>
      <c r="B3601" t="s">
        <v>1531</v>
      </c>
      <c r="C3601" t="s">
        <v>1532</v>
      </c>
    </row>
    <row r="3602" spans="1:6" x14ac:dyDescent="0.25">
      <c r="A3602" t="s">
        <v>4201</v>
      </c>
      <c r="B3602" t="s">
        <v>1536</v>
      </c>
      <c r="C3602" t="s">
        <v>1537</v>
      </c>
      <c r="D3602" t="str">
        <f>HYPERLINK("http://service.sap.com/sap/support/notes/1750567","1750567")</f>
        <v>1750567</v>
      </c>
      <c r="E3602">
        <v>3</v>
      </c>
      <c r="F3602" t="s">
        <v>4990</v>
      </c>
    </row>
    <row r="3603" spans="1:6" x14ac:dyDescent="0.25">
      <c r="A3603" t="s">
        <v>4201</v>
      </c>
      <c r="B3603" t="s">
        <v>1536</v>
      </c>
      <c r="C3603" t="s">
        <v>1537</v>
      </c>
      <c r="D3603" t="str">
        <f>HYPERLINK("http://service.sap.com/sap/support/notes/1787822","1787822")</f>
        <v>1787822</v>
      </c>
      <c r="E3603">
        <v>2</v>
      </c>
      <c r="F3603" t="s">
        <v>4991</v>
      </c>
    </row>
    <row r="3604" spans="1:6" x14ac:dyDescent="0.25">
      <c r="A3604" t="s">
        <v>4201</v>
      </c>
      <c r="B3604" t="s">
        <v>1536</v>
      </c>
      <c r="C3604" t="s">
        <v>1537</v>
      </c>
      <c r="D3604" t="str">
        <f>HYPERLINK("http://service.sap.com/sap/support/notes/1790772","1790772")</f>
        <v>1790772</v>
      </c>
    </row>
    <row r="3605" spans="1:6" x14ac:dyDescent="0.25">
      <c r="A3605" t="s">
        <v>4201</v>
      </c>
      <c r="B3605" t="s">
        <v>1536</v>
      </c>
      <c r="C3605" t="s">
        <v>1537</v>
      </c>
      <c r="D3605" t="str">
        <f>HYPERLINK("http://service.sap.com/sap/support/notes/1791800","1791800")</f>
        <v>1791800</v>
      </c>
      <c r="E3605">
        <v>1</v>
      </c>
      <c r="F3605" t="s">
        <v>4992</v>
      </c>
    </row>
    <row r="3606" spans="1:6" x14ac:dyDescent="0.25">
      <c r="A3606" t="s">
        <v>4201</v>
      </c>
      <c r="B3606" t="s">
        <v>1539</v>
      </c>
      <c r="C3606" t="s">
        <v>1540</v>
      </c>
      <c r="D3606" t="str">
        <f>HYPERLINK("http://service.sap.com/sap/support/notes/1789863","1789863")</f>
        <v>1789863</v>
      </c>
    </row>
    <row r="3607" spans="1:6" x14ac:dyDescent="0.25">
      <c r="A3607" t="s">
        <v>4201</v>
      </c>
      <c r="B3607" t="s">
        <v>1547</v>
      </c>
      <c r="C3607" t="s">
        <v>1548</v>
      </c>
      <c r="D3607" t="str">
        <f>HYPERLINK("http://service.sap.com/sap/support/notes/1787496","1787496")</f>
        <v>1787496</v>
      </c>
      <c r="E3607">
        <v>2</v>
      </c>
      <c r="F3607" t="s">
        <v>4993</v>
      </c>
    </row>
    <row r="3608" spans="1:6" x14ac:dyDescent="0.25">
      <c r="A3608" t="s">
        <v>4201</v>
      </c>
      <c r="B3608" t="s">
        <v>1547</v>
      </c>
      <c r="C3608" t="s">
        <v>1548</v>
      </c>
      <c r="D3608" t="str">
        <f>HYPERLINK("http://service.sap.com/sap/support/notes/1788093","1788093")</f>
        <v>1788093</v>
      </c>
      <c r="E3608">
        <v>1</v>
      </c>
      <c r="F3608" t="s">
        <v>4994</v>
      </c>
    </row>
    <row r="3609" spans="1:6" x14ac:dyDescent="0.25">
      <c r="A3609" t="s">
        <v>4201</v>
      </c>
      <c r="B3609" t="s">
        <v>1547</v>
      </c>
      <c r="C3609" t="s">
        <v>1548</v>
      </c>
      <c r="D3609" t="str">
        <f>HYPERLINK("http://service.sap.com/sap/support/notes/1791972","1791972")</f>
        <v>1791972</v>
      </c>
      <c r="E3609">
        <v>1</v>
      </c>
      <c r="F3609" t="s">
        <v>4995</v>
      </c>
    </row>
    <row r="3610" spans="1:6" x14ac:dyDescent="0.25">
      <c r="A3610" t="s">
        <v>4201</v>
      </c>
      <c r="B3610" t="s">
        <v>1550</v>
      </c>
      <c r="C3610" t="s">
        <v>1551</v>
      </c>
    </row>
    <row r="3611" spans="1:6" x14ac:dyDescent="0.25">
      <c r="A3611" t="s">
        <v>4201</v>
      </c>
      <c r="B3611" t="s">
        <v>4996</v>
      </c>
      <c r="C3611" t="s">
        <v>2635</v>
      </c>
    </row>
    <row r="3612" spans="1:6" x14ac:dyDescent="0.25">
      <c r="A3612" t="s">
        <v>4201</v>
      </c>
      <c r="B3612" t="s">
        <v>4997</v>
      </c>
      <c r="C3612" t="s">
        <v>4998</v>
      </c>
      <c r="D3612" t="str">
        <f>HYPERLINK("http://service.sap.com/sap/support/notes/1779518","1779518")</f>
        <v>1779518</v>
      </c>
      <c r="E3612">
        <v>1</v>
      </c>
      <c r="F3612" t="s">
        <v>1546</v>
      </c>
    </row>
    <row r="3613" spans="1:6" x14ac:dyDescent="0.25">
      <c r="A3613" t="s">
        <v>4201</v>
      </c>
      <c r="B3613" t="s">
        <v>4999</v>
      </c>
      <c r="C3613" t="s">
        <v>5000</v>
      </c>
    </row>
    <row r="3614" spans="1:6" x14ac:dyDescent="0.25">
      <c r="A3614" t="s">
        <v>4201</v>
      </c>
      <c r="B3614" t="s">
        <v>5001</v>
      </c>
      <c r="C3614" t="s">
        <v>5002</v>
      </c>
      <c r="D3614" t="str">
        <f>HYPERLINK("http://service.sap.com/sap/support/notes/1790564","1790564")</f>
        <v>1790564</v>
      </c>
      <c r="E3614">
        <v>1</v>
      </c>
      <c r="F3614" t="s">
        <v>5003</v>
      </c>
    </row>
    <row r="3615" spans="1:6" x14ac:dyDescent="0.25">
      <c r="A3615" t="s">
        <v>4201</v>
      </c>
      <c r="B3615" t="s">
        <v>5004</v>
      </c>
      <c r="C3615" t="s">
        <v>2277</v>
      </c>
      <c r="D3615" t="str">
        <f>HYPERLINK("http://service.sap.com/sap/support/notes/1773732","1773732")</f>
        <v>1773732</v>
      </c>
      <c r="E3615">
        <v>2</v>
      </c>
      <c r="F3615" t="s">
        <v>5005</v>
      </c>
    </row>
    <row r="3616" spans="1:6" x14ac:dyDescent="0.25">
      <c r="A3616" t="s">
        <v>4201</v>
      </c>
      <c r="B3616" t="s">
        <v>5004</v>
      </c>
      <c r="C3616" t="s">
        <v>2277</v>
      </c>
      <c r="D3616" t="str">
        <f>HYPERLINK("http://service.sap.com/sap/support/notes/1790215","1790215")</f>
        <v>1790215</v>
      </c>
      <c r="E3616">
        <v>1</v>
      </c>
      <c r="F3616" t="s">
        <v>5006</v>
      </c>
    </row>
    <row r="3617" spans="1:6" x14ac:dyDescent="0.25">
      <c r="A3617" t="s">
        <v>4201</v>
      </c>
      <c r="B3617" t="s">
        <v>1566</v>
      </c>
      <c r="C3617" t="s">
        <v>1567</v>
      </c>
      <c r="D3617" t="str">
        <f>HYPERLINK("http://service.sap.com/sap/support/notes/1790956","1790956")</f>
        <v>1790956</v>
      </c>
      <c r="E3617">
        <v>1</v>
      </c>
      <c r="F3617" t="s">
        <v>5007</v>
      </c>
    </row>
    <row r="3618" spans="1:6" x14ac:dyDescent="0.25">
      <c r="A3618" t="s">
        <v>4201</v>
      </c>
      <c r="B3618" t="s">
        <v>1569</v>
      </c>
      <c r="C3618" t="s">
        <v>5008</v>
      </c>
    </row>
    <row r="3619" spans="1:6" x14ac:dyDescent="0.25">
      <c r="A3619" t="s">
        <v>4201</v>
      </c>
      <c r="B3619" t="s">
        <v>5009</v>
      </c>
      <c r="C3619" t="s">
        <v>5010</v>
      </c>
      <c r="D3619" t="str">
        <f>HYPERLINK("http://service.sap.com/sap/support/notes/1774221","1774221")</f>
        <v>1774221</v>
      </c>
      <c r="E3619">
        <v>1</v>
      </c>
      <c r="F3619" t="s">
        <v>5011</v>
      </c>
    </row>
    <row r="3620" spans="1:6" x14ac:dyDescent="0.25">
      <c r="A3620" t="s">
        <v>4201</v>
      </c>
      <c r="B3620" t="s">
        <v>5012</v>
      </c>
      <c r="C3620" t="s">
        <v>5013</v>
      </c>
    </row>
    <row r="3621" spans="1:6" x14ac:dyDescent="0.25">
      <c r="A3621" t="s">
        <v>4201</v>
      </c>
      <c r="B3621" t="s">
        <v>5014</v>
      </c>
      <c r="C3621" t="s">
        <v>218</v>
      </c>
    </row>
    <row r="3622" spans="1:6" x14ac:dyDescent="0.25">
      <c r="A3622" t="s">
        <v>4201</v>
      </c>
      <c r="B3622" t="s">
        <v>5015</v>
      </c>
      <c r="C3622" t="s">
        <v>5016</v>
      </c>
      <c r="D3622" t="str">
        <f>HYPERLINK("http://service.sap.com/sap/support/notes/1771354","1771354")</f>
        <v>1771354</v>
      </c>
      <c r="E3622">
        <v>2</v>
      </c>
      <c r="F3622" t="s">
        <v>5017</v>
      </c>
    </row>
    <row r="3623" spans="1:6" x14ac:dyDescent="0.25">
      <c r="A3623" t="s">
        <v>4201</v>
      </c>
      <c r="B3623" t="s">
        <v>5018</v>
      </c>
      <c r="C3623" t="s">
        <v>233</v>
      </c>
    </row>
    <row r="3624" spans="1:6" x14ac:dyDescent="0.25">
      <c r="A3624" t="s">
        <v>4201</v>
      </c>
      <c r="B3624" t="s">
        <v>5019</v>
      </c>
      <c r="C3624" t="s">
        <v>5020</v>
      </c>
      <c r="D3624" t="str">
        <f>HYPERLINK("http://service.sap.com/sap/support/notes/1789698","1789698")</f>
        <v>1789698</v>
      </c>
      <c r="E3624">
        <v>2</v>
      </c>
      <c r="F3624" t="s">
        <v>5021</v>
      </c>
    </row>
    <row r="3625" spans="1:6" x14ac:dyDescent="0.25">
      <c r="A3625" t="s">
        <v>4201</v>
      </c>
      <c r="B3625" t="s">
        <v>1577</v>
      </c>
      <c r="C3625" t="s">
        <v>1578</v>
      </c>
    </row>
    <row r="3626" spans="1:6" x14ac:dyDescent="0.25">
      <c r="A3626" t="s">
        <v>4201</v>
      </c>
      <c r="B3626" t="s">
        <v>5022</v>
      </c>
      <c r="C3626" t="s">
        <v>218</v>
      </c>
      <c r="D3626" t="str">
        <f>HYPERLINK("http://service.sap.com/sap/support/notes/1770446","1770446")</f>
        <v>1770446</v>
      </c>
      <c r="E3626">
        <v>2</v>
      </c>
      <c r="F3626" t="s">
        <v>5023</v>
      </c>
    </row>
    <row r="3627" spans="1:6" x14ac:dyDescent="0.25">
      <c r="A3627" t="s">
        <v>4201</v>
      </c>
      <c r="B3627" t="s">
        <v>5022</v>
      </c>
      <c r="C3627" t="s">
        <v>218</v>
      </c>
      <c r="D3627" t="str">
        <f>HYPERLINK("http://service.sap.com/sap/support/notes/1773749","1773749")</f>
        <v>1773749</v>
      </c>
      <c r="E3627">
        <v>1</v>
      </c>
      <c r="F3627" t="s">
        <v>5024</v>
      </c>
    </row>
    <row r="3628" spans="1:6" x14ac:dyDescent="0.25">
      <c r="A3628" t="s">
        <v>4201</v>
      </c>
      <c r="B3628" t="s">
        <v>5022</v>
      </c>
      <c r="C3628" t="s">
        <v>218</v>
      </c>
      <c r="D3628" t="str">
        <f>HYPERLINK("http://service.sap.com/sap/support/notes/1777299","1777299")</f>
        <v>1777299</v>
      </c>
      <c r="E3628">
        <v>1</v>
      </c>
      <c r="F3628" t="s">
        <v>5025</v>
      </c>
    </row>
    <row r="3629" spans="1:6" x14ac:dyDescent="0.25">
      <c r="A3629" t="s">
        <v>4201</v>
      </c>
      <c r="B3629" t="s">
        <v>1581</v>
      </c>
      <c r="C3629" t="s">
        <v>1582</v>
      </c>
    </row>
    <row r="3630" spans="1:6" x14ac:dyDescent="0.25">
      <c r="A3630" t="s">
        <v>4201</v>
      </c>
      <c r="B3630" t="s">
        <v>1583</v>
      </c>
      <c r="C3630" t="s">
        <v>1584</v>
      </c>
      <c r="D3630" t="str">
        <f>HYPERLINK("http://service.sap.com/sap/support/notes/1784714","1784714")</f>
        <v>1784714</v>
      </c>
      <c r="E3630">
        <v>2</v>
      </c>
      <c r="F3630" t="s">
        <v>1571</v>
      </c>
    </row>
    <row r="3631" spans="1:6" x14ac:dyDescent="0.25">
      <c r="A3631" t="s">
        <v>4201</v>
      </c>
      <c r="B3631" t="s">
        <v>5026</v>
      </c>
      <c r="C3631" t="s">
        <v>5027</v>
      </c>
      <c r="D3631" t="str">
        <f>HYPERLINK("http://service.sap.com/sap/support/notes/1768398","1768398")</f>
        <v>1768398</v>
      </c>
      <c r="E3631">
        <v>1</v>
      </c>
      <c r="F3631" t="s">
        <v>5028</v>
      </c>
    </row>
    <row r="3632" spans="1:6" x14ac:dyDescent="0.25">
      <c r="A3632" t="s">
        <v>4201</v>
      </c>
      <c r="B3632" t="s">
        <v>5029</v>
      </c>
      <c r="C3632" t="s">
        <v>5030</v>
      </c>
      <c r="D3632" t="str">
        <f>HYPERLINK("http://service.sap.com/sap/support/notes/1773118","1773118")</f>
        <v>1773118</v>
      </c>
      <c r="E3632">
        <v>1</v>
      </c>
      <c r="F3632" t="s">
        <v>5031</v>
      </c>
    </row>
    <row r="3633" spans="1:6" x14ac:dyDescent="0.25">
      <c r="A3633" t="s">
        <v>4201</v>
      </c>
      <c r="B3633" t="s">
        <v>1585</v>
      </c>
      <c r="C3633" t="s">
        <v>1586</v>
      </c>
    </row>
    <row r="3634" spans="1:6" x14ac:dyDescent="0.25">
      <c r="A3634" t="s">
        <v>4201</v>
      </c>
      <c r="B3634" t="s">
        <v>1587</v>
      </c>
      <c r="C3634" t="s">
        <v>1588</v>
      </c>
    </row>
    <row r="3635" spans="1:6" x14ac:dyDescent="0.25">
      <c r="A3635" t="s">
        <v>4201</v>
      </c>
      <c r="B3635" t="s">
        <v>1589</v>
      </c>
      <c r="C3635" t="s">
        <v>1590</v>
      </c>
      <c r="D3635" t="str">
        <f>HYPERLINK("http://service.sap.com/sap/support/notes/1782666","1782666")</f>
        <v>1782666</v>
      </c>
      <c r="E3635">
        <v>1</v>
      </c>
      <c r="F3635" t="s">
        <v>5032</v>
      </c>
    </row>
    <row r="3636" spans="1:6" x14ac:dyDescent="0.25">
      <c r="A3636" t="s">
        <v>4201</v>
      </c>
      <c r="B3636" t="s">
        <v>1589</v>
      </c>
      <c r="C3636" t="s">
        <v>1590</v>
      </c>
      <c r="D3636" t="str">
        <f>HYPERLINK("http://service.sap.com/sap/support/notes/1786041","1786041")</f>
        <v>1786041</v>
      </c>
      <c r="E3636">
        <v>3</v>
      </c>
      <c r="F3636" t="s">
        <v>5033</v>
      </c>
    </row>
    <row r="3637" spans="1:6" x14ac:dyDescent="0.25">
      <c r="A3637" t="s">
        <v>4201</v>
      </c>
      <c r="B3637" t="s">
        <v>1589</v>
      </c>
      <c r="C3637" t="s">
        <v>1590</v>
      </c>
      <c r="D3637" t="str">
        <f>HYPERLINK("http://service.sap.com/sap/support/notes/1790328","1790328")</f>
        <v>1790328</v>
      </c>
      <c r="E3637">
        <v>1</v>
      </c>
      <c r="F3637" t="s">
        <v>5034</v>
      </c>
    </row>
    <row r="3638" spans="1:6" x14ac:dyDescent="0.25">
      <c r="A3638" t="s">
        <v>4201</v>
      </c>
      <c r="B3638" t="s">
        <v>1599</v>
      </c>
      <c r="C3638" t="s">
        <v>1600</v>
      </c>
      <c r="D3638" t="str">
        <f>HYPERLINK("http://service.sap.com/sap/support/notes/1776851","1776851")</f>
        <v>1776851</v>
      </c>
      <c r="E3638">
        <v>2</v>
      </c>
      <c r="F3638" t="s">
        <v>5035</v>
      </c>
    </row>
    <row r="3639" spans="1:6" x14ac:dyDescent="0.25">
      <c r="A3639" t="s">
        <v>4201</v>
      </c>
      <c r="B3639" t="s">
        <v>1618</v>
      </c>
      <c r="C3639" t="s">
        <v>1619</v>
      </c>
      <c r="D3639" t="str">
        <f>HYPERLINK("http://service.sap.com/sap/support/notes/1786765","1786765")</f>
        <v>1786765</v>
      </c>
      <c r="E3639">
        <v>1</v>
      </c>
      <c r="F3639" t="s">
        <v>5036</v>
      </c>
    </row>
    <row r="3640" spans="1:6" x14ac:dyDescent="0.25">
      <c r="A3640" t="s">
        <v>4201</v>
      </c>
      <c r="B3640" t="s">
        <v>1618</v>
      </c>
      <c r="C3640" t="s">
        <v>1619</v>
      </c>
      <c r="D3640" t="str">
        <f>HYPERLINK("http://service.sap.com/sap/support/notes/1788324","1788324")</f>
        <v>1788324</v>
      </c>
      <c r="E3640">
        <v>1</v>
      </c>
      <c r="F3640" t="s">
        <v>5037</v>
      </c>
    </row>
    <row r="3641" spans="1:6" x14ac:dyDescent="0.25">
      <c r="A3641" t="s">
        <v>4201</v>
      </c>
      <c r="B3641" t="s">
        <v>1626</v>
      </c>
      <c r="C3641" t="s">
        <v>1627</v>
      </c>
    </row>
    <row r="3642" spans="1:6" x14ac:dyDescent="0.25">
      <c r="A3642" t="s">
        <v>4201</v>
      </c>
      <c r="B3642" t="s">
        <v>5038</v>
      </c>
      <c r="C3642" t="s">
        <v>5039</v>
      </c>
      <c r="D3642" t="str">
        <f>HYPERLINK("http://service.sap.com/sap/support/notes/1759856","1759856")</f>
        <v>1759856</v>
      </c>
      <c r="E3642">
        <v>2</v>
      </c>
      <c r="F3642" t="s">
        <v>5040</v>
      </c>
    </row>
    <row r="3643" spans="1:6" x14ac:dyDescent="0.25">
      <c r="A3643" t="s">
        <v>4201</v>
      </c>
      <c r="B3643" t="s">
        <v>5041</v>
      </c>
      <c r="C3643" t="s">
        <v>5042</v>
      </c>
      <c r="D3643" t="str">
        <f>HYPERLINK("http://service.sap.com/sap/support/notes/1695587","1695587")</f>
        <v>1695587</v>
      </c>
      <c r="E3643">
        <v>5</v>
      </c>
      <c r="F3643" t="s">
        <v>5043</v>
      </c>
    </row>
    <row r="3644" spans="1:6" x14ac:dyDescent="0.25">
      <c r="A3644" t="s">
        <v>4201</v>
      </c>
      <c r="B3644" t="s">
        <v>5041</v>
      </c>
      <c r="C3644" t="s">
        <v>5042</v>
      </c>
      <c r="D3644" t="str">
        <f>HYPERLINK("http://service.sap.com/sap/support/notes/1781323","1781323")</f>
        <v>1781323</v>
      </c>
      <c r="E3644">
        <v>1</v>
      </c>
      <c r="F3644" t="s">
        <v>5044</v>
      </c>
    </row>
    <row r="3645" spans="1:6" x14ac:dyDescent="0.25">
      <c r="A3645" t="s">
        <v>4201</v>
      </c>
      <c r="B3645" t="s">
        <v>1637</v>
      </c>
      <c r="C3645" t="s">
        <v>1638</v>
      </c>
    </row>
    <row r="3646" spans="1:6" x14ac:dyDescent="0.25">
      <c r="A3646" t="s">
        <v>4201</v>
      </c>
      <c r="B3646" t="s">
        <v>1639</v>
      </c>
      <c r="C3646" t="s">
        <v>1640</v>
      </c>
      <c r="D3646" t="str">
        <f>HYPERLINK("http://service.sap.com/sap/support/notes/1457589","1457589")</f>
        <v>1457589</v>
      </c>
      <c r="E3646">
        <v>4</v>
      </c>
      <c r="F3646" t="s">
        <v>5045</v>
      </c>
    </row>
    <row r="3647" spans="1:6" x14ac:dyDescent="0.25">
      <c r="A3647" t="s">
        <v>4201</v>
      </c>
      <c r="B3647" t="s">
        <v>1645</v>
      </c>
      <c r="C3647" t="s">
        <v>1646</v>
      </c>
      <c r="D3647" t="str">
        <f>HYPERLINK("http://service.sap.com/sap/support/notes/1656613","1656613")</f>
        <v>1656613</v>
      </c>
      <c r="E3647">
        <v>3</v>
      </c>
      <c r="F3647" t="s">
        <v>5046</v>
      </c>
    </row>
    <row r="3648" spans="1:6" x14ac:dyDescent="0.25">
      <c r="A3648" t="s">
        <v>4201</v>
      </c>
      <c r="B3648" t="s">
        <v>1645</v>
      </c>
      <c r="C3648" t="s">
        <v>1646</v>
      </c>
      <c r="D3648" t="str">
        <f>HYPERLINK("http://service.sap.com/sap/support/notes/1740634","1740634")</f>
        <v>1740634</v>
      </c>
      <c r="E3648">
        <v>2</v>
      </c>
      <c r="F3648" t="s">
        <v>5047</v>
      </c>
    </row>
    <row r="3649" spans="1:6" x14ac:dyDescent="0.25">
      <c r="A3649" t="s">
        <v>4201</v>
      </c>
      <c r="B3649" t="s">
        <v>1651</v>
      </c>
      <c r="C3649" t="s">
        <v>1652</v>
      </c>
      <c r="D3649" t="str">
        <f>HYPERLINK("http://service.sap.com/sap/support/notes/1763895","1763895")</f>
        <v>1763895</v>
      </c>
      <c r="E3649">
        <v>2</v>
      </c>
      <c r="F3649" t="s">
        <v>5048</v>
      </c>
    </row>
    <row r="3650" spans="1:6" x14ac:dyDescent="0.25">
      <c r="A3650" t="s">
        <v>4201</v>
      </c>
      <c r="B3650" t="s">
        <v>1654</v>
      </c>
      <c r="C3650" t="s">
        <v>1655</v>
      </c>
      <c r="D3650" t="str">
        <f>HYPERLINK("http://service.sap.com/sap/support/notes/1467444","1467444")</f>
        <v>1467444</v>
      </c>
      <c r="E3650">
        <v>3</v>
      </c>
      <c r="F3650" t="s">
        <v>5049</v>
      </c>
    </row>
    <row r="3651" spans="1:6" x14ac:dyDescent="0.25">
      <c r="A3651" t="s">
        <v>4201</v>
      </c>
      <c r="B3651" t="s">
        <v>1660</v>
      </c>
      <c r="C3651" t="s">
        <v>210</v>
      </c>
    </row>
    <row r="3652" spans="1:6" x14ac:dyDescent="0.25">
      <c r="A3652" t="s">
        <v>4201</v>
      </c>
      <c r="B3652" t="s">
        <v>1661</v>
      </c>
      <c r="C3652" t="s">
        <v>5050</v>
      </c>
      <c r="D3652" t="str">
        <f>HYPERLINK("http://service.sap.com/sap/support/notes/1773511","1773511")</f>
        <v>1773511</v>
      </c>
      <c r="E3652">
        <v>2</v>
      </c>
      <c r="F3652" t="s">
        <v>5051</v>
      </c>
    </row>
    <row r="3653" spans="1:6" x14ac:dyDescent="0.25">
      <c r="A3653" t="s">
        <v>4201</v>
      </c>
      <c r="B3653" t="s">
        <v>1666</v>
      </c>
      <c r="C3653" t="s">
        <v>1667</v>
      </c>
    </row>
    <row r="3654" spans="1:6" x14ac:dyDescent="0.25">
      <c r="A3654" t="s">
        <v>4201</v>
      </c>
      <c r="B3654" t="s">
        <v>1668</v>
      </c>
      <c r="C3654" t="s">
        <v>1669</v>
      </c>
      <c r="D3654" t="str">
        <f>HYPERLINK("http://service.sap.com/sap/support/notes/1780263","1780263")</f>
        <v>1780263</v>
      </c>
      <c r="E3654">
        <v>2</v>
      </c>
      <c r="F3654" t="s">
        <v>5052</v>
      </c>
    </row>
    <row r="3655" spans="1:6" x14ac:dyDescent="0.25">
      <c r="A3655" t="s">
        <v>4201</v>
      </c>
      <c r="B3655" t="s">
        <v>1676</v>
      </c>
      <c r="C3655" t="s">
        <v>1677</v>
      </c>
      <c r="D3655" t="str">
        <f>HYPERLINK("http://service.sap.com/sap/support/notes/1775884","1775884")</f>
        <v>1775884</v>
      </c>
      <c r="E3655">
        <v>1</v>
      </c>
      <c r="F3655" t="s">
        <v>5053</v>
      </c>
    </row>
    <row r="3656" spans="1:6" x14ac:dyDescent="0.25">
      <c r="A3656" t="s">
        <v>4201</v>
      </c>
      <c r="B3656" t="s">
        <v>5054</v>
      </c>
      <c r="C3656" t="s">
        <v>2153</v>
      </c>
      <c r="D3656" t="str">
        <f>HYPERLINK("http://service.sap.com/sap/support/notes/1795125","1795125")</f>
        <v>1795125</v>
      </c>
      <c r="E3656">
        <v>3</v>
      </c>
      <c r="F3656" t="s">
        <v>5055</v>
      </c>
    </row>
    <row r="3657" spans="1:6" x14ac:dyDescent="0.25">
      <c r="A3657" t="s">
        <v>4201</v>
      </c>
      <c r="B3657" t="s">
        <v>1682</v>
      </c>
      <c r="C3657" t="s">
        <v>1683</v>
      </c>
      <c r="D3657" t="str">
        <f>HYPERLINK("http://service.sap.com/sap/support/notes/1750110","1750110")</f>
        <v>1750110</v>
      </c>
      <c r="E3657">
        <v>3</v>
      </c>
      <c r="F3657" t="s">
        <v>5056</v>
      </c>
    </row>
    <row r="3658" spans="1:6" x14ac:dyDescent="0.25">
      <c r="A3658" t="s">
        <v>4201</v>
      </c>
      <c r="B3658" t="s">
        <v>1682</v>
      </c>
      <c r="C3658" t="s">
        <v>1683</v>
      </c>
      <c r="D3658" t="str">
        <f>HYPERLINK("http://service.sap.com/sap/support/notes/1750685","1750685")</f>
        <v>1750685</v>
      </c>
      <c r="E3658">
        <v>6</v>
      </c>
      <c r="F3658" t="s">
        <v>5057</v>
      </c>
    </row>
    <row r="3659" spans="1:6" x14ac:dyDescent="0.25">
      <c r="A3659" t="s">
        <v>4201</v>
      </c>
      <c r="B3659" t="s">
        <v>1682</v>
      </c>
      <c r="C3659" t="s">
        <v>1683</v>
      </c>
      <c r="D3659" t="str">
        <f>HYPERLINK("http://service.sap.com/sap/support/notes/1752926","1752926")</f>
        <v>1752926</v>
      </c>
      <c r="E3659">
        <v>4</v>
      </c>
      <c r="F3659" t="s">
        <v>5058</v>
      </c>
    </row>
    <row r="3660" spans="1:6" x14ac:dyDescent="0.25">
      <c r="A3660" t="s">
        <v>4201</v>
      </c>
      <c r="B3660" t="s">
        <v>1682</v>
      </c>
      <c r="C3660" t="s">
        <v>1683</v>
      </c>
      <c r="D3660" t="str">
        <f>HYPERLINK("http://service.sap.com/sap/support/notes/1767075","1767075")</f>
        <v>1767075</v>
      </c>
      <c r="E3660">
        <v>4</v>
      </c>
      <c r="F3660" t="s">
        <v>5059</v>
      </c>
    </row>
    <row r="3661" spans="1:6" x14ac:dyDescent="0.25">
      <c r="A3661" t="s">
        <v>4201</v>
      </c>
      <c r="B3661" t="s">
        <v>1694</v>
      </c>
      <c r="C3661" t="s">
        <v>212</v>
      </c>
    </row>
    <row r="3662" spans="1:6" x14ac:dyDescent="0.25">
      <c r="A3662" t="s">
        <v>4201</v>
      </c>
      <c r="B3662" t="s">
        <v>1695</v>
      </c>
      <c r="C3662" t="s">
        <v>1696</v>
      </c>
      <c r="D3662" t="str">
        <f>HYPERLINK("http://service.sap.com/sap/support/notes/1759151","1759151")</f>
        <v>1759151</v>
      </c>
      <c r="E3662">
        <v>1</v>
      </c>
      <c r="F3662" t="s">
        <v>5060</v>
      </c>
    </row>
    <row r="3663" spans="1:6" x14ac:dyDescent="0.25">
      <c r="A3663" t="s">
        <v>4201</v>
      </c>
      <c r="B3663" t="s">
        <v>1695</v>
      </c>
      <c r="C3663" t="s">
        <v>1696</v>
      </c>
      <c r="D3663" t="str">
        <f>HYPERLINK("http://service.sap.com/sap/support/notes/1760339","1760339")</f>
        <v>1760339</v>
      </c>
      <c r="E3663">
        <v>2</v>
      </c>
      <c r="F3663" t="s">
        <v>5061</v>
      </c>
    </row>
    <row r="3664" spans="1:6" x14ac:dyDescent="0.25">
      <c r="A3664" t="s">
        <v>4201</v>
      </c>
      <c r="B3664" t="s">
        <v>1695</v>
      </c>
      <c r="C3664" t="s">
        <v>1696</v>
      </c>
      <c r="D3664" t="str">
        <f>HYPERLINK("http://service.sap.com/sap/support/notes/1761160","1761160")</f>
        <v>1761160</v>
      </c>
      <c r="E3664">
        <v>2</v>
      </c>
      <c r="F3664" t="s">
        <v>5062</v>
      </c>
    </row>
    <row r="3665" spans="1:6" x14ac:dyDescent="0.25">
      <c r="A3665" t="s">
        <v>4201</v>
      </c>
      <c r="B3665" t="s">
        <v>1695</v>
      </c>
      <c r="C3665" t="s">
        <v>1696</v>
      </c>
      <c r="D3665" t="str">
        <f>HYPERLINK("http://service.sap.com/sap/support/notes/1761621","1761621")</f>
        <v>1761621</v>
      </c>
      <c r="E3665">
        <v>3</v>
      </c>
      <c r="F3665" t="s">
        <v>5063</v>
      </c>
    </row>
    <row r="3666" spans="1:6" x14ac:dyDescent="0.25">
      <c r="A3666" t="s">
        <v>4201</v>
      </c>
      <c r="B3666" t="s">
        <v>1695</v>
      </c>
      <c r="C3666" t="s">
        <v>1696</v>
      </c>
      <c r="D3666" t="str">
        <f>HYPERLINK("http://service.sap.com/sap/support/notes/1766367","1766367")</f>
        <v>1766367</v>
      </c>
      <c r="E3666">
        <v>1</v>
      </c>
      <c r="F3666" t="s">
        <v>5064</v>
      </c>
    </row>
    <row r="3667" spans="1:6" x14ac:dyDescent="0.25">
      <c r="A3667" t="s">
        <v>4201</v>
      </c>
      <c r="B3667" t="s">
        <v>1695</v>
      </c>
      <c r="C3667" t="s">
        <v>1696</v>
      </c>
      <c r="D3667" t="str">
        <f>HYPERLINK("http://service.sap.com/sap/support/notes/1769821","1769821")</f>
        <v>1769821</v>
      </c>
      <c r="E3667">
        <v>2</v>
      </c>
      <c r="F3667" t="s">
        <v>5065</v>
      </c>
    </row>
    <row r="3668" spans="1:6" x14ac:dyDescent="0.25">
      <c r="A3668" t="s">
        <v>4201</v>
      </c>
      <c r="B3668" t="s">
        <v>1695</v>
      </c>
      <c r="C3668" t="s">
        <v>1696</v>
      </c>
      <c r="D3668" t="str">
        <f>HYPERLINK("http://service.sap.com/sap/support/notes/1771182","1771182")</f>
        <v>1771182</v>
      </c>
      <c r="E3668">
        <v>3</v>
      </c>
      <c r="F3668" t="s">
        <v>5066</v>
      </c>
    </row>
    <row r="3669" spans="1:6" x14ac:dyDescent="0.25">
      <c r="A3669" t="s">
        <v>4201</v>
      </c>
      <c r="B3669" t="s">
        <v>1695</v>
      </c>
      <c r="C3669" t="s">
        <v>1696</v>
      </c>
      <c r="D3669" t="str">
        <f>HYPERLINK("http://service.sap.com/sap/support/notes/1782676","1782676")</f>
        <v>1782676</v>
      </c>
    </row>
    <row r="3670" spans="1:6" x14ac:dyDescent="0.25">
      <c r="A3670" t="s">
        <v>4201</v>
      </c>
      <c r="B3670" t="s">
        <v>1695</v>
      </c>
      <c r="C3670" t="s">
        <v>1696</v>
      </c>
      <c r="D3670" t="str">
        <f>HYPERLINK("http://service.sap.com/sap/support/notes/1786810","1786810")</f>
        <v>1786810</v>
      </c>
    </row>
    <row r="3671" spans="1:6" x14ac:dyDescent="0.25">
      <c r="A3671" t="s">
        <v>4201</v>
      </c>
      <c r="B3671" t="s">
        <v>1695</v>
      </c>
      <c r="C3671" t="s">
        <v>1696</v>
      </c>
      <c r="D3671" t="str">
        <f>HYPERLINK("http://service.sap.com/sap/support/notes/1789178","1789178")</f>
        <v>1789178</v>
      </c>
      <c r="E3671">
        <v>1</v>
      </c>
      <c r="F3671" t="s">
        <v>5067</v>
      </c>
    </row>
    <row r="3672" spans="1:6" x14ac:dyDescent="0.25">
      <c r="A3672" t="s">
        <v>4201</v>
      </c>
      <c r="B3672" t="s">
        <v>1695</v>
      </c>
      <c r="C3672" t="s">
        <v>1696</v>
      </c>
      <c r="D3672" t="str">
        <f>HYPERLINK("http://service.sap.com/sap/support/notes/1794379","1794379")</f>
        <v>1794379</v>
      </c>
      <c r="E3672">
        <v>1</v>
      </c>
      <c r="F3672" t="s">
        <v>5068</v>
      </c>
    </row>
    <row r="3673" spans="1:6" x14ac:dyDescent="0.25">
      <c r="A3673" t="s">
        <v>4201</v>
      </c>
      <c r="B3673" t="s">
        <v>1714</v>
      </c>
      <c r="C3673" t="s">
        <v>1715</v>
      </c>
      <c r="D3673" t="str">
        <f>HYPERLINK("http://service.sap.com/sap/support/notes/1747279","1747279")</f>
        <v>1747279</v>
      </c>
      <c r="E3673">
        <v>4</v>
      </c>
      <c r="F3673" t="s">
        <v>5069</v>
      </c>
    </row>
    <row r="3674" spans="1:6" x14ac:dyDescent="0.25">
      <c r="A3674" t="s">
        <v>4201</v>
      </c>
      <c r="B3674" t="s">
        <v>1720</v>
      </c>
      <c r="C3674" t="s">
        <v>1721</v>
      </c>
      <c r="D3674" t="str">
        <f>HYPERLINK("http://service.sap.com/sap/support/notes/1759736","1759736")</f>
        <v>1759736</v>
      </c>
      <c r="E3674">
        <v>2</v>
      </c>
      <c r="F3674" t="s">
        <v>5070</v>
      </c>
    </row>
    <row r="3675" spans="1:6" x14ac:dyDescent="0.25">
      <c r="A3675" t="s">
        <v>4201</v>
      </c>
      <c r="B3675" t="s">
        <v>1720</v>
      </c>
      <c r="C3675" t="s">
        <v>1721</v>
      </c>
      <c r="D3675" t="str">
        <f>HYPERLINK("http://service.sap.com/sap/support/notes/1764731","1764731")</f>
        <v>1764731</v>
      </c>
      <c r="E3675">
        <v>2</v>
      </c>
      <c r="F3675" t="s">
        <v>5071</v>
      </c>
    </row>
    <row r="3676" spans="1:6" x14ac:dyDescent="0.25">
      <c r="A3676" t="s">
        <v>4201</v>
      </c>
      <c r="B3676" t="s">
        <v>1720</v>
      </c>
      <c r="C3676" t="s">
        <v>1721</v>
      </c>
      <c r="D3676" t="str">
        <f>HYPERLINK("http://service.sap.com/sap/support/notes/1784330","1784330")</f>
        <v>1784330</v>
      </c>
      <c r="E3676">
        <v>1</v>
      </c>
      <c r="F3676" t="s">
        <v>5072</v>
      </c>
    </row>
    <row r="3677" spans="1:6" x14ac:dyDescent="0.25">
      <c r="A3677" t="s">
        <v>4201</v>
      </c>
      <c r="B3677" t="s">
        <v>5073</v>
      </c>
      <c r="C3677" t="s">
        <v>5074</v>
      </c>
      <c r="D3677" t="str">
        <f>HYPERLINK("http://service.sap.com/sap/support/notes/1771349","1771349")</f>
        <v>1771349</v>
      </c>
      <c r="E3677">
        <v>2</v>
      </c>
      <c r="F3677" t="s">
        <v>5075</v>
      </c>
    </row>
    <row r="3678" spans="1:6" x14ac:dyDescent="0.25">
      <c r="A3678" t="s">
        <v>4201</v>
      </c>
      <c r="B3678" t="s">
        <v>5076</v>
      </c>
      <c r="C3678" t="s">
        <v>5077</v>
      </c>
      <c r="D3678" t="str">
        <f>HYPERLINK("http://service.sap.com/sap/support/notes/1768356","1768356")</f>
        <v>1768356</v>
      </c>
      <c r="E3678">
        <v>2</v>
      </c>
      <c r="F3678" t="s">
        <v>5078</v>
      </c>
    </row>
    <row r="3679" spans="1:6" x14ac:dyDescent="0.25">
      <c r="A3679" t="s">
        <v>4201</v>
      </c>
      <c r="B3679" t="s">
        <v>5076</v>
      </c>
      <c r="C3679" t="s">
        <v>5077</v>
      </c>
      <c r="D3679" t="str">
        <f>HYPERLINK("http://service.sap.com/sap/support/notes/1790761","1790761")</f>
        <v>1790761</v>
      </c>
      <c r="E3679">
        <v>1</v>
      </c>
      <c r="F3679" t="s">
        <v>5079</v>
      </c>
    </row>
    <row r="3680" spans="1:6" x14ac:dyDescent="0.25">
      <c r="A3680" t="s">
        <v>4201</v>
      </c>
      <c r="B3680" t="s">
        <v>5080</v>
      </c>
      <c r="C3680" t="s">
        <v>5081</v>
      </c>
      <c r="D3680" t="str">
        <f>HYPERLINK("http://service.sap.com/sap/support/notes/1796973","1796973")</f>
        <v>1796973</v>
      </c>
      <c r="E3680">
        <v>2</v>
      </c>
      <c r="F3680" t="s">
        <v>5082</v>
      </c>
    </row>
    <row r="3681" spans="1:6" x14ac:dyDescent="0.25">
      <c r="A3681" t="s">
        <v>4201</v>
      </c>
      <c r="B3681" t="s">
        <v>1734</v>
      </c>
      <c r="C3681" t="s">
        <v>151</v>
      </c>
    </row>
    <row r="3682" spans="1:6" x14ac:dyDescent="0.25">
      <c r="A3682" t="s">
        <v>4201</v>
      </c>
      <c r="B3682" t="s">
        <v>5083</v>
      </c>
      <c r="C3682" t="s">
        <v>5084</v>
      </c>
      <c r="D3682" t="str">
        <f>HYPERLINK("http://service.sap.com/sap/support/notes/1716734","1716734")</f>
        <v>1716734</v>
      </c>
      <c r="E3682">
        <v>3</v>
      </c>
      <c r="F3682" t="s">
        <v>5085</v>
      </c>
    </row>
    <row r="3683" spans="1:6" x14ac:dyDescent="0.25">
      <c r="A3683" t="s">
        <v>4201</v>
      </c>
      <c r="B3683" t="s">
        <v>5083</v>
      </c>
      <c r="C3683" t="s">
        <v>5084</v>
      </c>
      <c r="D3683" t="str">
        <f>HYPERLINK("http://service.sap.com/sap/support/notes/1795131","1795131")</f>
        <v>1795131</v>
      </c>
      <c r="E3683">
        <v>2</v>
      </c>
      <c r="F3683" t="s">
        <v>5086</v>
      </c>
    </row>
    <row r="3684" spans="1:6" x14ac:dyDescent="0.25">
      <c r="A3684" t="s">
        <v>4201</v>
      </c>
      <c r="B3684" t="s">
        <v>1742</v>
      </c>
      <c r="C3684" t="s">
        <v>1743</v>
      </c>
      <c r="D3684" t="str">
        <f>HYPERLINK("http://service.sap.com/sap/support/notes/1766352","1766352")</f>
        <v>1766352</v>
      </c>
      <c r="E3684">
        <v>2</v>
      </c>
      <c r="F3684" t="s">
        <v>5087</v>
      </c>
    </row>
    <row r="3685" spans="1:6" x14ac:dyDescent="0.25">
      <c r="A3685" t="s">
        <v>4201</v>
      </c>
      <c r="B3685" t="s">
        <v>5088</v>
      </c>
      <c r="C3685" t="s">
        <v>5089</v>
      </c>
      <c r="D3685" t="str">
        <f>HYPERLINK("http://service.sap.com/sap/support/notes/1782166","1782166")</f>
        <v>1782166</v>
      </c>
      <c r="E3685">
        <v>1</v>
      </c>
      <c r="F3685" t="s">
        <v>5090</v>
      </c>
    </row>
    <row r="3686" spans="1:6" x14ac:dyDescent="0.25">
      <c r="A3686" t="s">
        <v>4201</v>
      </c>
      <c r="B3686" t="s">
        <v>5088</v>
      </c>
      <c r="C3686" t="s">
        <v>5089</v>
      </c>
      <c r="D3686" t="str">
        <f>HYPERLINK("http://service.sap.com/sap/support/notes/1787700","1787700")</f>
        <v>1787700</v>
      </c>
      <c r="E3686">
        <v>1</v>
      </c>
      <c r="F3686" t="s">
        <v>5091</v>
      </c>
    </row>
    <row r="3687" spans="1:6" x14ac:dyDescent="0.25">
      <c r="A3687" t="s">
        <v>4201</v>
      </c>
      <c r="B3687" t="s">
        <v>5092</v>
      </c>
      <c r="C3687" t="s">
        <v>5093</v>
      </c>
      <c r="D3687" t="str">
        <f>HYPERLINK("http://service.sap.com/sap/support/notes/1796471","1796471")</f>
        <v>1796471</v>
      </c>
      <c r="E3687">
        <v>2</v>
      </c>
      <c r="F3687" t="s">
        <v>5094</v>
      </c>
    </row>
    <row r="3688" spans="1:6" x14ac:dyDescent="0.25">
      <c r="A3688" t="s">
        <v>4201</v>
      </c>
      <c r="B3688" t="s">
        <v>1754</v>
      </c>
      <c r="C3688" t="s">
        <v>1755</v>
      </c>
      <c r="D3688" t="str">
        <f>HYPERLINK("http://service.sap.com/sap/support/notes/1771195","1771195")</f>
        <v>1771195</v>
      </c>
      <c r="E3688">
        <v>3</v>
      </c>
      <c r="F3688" t="s">
        <v>5095</v>
      </c>
    </row>
    <row r="3689" spans="1:6" x14ac:dyDescent="0.25">
      <c r="A3689" t="s">
        <v>4201</v>
      </c>
      <c r="B3689" t="s">
        <v>1754</v>
      </c>
      <c r="C3689" t="s">
        <v>1755</v>
      </c>
      <c r="D3689" t="str">
        <f>HYPERLINK("http://service.sap.com/sap/support/notes/1777374","1777374")</f>
        <v>1777374</v>
      </c>
      <c r="E3689">
        <v>1</v>
      </c>
      <c r="F3689" t="s">
        <v>5096</v>
      </c>
    </row>
    <row r="3690" spans="1:6" x14ac:dyDescent="0.25">
      <c r="A3690" t="s">
        <v>4201</v>
      </c>
      <c r="B3690" t="s">
        <v>1754</v>
      </c>
      <c r="C3690" t="s">
        <v>1755</v>
      </c>
      <c r="D3690" t="str">
        <f>HYPERLINK("http://service.sap.com/sap/support/notes/1783733","1783733")</f>
        <v>1783733</v>
      </c>
      <c r="E3690">
        <v>2</v>
      </c>
      <c r="F3690" t="s">
        <v>5097</v>
      </c>
    </row>
    <row r="3691" spans="1:6" x14ac:dyDescent="0.25">
      <c r="A3691" t="s">
        <v>4201</v>
      </c>
      <c r="B3691" t="s">
        <v>1758</v>
      </c>
      <c r="C3691" t="s">
        <v>1759</v>
      </c>
      <c r="D3691" t="str">
        <f>HYPERLINK("http://service.sap.com/sap/support/notes/1773091","1773091")</f>
        <v>1773091</v>
      </c>
      <c r="E3691">
        <v>2</v>
      </c>
      <c r="F3691" t="s">
        <v>5098</v>
      </c>
    </row>
    <row r="3692" spans="1:6" x14ac:dyDescent="0.25">
      <c r="A3692" t="s">
        <v>4201</v>
      </c>
      <c r="B3692" t="s">
        <v>1761</v>
      </c>
      <c r="C3692" t="s">
        <v>1762</v>
      </c>
      <c r="D3692" t="str">
        <f>HYPERLINK("http://service.sap.com/sap/support/notes/1783435","1783435")</f>
        <v>1783435</v>
      </c>
      <c r="E3692">
        <v>1</v>
      </c>
      <c r="F3692" t="s">
        <v>5099</v>
      </c>
    </row>
    <row r="3693" spans="1:6" x14ac:dyDescent="0.25">
      <c r="A3693" t="s">
        <v>4201</v>
      </c>
      <c r="B3693" t="s">
        <v>1761</v>
      </c>
      <c r="C3693" t="s">
        <v>1762</v>
      </c>
      <c r="D3693" t="str">
        <f>HYPERLINK("http://service.sap.com/sap/support/notes/1790580","1790580")</f>
        <v>1790580</v>
      </c>
      <c r="E3693">
        <v>2</v>
      </c>
      <c r="F3693" t="s">
        <v>5100</v>
      </c>
    </row>
    <row r="3694" spans="1:6" x14ac:dyDescent="0.25">
      <c r="A3694" t="s">
        <v>4201</v>
      </c>
      <c r="B3694" t="s">
        <v>5101</v>
      </c>
      <c r="C3694" t="s">
        <v>5102</v>
      </c>
    </row>
    <row r="3695" spans="1:6" x14ac:dyDescent="0.25">
      <c r="A3695" t="s">
        <v>4201</v>
      </c>
      <c r="B3695" t="s">
        <v>5103</v>
      </c>
      <c r="C3695" t="s">
        <v>978</v>
      </c>
      <c r="D3695" t="str">
        <f>HYPERLINK("http://service.sap.com/sap/support/notes/1459949","1459949")</f>
        <v>1459949</v>
      </c>
      <c r="E3695">
        <v>4</v>
      </c>
      <c r="F3695" t="s">
        <v>5104</v>
      </c>
    </row>
    <row r="3696" spans="1:6" x14ac:dyDescent="0.25">
      <c r="A3696" t="s">
        <v>4201</v>
      </c>
      <c r="B3696" t="s">
        <v>1770</v>
      </c>
      <c r="C3696" t="s">
        <v>1771</v>
      </c>
      <c r="D3696" t="str">
        <f>HYPERLINK("http://service.sap.com/sap/support/notes/1788414","1788414")</f>
        <v>1788414</v>
      </c>
      <c r="E3696">
        <v>1</v>
      </c>
      <c r="F3696" t="s">
        <v>5105</v>
      </c>
    </row>
    <row r="3697" spans="1:6" x14ac:dyDescent="0.25">
      <c r="A3697" t="s">
        <v>4201</v>
      </c>
      <c r="B3697" t="s">
        <v>1774</v>
      </c>
      <c r="C3697" t="s">
        <v>1775</v>
      </c>
    </row>
    <row r="3698" spans="1:6" x14ac:dyDescent="0.25">
      <c r="A3698" t="s">
        <v>4201</v>
      </c>
      <c r="B3698" t="s">
        <v>1781</v>
      </c>
      <c r="C3698" t="s">
        <v>151</v>
      </c>
    </row>
    <row r="3699" spans="1:6" x14ac:dyDescent="0.25">
      <c r="A3699" t="s">
        <v>4201</v>
      </c>
      <c r="B3699" t="s">
        <v>5106</v>
      </c>
      <c r="C3699" t="s">
        <v>5107</v>
      </c>
      <c r="D3699" t="str">
        <f>HYPERLINK("http://service.sap.com/sap/support/notes/1774594","1774594")</f>
        <v>1774594</v>
      </c>
      <c r="E3699">
        <v>1</v>
      </c>
      <c r="F3699" t="s">
        <v>5108</v>
      </c>
    </row>
    <row r="3700" spans="1:6" x14ac:dyDescent="0.25">
      <c r="A3700" t="s">
        <v>4201</v>
      </c>
      <c r="B3700" t="s">
        <v>1783</v>
      </c>
      <c r="C3700" t="s">
        <v>1784</v>
      </c>
      <c r="D3700" t="str">
        <f>HYPERLINK("http://service.sap.com/sap/support/notes/1788415","1788415")</f>
        <v>1788415</v>
      </c>
      <c r="E3700">
        <v>1</v>
      </c>
      <c r="F3700" t="s">
        <v>5109</v>
      </c>
    </row>
    <row r="3701" spans="1:6" x14ac:dyDescent="0.25">
      <c r="A3701" t="s">
        <v>4201</v>
      </c>
      <c r="B3701" t="s">
        <v>1789</v>
      </c>
      <c r="C3701" t="s">
        <v>1790</v>
      </c>
      <c r="D3701" t="str">
        <f>HYPERLINK("http://service.sap.com/sap/support/notes/1681220","1681220")</f>
        <v>1681220</v>
      </c>
      <c r="E3701">
        <v>3</v>
      </c>
      <c r="F3701" t="s">
        <v>5110</v>
      </c>
    </row>
    <row r="3702" spans="1:6" x14ac:dyDescent="0.25">
      <c r="A3702" t="s">
        <v>4201</v>
      </c>
      <c r="B3702" t="s">
        <v>1789</v>
      </c>
      <c r="C3702" t="s">
        <v>1790</v>
      </c>
      <c r="D3702" t="str">
        <f>HYPERLINK("http://service.sap.com/sap/support/notes/1693590","1693590")</f>
        <v>1693590</v>
      </c>
      <c r="E3702">
        <v>3</v>
      </c>
      <c r="F3702" t="s">
        <v>5111</v>
      </c>
    </row>
    <row r="3703" spans="1:6" x14ac:dyDescent="0.25">
      <c r="A3703" t="s">
        <v>4201</v>
      </c>
      <c r="B3703" t="s">
        <v>1789</v>
      </c>
      <c r="C3703" t="s">
        <v>1790</v>
      </c>
      <c r="D3703" t="str">
        <f>HYPERLINK("http://service.sap.com/sap/support/notes/1700492","1700492")</f>
        <v>1700492</v>
      </c>
      <c r="E3703">
        <v>3</v>
      </c>
      <c r="F3703" t="s">
        <v>5112</v>
      </c>
    </row>
    <row r="3704" spans="1:6" x14ac:dyDescent="0.25">
      <c r="A3704" t="s">
        <v>4201</v>
      </c>
      <c r="B3704" t="s">
        <v>1789</v>
      </c>
      <c r="C3704" t="s">
        <v>1790</v>
      </c>
      <c r="D3704" t="str">
        <f>HYPERLINK("http://service.sap.com/sap/support/notes/1728925","1728925")</f>
        <v>1728925</v>
      </c>
      <c r="E3704">
        <v>2</v>
      </c>
      <c r="F3704" t="s">
        <v>5113</v>
      </c>
    </row>
    <row r="3705" spans="1:6" x14ac:dyDescent="0.25">
      <c r="A3705" t="s">
        <v>4201</v>
      </c>
      <c r="B3705" t="s">
        <v>1789</v>
      </c>
      <c r="C3705" t="s">
        <v>1790</v>
      </c>
      <c r="D3705" t="str">
        <f>HYPERLINK("http://service.sap.com/sap/support/notes/1773637","1773637")</f>
        <v>1773637</v>
      </c>
      <c r="E3705">
        <v>2</v>
      </c>
      <c r="F3705" t="s">
        <v>5114</v>
      </c>
    </row>
    <row r="3706" spans="1:6" x14ac:dyDescent="0.25">
      <c r="A3706" t="s">
        <v>4201</v>
      </c>
      <c r="B3706" t="s">
        <v>1789</v>
      </c>
      <c r="C3706" t="s">
        <v>1790</v>
      </c>
      <c r="D3706" t="str">
        <f>HYPERLINK("http://service.sap.com/sap/support/notes/1778966","1778966")</f>
        <v>1778966</v>
      </c>
      <c r="E3706">
        <v>3</v>
      </c>
      <c r="F3706" t="s">
        <v>5115</v>
      </c>
    </row>
    <row r="3707" spans="1:6" x14ac:dyDescent="0.25">
      <c r="A3707" t="s">
        <v>4201</v>
      </c>
      <c r="B3707" t="s">
        <v>1789</v>
      </c>
      <c r="C3707" t="s">
        <v>1790</v>
      </c>
      <c r="D3707" t="str">
        <f>HYPERLINK("http://service.sap.com/sap/support/notes/1782040","1782040")</f>
        <v>1782040</v>
      </c>
      <c r="E3707">
        <v>2</v>
      </c>
      <c r="F3707" t="s">
        <v>5116</v>
      </c>
    </row>
    <row r="3708" spans="1:6" x14ac:dyDescent="0.25">
      <c r="A3708" t="s">
        <v>4201</v>
      </c>
      <c r="B3708" t="s">
        <v>1789</v>
      </c>
      <c r="C3708" t="s">
        <v>1790</v>
      </c>
      <c r="D3708" t="str">
        <f>HYPERLINK("http://service.sap.com/sap/support/notes/1791301","1791301")</f>
        <v>1791301</v>
      </c>
      <c r="E3708">
        <v>2</v>
      </c>
      <c r="F3708" t="s">
        <v>5117</v>
      </c>
    </row>
    <row r="3709" spans="1:6" x14ac:dyDescent="0.25">
      <c r="A3709" t="s">
        <v>4201</v>
      </c>
      <c r="B3709" t="s">
        <v>1798</v>
      </c>
      <c r="C3709" t="s">
        <v>1799</v>
      </c>
      <c r="D3709" t="str">
        <f>HYPERLINK("http://service.sap.com/sap/support/notes/1789082","1789082")</f>
        <v>1789082</v>
      </c>
      <c r="E3709">
        <v>2</v>
      </c>
      <c r="F3709" t="s">
        <v>5118</v>
      </c>
    </row>
    <row r="3710" spans="1:6" x14ac:dyDescent="0.25">
      <c r="A3710" t="s">
        <v>4201</v>
      </c>
      <c r="B3710" t="s">
        <v>61</v>
      </c>
      <c r="C3710" t="s">
        <v>62</v>
      </c>
    </row>
    <row r="3711" spans="1:6" x14ac:dyDescent="0.25">
      <c r="A3711" t="s">
        <v>4201</v>
      </c>
      <c r="B3711" t="s">
        <v>1807</v>
      </c>
      <c r="C3711" t="s">
        <v>1808</v>
      </c>
      <c r="D3711" t="str">
        <f>HYPERLINK("http://service.sap.com/sap/support/notes/1750405","1750405")</f>
        <v>1750405</v>
      </c>
      <c r="E3711">
        <v>9</v>
      </c>
      <c r="F3711" t="s">
        <v>5119</v>
      </c>
    </row>
    <row r="3712" spans="1:6" x14ac:dyDescent="0.25">
      <c r="A3712" t="s">
        <v>4201</v>
      </c>
      <c r="B3712" t="s">
        <v>1807</v>
      </c>
      <c r="C3712" t="s">
        <v>1808</v>
      </c>
      <c r="D3712" t="str">
        <f>HYPERLINK("http://service.sap.com/sap/support/notes/1755300","1755300")</f>
        <v>1755300</v>
      </c>
      <c r="E3712">
        <v>2</v>
      </c>
      <c r="F3712" t="s">
        <v>5120</v>
      </c>
    </row>
    <row r="3713" spans="1:6" x14ac:dyDescent="0.25">
      <c r="A3713" t="s">
        <v>4201</v>
      </c>
      <c r="B3713" t="s">
        <v>1807</v>
      </c>
      <c r="C3713" t="s">
        <v>1808</v>
      </c>
      <c r="D3713" t="str">
        <f>HYPERLINK("http://service.sap.com/sap/support/notes/1767118","1767118")</f>
        <v>1767118</v>
      </c>
      <c r="E3713">
        <v>4</v>
      </c>
      <c r="F3713" t="s">
        <v>5121</v>
      </c>
    </row>
    <row r="3714" spans="1:6" x14ac:dyDescent="0.25">
      <c r="A3714" t="s">
        <v>4201</v>
      </c>
      <c r="B3714" t="s">
        <v>1807</v>
      </c>
      <c r="C3714" t="s">
        <v>1808</v>
      </c>
      <c r="D3714" t="str">
        <f>HYPERLINK("http://service.sap.com/sap/support/notes/1767168","1767168")</f>
        <v>1767168</v>
      </c>
      <c r="E3714">
        <v>2</v>
      </c>
      <c r="F3714" t="s">
        <v>5122</v>
      </c>
    </row>
    <row r="3715" spans="1:6" x14ac:dyDescent="0.25">
      <c r="A3715" t="s">
        <v>4201</v>
      </c>
      <c r="B3715" t="s">
        <v>1807</v>
      </c>
      <c r="C3715" t="s">
        <v>1808</v>
      </c>
      <c r="D3715" t="str">
        <f>HYPERLINK("http://service.sap.com/sap/support/notes/1767425","1767425")</f>
        <v>1767425</v>
      </c>
      <c r="E3715">
        <v>2</v>
      </c>
      <c r="F3715" t="s">
        <v>5123</v>
      </c>
    </row>
    <row r="3716" spans="1:6" x14ac:dyDescent="0.25">
      <c r="A3716" t="s">
        <v>4201</v>
      </c>
      <c r="B3716" t="s">
        <v>1807</v>
      </c>
      <c r="C3716" t="s">
        <v>1808</v>
      </c>
      <c r="D3716" t="str">
        <f>HYPERLINK("http://service.sap.com/sap/support/notes/1767934","1767934")</f>
        <v>1767934</v>
      </c>
      <c r="E3716">
        <v>1</v>
      </c>
      <c r="F3716" t="s">
        <v>5124</v>
      </c>
    </row>
    <row r="3717" spans="1:6" x14ac:dyDescent="0.25">
      <c r="A3717" t="s">
        <v>4201</v>
      </c>
      <c r="B3717" t="s">
        <v>1807</v>
      </c>
      <c r="C3717" t="s">
        <v>1808</v>
      </c>
      <c r="D3717" t="str">
        <f>HYPERLINK("http://service.sap.com/sap/support/notes/1769271","1769271")</f>
        <v>1769271</v>
      </c>
      <c r="E3717">
        <v>4</v>
      </c>
      <c r="F3717" t="s">
        <v>5125</v>
      </c>
    </row>
    <row r="3718" spans="1:6" x14ac:dyDescent="0.25">
      <c r="A3718" t="s">
        <v>4201</v>
      </c>
      <c r="B3718" t="s">
        <v>1807</v>
      </c>
      <c r="C3718" t="s">
        <v>1808</v>
      </c>
      <c r="D3718" t="str">
        <f>HYPERLINK("http://service.sap.com/sap/support/notes/1769392","1769392")</f>
        <v>1769392</v>
      </c>
      <c r="E3718">
        <v>1</v>
      </c>
      <c r="F3718" t="s">
        <v>5126</v>
      </c>
    </row>
    <row r="3719" spans="1:6" x14ac:dyDescent="0.25">
      <c r="A3719" t="s">
        <v>4201</v>
      </c>
      <c r="B3719" t="s">
        <v>1807</v>
      </c>
      <c r="C3719" t="s">
        <v>1808</v>
      </c>
      <c r="D3719" t="str">
        <f>HYPERLINK("http://service.sap.com/sap/support/notes/1769418","1769418")</f>
        <v>1769418</v>
      </c>
      <c r="E3719">
        <v>2</v>
      </c>
      <c r="F3719" t="s">
        <v>5127</v>
      </c>
    </row>
    <row r="3720" spans="1:6" x14ac:dyDescent="0.25">
      <c r="A3720" t="s">
        <v>4201</v>
      </c>
      <c r="B3720" t="s">
        <v>1807</v>
      </c>
      <c r="C3720" t="s">
        <v>1808</v>
      </c>
      <c r="D3720" t="str">
        <f>HYPERLINK("http://service.sap.com/sap/support/notes/1770519","1770519")</f>
        <v>1770519</v>
      </c>
      <c r="E3720">
        <v>4</v>
      </c>
      <c r="F3720" t="s">
        <v>5128</v>
      </c>
    </row>
    <row r="3721" spans="1:6" x14ac:dyDescent="0.25">
      <c r="A3721" t="s">
        <v>4201</v>
      </c>
      <c r="B3721" t="s">
        <v>1807</v>
      </c>
      <c r="C3721" t="s">
        <v>1808</v>
      </c>
      <c r="D3721" t="str">
        <f>HYPERLINK("http://service.sap.com/sap/support/notes/1770521","1770521")</f>
        <v>1770521</v>
      </c>
      <c r="E3721">
        <v>2</v>
      </c>
      <c r="F3721" t="s">
        <v>5129</v>
      </c>
    </row>
    <row r="3722" spans="1:6" x14ac:dyDescent="0.25">
      <c r="A3722" t="s">
        <v>4201</v>
      </c>
      <c r="B3722" t="s">
        <v>1807</v>
      </c>
      <c r="C3722" t="s">
        <v>1808</v>
      </c>
      <c r="D3722" t="str">
        <f>HYPERLINK("http://service.sap.com/sap/support/notes/1770777","1770777")</f>
        <v>1770777</v>
      </c>
      <c r="E3722">
        <v>1</v>
      </c>
      <c r="F3722" t="s">
        <v>1843</v>
      </c>
    </row>
    <row r="3723" spans="1:6" x14ac:dyDescent="0.25">
      <c r="A3723" t="s">
        <v>4201</v>
      </c>
      <c r="B3723" t="s">
        <v>1807</v>
      </c>
      <c r="C3723" t="s">
        <v>1808</v>
      </c>
      <c r="D3723" t="str">
        <f>HYPERLINK("http://service.sap.com/sap/support/notes/1771132","1771132")</f>
        <v>1771132</v>
      </c>
      <c r="E3723">
        <v>1</v>
      </c>
      <c r="F3723" t="s">
        <v>5130</v>
      </c>
    </row>
    <row r="3724" spans="1:6" x14ac:dyDescent="0.25">
      <c r="A3724" t="s">
        <v>4201</v>
      </c>
      <c r="B3724" t="s">
        <v>1807</v>
      </c>
      <c r="C3724" t="s">
        <v>1808</v>
      </c>
      <c r="D3724" t="str">
        <f>HYPERLINK("http://service.sap.com/sap/support/notes/1772571","1772571")</f>
        <v>1772571</v>
      </c>
      <c r="E3724">
        <v>2</v>
      </c>
      <c r="F3724" t="s">
        <v>5131</v>
      </c>
    </row>
    <row r="3725" spans="1:6" x14ac:dyDescent="0.25">
      <c r="A3725" t="s">
        <v>4201</v>
      </c>
      <c r="B3725" t="s">
        <v>1807</v>
      </c>
      <c r="C3725" t="s">
        <v>1808</v>
      </c>
      <c r="D3725" t="str">
        <f>HYPERLINK("http://service.sap.com/sap/support/notes/1774758","1774758")</f>
        <v>1774758</v>
      </c>
      <c r="E3725">
        <v>2</v>
      </c>
      <c r="F3725" t="s">
        <v>5132</v>
      </c>
    </row>
    <row r="3726" spans="1:6" x14ac:dyDescent="0.25">
      <c r="A3726" t="s">
        <v>4201</v>
      </c>
      <c r="B3726" t="s">
        <v>1807</v>
      </c>
      <c r="C3726" t="s">
        <v>1808</v>
      </c>
      <c r="D3726" t="str">
        <f>HYPERLINK("http://service.sap.com/sap/support/notes/1775354","1775354")</f>
        <v>1775354</v>
      </c>
      <c r="E3726">
        <v>2</v>
      </c>
      <c r="F3726" t="s">
        <v>5133</v>
      </c>
    </row>
    <row r="3727" spans="1:6" x14ac:dyDescent="0.25">
      <c r="A3727" t="s">
        <v>4201</v>
      </c>
      <c r="B3727" t="s">
        <v>1807</v>
      </c>
      <c r="C3727" t="s">
        <v>1808</v>
      </c>
      <c r="D3727" t="str">
        <f>HYPERLINK("http://service.sap.com/sap/support/notes/1775559","1775559")</f>
        <v>1775559</v>
      </c>
      <c r="E3727">
        <v>3</v>
      </c>
      <c r="F3727" t="s">
        <v>5134</v>
      </c>
    </row>
    <row r="3728" spans="1:6" x14ac:dyDescent="0.25">
      <c r="A3728" t="s">
        <v>4201</v>
      </c>
      <c r="B3728" t="s">
        <v>1807</v>
      </c>
      <c r="C3728" t="s">
        <v>1808</v>
      </c>
      <c r="D3728" t="str">
        <f>HYPERLINK("http://service.sap.com/sap/support/notes/1775962","1775962")</f>
        <v>1775962</v>
      </c>
      <c r="E3728">
        <v>3</v>
      </c>
      <c r="F3728" t="s">
        <v>5135</v>
      </c>
    </row>
    <row r="3729" spans="1:6" x14ac:dyDescent="0.25">
      <c r="A3729" t="s">
        <v>4201</v>
      </c>
      <c r="B3729" t="s">
        <v>1807</v>
      </c>
      <c r="C3729" t="s">
        <v>1808</v>
      </c>
      <c r="D3729" t="str">
        <f>HYPERLINK("http://service.sap.com/sap/support/notes/1776142","1776142")</f>
        <v>1776142</v>
      </c>
      <c r="E3729">
        <v>3</v>
      </c>
      <c r="F3729" t="s">
        <v>5136</v>
      </c>
    </row>
    <row r="3730" spans="1:6" x14ac:dyDescent="0.25">
      <c r="A3730" t="s">
        <v>4201</v>
      </c>
      <c r="B3730" t="s">
        <v>1807</v>
      </c>
      <c r="C3730" t="s">
        <v>1808</v>
      </c>
      <c r="D3730" t="str">
        <f>HYPERLINK("http://service.sap.com/sap/support/notes/1776447","1776447")</f>
        <v>1776447</v>
      </c>
      <c r="E3730">
        <v>2</v>
      </c>
      <c r="F3730" t="s">
        <v>5137</v>
      </c>
    </row>
    <row r="3731" spans="1:6" x14ac:dyDescent="0.25">
      <c r="A3731" t="s">
        <v>4201</v>
      </c>
      <c r="B3731" t="s">
        <v>1807</v>
      </c>
      <c r="C3731" t="s">
        <v>1808</v>
      </c>
      <c r="D3731" t="str">
        <f>HYPERLINK("http://service.sap.com/sap/support/notes/1777133","1777133")</f>
        <v>1777133</v>
      </c>
      <c r="E3731">
        <v>1</v>
      </c>
      <c r="F3731" t="s">
        <v>5138</v>
      </c>
    </row>
    <row r="3732" spans="1:6" x14ac:dyDescent="0.25">
      <c r="A3732" t="s">
        <v>4201</v>
      </c>
      <c r="B3732" t="s">
        <v>1807</v>
      </c>
      <c r="C3732" t="s">
        <v>1808</v>
      </c>
      <c r="D3732" t="str">
        <f>HYPERLINK("http://service.sap.com/sap/support/notes/1779377","1779377")</f>
        <v>1779377</v>
      </c>
      <c r="E3732">
        <v>1</v>
      </c>
      <c r="F3732" t="s">
        <v>5139</v>
      </c>
    </row>
    <row r="3733" spans="1:6" x14ac:dyDescent="0.25">
      <c r="A3733" t="s">
        <v>4201</v>
      </c>
      <c r="B3733" t="s">
        <v>1807</v>
      </c>
      <c r="C3733" t="s">
        <v>1808</v>
      </c>
      <c r="D3733" t="str">
        <f>HYPERLINK("http://service.sap.com/sap/support/notes/1779716","1779716")</f>
        <v>1779716</v>
      </c>
      <c r="E3733">
        <v>1</v>
      </c>
      <c r="F3733" t="s">
        <v>5140</v>
      </c>
    </row>
    <row r="3734" spans="1:6" x14ac:dyDescent="0.25">
      <c r="A3734" t="s">
        <v>4201</v>
      </c>
      <c r="B3734" t="s">
        <v>1807</v>
      </c>
      <c r="C3734" t="s">
        <v>1808</v>
      </c>
      <c r="D3734" t="str">
        <f>HYPERLINK("http://service.sap.com/sap/support/notes/1782401","1782401")</f>
        <v>1782401</v>
      </c>
      <c r="E3734">
        <v>1</v>
      </c>
      <c r="F3734" t="s">
        <v>5141</v>
      </c>
    </row>
    <row r="3735" spans="1:6" x14ac:dyDescent="0.25">
      <c r="A3735" t="s">
        <v>4201</v>
      </c>
      <c r="B3735" t="s">
        <v>1807</v>
      </c>
      <c r="C3735" t="s">
        <v>1808</v>
      </c>
      <c r="D3735" t="str">
        <f>HYPERLINK("http://service.sap.com/sap/support/notes/1784101","1784101")</f>
        <v>1784101</v>
      </c>
      <c r="E3735">
        <v>1</v>
      </c>
      <c r="F3735" t="s">
        <v>5142</v>
      </c>
    </row>
    <row r="3736" spans="1:6" x14ac:dyDescent="0.25">
      <c r="A3736" t="s">
        <v>4201</v>
      </c>
      <c r="B3736" t="s">
        <v>1807</v>
      </c>
      <c r="C3736" t="s">
        <v>1808</v>
      </c>
      <c r="D3736" t="str">
        <f>HYPERLINK("http://service.sap.com/sap/support/notes/1786530","1786530")</f>
        <v>1786530</v>
      </c>
      <c r="E3736">
        <v>1</v>
      </c>
      <c r="F3736" t="s">
        <v>5143</v>
      </c>
    </row>
    <row r="3737" spans="1:6" x14ac:dyDescent="0.25">
      <c r="A3737" t="s">
        <v>4201</v>
      </c>
      <c r="B3737" t="s">
        <v>1807</v>
      </c>
      <c r="C3737" t="s">
        <v>1808</v>
      </c>
      <c r="D3737" t="str">
        <f>HYPERLINK("http://service.sap.com/sap/support/notes/1787475","1787475")</f>
        <v>1787475</v>
      </c>
      <c r="E3737">
        <v>1</v>
      </c>
      <c r="F3737" t="s">
        <v>5144</v>
      </c>
    </row>
    <row r="3738" spans="1:6" x14ac:dyDescent="0.25">
      <c r="A3738" t="s">
        <v>4201</v>
      </c>
      <c r="B3738" t="s">
        <v>1807</v>
      </c>
      <c r="C3738" t="s">
        <v>1808</v>
      </c>
      <c r="D3738" t="str">
        <f>HYPERLINK("http://service.sap.com/sap/support/notes/1787566","1787566")</f>
        <v>1787566</v>
      </c>
      <c r="E3738">
        <v>3</v>
      </c>
      <c r="F3738" t="s">
        <v>5145</v>
      </c>
    </row>
    <row r="3739" spans="1:6" x14ac:dyDescent="0.25">
      <c r="A3739" t="s">
        <v>4201</v>
      </c>
      <c r="B3739" t="s">
        <v>1807</v>
      </c>
      <c r="C3739" t="s">
        <v>1808</v>
      </c>
      <c r="D3739" t="str">
        <f>HYPERLINK("http://service.sap.com/sap/support/notes/1787573","1787573")</f>
        <v>1787573</v>
      </c>
      <c r="E3739">
        <v>4</v>
      </c>
      <c r="F3739" t="s">
        <v>5146</v>
      </c>
    </row>
    <row r="3740" spans="1:6" x14ac:dyDescent="0.25">
      <c r="A3740" t="s">
        <v>4201</v>
      </c>
      <c r="B3740" t="s">
        <v>1807</v>
      </c>
      <c r="C3740" t="s">
        <v>1808</v>
      </c>
      <c r="D3740" t="str">
        <f>HYPERLINK("http://service.sap.com/sap/support/notes/1788981","1788981")</f>
        <v>1788981</v>
      </c>
      <c r="E3740">
        <v>2</v>
      </c>
      <c r="F3740" t="s">
        <v>5147</v>
      </c>
    </row>
    <row r="3741" spans="1:6" x14ac:dyDescent="0.25">
      <c r="A3741" t="s">
        <v>4201</v>
      </c>
      <c r="B3741" t="s">
        <v>1807</v>
      </c>
      <c r="C3741" t="s">
        <v>1808</v>
      </c>
      <c r="D3741" t="str">
        <f>HYPERLINK("http://service.sap.com/sap/support/notes/1789990","1789990")</f>
        <v>1789990</v>
      </c>
      <c r="E3741">
        <v>1</v>
      </c>
      <c r="F3741" t="s">
        <v>5148</v>
      </c>
    </row>
    <row r="3742" spans="1:6" x14ac:dyDescent="0.25">
      <c r="A3742" t="s">
        <v>4201</v>
      </c>
      <c r="B3742" t="s">
        <v>1807</v>
      </c>
      <c r="C3742" t="s">
        <v>1808</v>
      </c>
      <c r="D3742" t="str">
        <f>HYPERLINK("http://service.sap.com/sap/support/notes/1790834","1790834")</f>
        <v>1790834</v>
      </c>
      <c r="E3742">
        <v>1</v>
      </c>
      <c r="F3742" t="s">
        <v>5149</v>
      </c>
    </row>
    <row r="3743" spans="1:6" x14ac:dyDescent="0.25">
      <c r="A3743" t="s">
        <v>4201</v>
      </c>
      <c r="B3743" t="s">
        <v>1807</v>
      </c>
      <c r="C3743" t="s">
        <v>1808</v>
      </c>
      <c r="D3743" t="str">
        <f>HYPERLINK("http://service.sap.com/sap/support/notes/1791701","1791701")</f>
        <v>1791701</v>
      </c>
      <c r="E3743">
        <v>2</v>
      </c>
      <c r="F3743" t="s">
        <v>5150</v>
      </c>
    </row>
    <row r="3744" spans="1:6" x14ac:dyDescent="0.25">
      <c r="A3744" t="s">
        <v>4201</v>
      </c>
      <c r="B3744" t="s">
        <v>1807</v>
      </c>
      <c r="C3744" t="s">
        <v>1808</v>
      </c>
      <c r="D3744" t="str">
        <f>HYPERLINK("http://service.sap.com/sap/support/notes/1792050","1792050")</f>
        <v>1792050</v>
      </c>
      <c r="E3744">
        <v>2</v>
      </c>
      <c r="F3744" t="s">
        <v>5151</v>
      </c>
    </row>
    <row r="3745" spans="1:6" x14ac:dyDescent="0.25">
      <c r="A3745" t="s">
        <v>4201</v>
      </c>
      <c r="B3745" t="s">
        <v>1807</v>
      </c>
      <c r="C3745" t="s">
        <v>1808</v>
      </c>
      <c r="D3745" t="str">
        <f>HYPERLINK("http://service.sap.com/sap/support/notes/1792858","1792858")</f>
        <v>1792858</v>
      </c>
      <c r="E3745">
        <v>1</v>
      </c>
      <c r="F3745" t="s">
        <v>5152</v>
      </c>
    </row>
    <row r="3746" spans="1:6" x14ac:dyDescent="0.25">
      <c r="A3746" t="s">
        <v>4201</v>
      </c>
      <c r="B3746" t="s">
        <v>1807</v>
      </c>
      <c r="C3746" t="s">
        <v>1808</v>
      </c>
      <c r="D3746" t="str">
        <f>HYPERLINK("http://service.sap.com/sap/support/notes/1792974","1792974")</f>
        <v>1792974</v>
      </c>
      <c r="E3746">
        <v>5</v>
      </c>
      <c r="F3746" t="s">
        <v>5153</v>
      </c>
    </row>
    <row r="3747" spans="1:6" x14ac:dyDescent="0.25">
      <c r="A3747" t="s">
        <v>4201</v>
      </c>
      <c r="B3747" t="s">
        <v>1807</v>
      </c>
      <c r="C3747" t="s">
        <v>1808</v>
      </c>
      <c r="D3747" t="str">
        <f>HYPERLINK("http://service.sap.com/sap/support/notes/1795985","1795985")</f>
        <v>1795985</v>
      </c>
      <c r="E3747">
        <v>2</v>
      </c>
      <c r="F3747" t="s">
        <v>5154</v>
      </c>
    </row>
    <row r="3748" spans="1:6" x14ac:dyDescent="0.25">
      <c r="A3748" t="s">
        <v>4201</v>
      </c>
      <c r="B3748" t="s">
        <v>1807</v>
      </c>
      <c r="C3748" t="s">
        <v>1808</v>
      </c>
      <c r="D3748" t="str">
        <f>HYPERLINK("http://service.sap.com/sap/support/notes/1796643","1796643")</f>
        <v>1796643</v>
      </c>
      <c r="E3748">
        <v>2</v>
      </c>
      <c r="F3748" t="s">
        <v>5155</v>
      </c>
    </row>
    <row r="3749" spans="1:6" x14ac:dyDescent="0.25">
      <c r="A3749" t="s">
        <v>4201</v>
      </c>
      <c r="B3749" t="s">
        <v>5156</v>
      </c>
      <c r="C3749" t="s">
        <v>5157</v>
      </c>
      <c r="D3749" t="str">
        <f>HYPERLINK("http://service.sap.com/sap/support/notes/1771413","1771413")</f>
        <v>1771413</v>
      </c>
      <c r="E3749">
        <v>3</v>
      </c>
      <c r="F3749" t="s">
        <v>5158</v>
      </c>
    </row>
    <row r="3750" spans="1:6" x14ac:dyDescent="0.25">
      <c r="A3750" t="s">
        <v>4201</v>
      </c>
      <c r="B3750" t="s">
        <v>1844</v>
      </c>
      <c r="C3750" t="s">
        <v>1845</v>
      </c>
      <c r="D3750" t="str">
        <f>HYPERLINK("http://service.sap.com/sap/support/notes/1712061","1712061")</f>
        <v>1712061</v>
      </c>
      <c r="E3750">
        <v>2</v>
      </c>
      <c r="F3750" t="s">
        <v>5159</v>
      </c>
    </row>
    <row r="3751" spans="1:6" x14ac:dyDescent="0.25">
      <c r="A3751" t="s">
        <v>4201</v>
      </c>
      <c r="B3751" t="s">
        <v>1844</v>
      </c>
      <c r="C3751" t="s">
        <v>1845</v>
      </c>
      <c r="D3751" t="str">
        <f>HYPERLINK("http://service.sap.com/sap/support/notes/1771323","1771323")</f>
        <v>1771323</v>
      </c>
      <c r="E3751">
        <v>1</v>
      </c>
      <c r="F3751" t="s">
        <v>5160</v>
      </c>
    </row>
    <row r="3752" spans="1:6" x14ac:dyDescent="0.25">
      <c r="A3752" t="s">
        <v>4201</v>
      </c>
      <c r="B3752" t="s">
        <v>1844</v>
      </c>
      <c r="C3752" t="s">
        <v>1845</v>
      </c>
      <c r="D3752" t="str">
        <f>HYPERLINK("http://service.sap.com/sap/support/notes/1781235","1781235")</f>
        <v>1781235</v>
      </c>
      <c r="E3752">
        <v>1</v>
      </c>
      <c r="F3752" t="s">
        <v>5161</v>
      </c>
    </row>
    <row r="3753" spans="1:6" x14ac:dyDescent="0.25">
      <c r="A3753" t="s">
        <v>4201</v>
      </c>
      <c r="B3753" t="s">
        <v>1844</v>
      </c>
      <c r="C3753" t="s">
        <v>1845</v>
      </c>
      <c r="D3753" t="str">
        <f>HYPERLINK("http://service.sap.com/sap/support/notes/1793630","1793630")</f>
        <v>1793630</v>
      </c>
      <c r="E3753">
        <v>2</v>
      </c>
      <c r="F3753" t="s">
        <v>5162</v>
      </c>
    </row>
    <row r="3754" spans="1:6" x14ac:dyDescent="0.25">
      <c r="A3754" t="s">
        <v>4201</v>
      </c>
      <c r="B3754" t="s">
        <v>1850</v>
      </c>
      <c r="C3754" t="s">
        <v>1851</v>
      </c>
      <c r="D3754" t="str">
        <f>HYPERLINK("http://service.sap.com/sap/support/notes/1777507","1777507")</f>
        <v>1777507</v>
      </c>
      <c r="E3754">
        <v>2</v>
      </c>
      <c r="F3754" t="s">
        <v>5163</v>
      </c>
    </row>
    <row r="3755" spans="1:6" x14ac:dyDescent="0.25">
      <c r="A3755" t="s">
        <v>4201</v>
      </c>
      <c r="B3755" t="s">
        <v>1856</v>
      </c>
      <c r="C3755" t="s">
        <v>1857</v>
      </c>
      <c r="D3755" t="str">
        <f>HYPERLINK("http://service.sap.com/sap/support/notes/1782714","1782714")</f>
        <v>1782714</v>
      </c>
      <c r="E3755">
        <v>3</v>
      </c>
      <c r="F3755" t="s">
        <v>5164</v>
      </c>
    </row>
    <row r="3756" spans="1:6" x14ac:dyDescent="0.25">
      <c r="A3756" t="s">
        <v>4201</v>
      </c>
      <c r="B3756" t="s">
        <v>5165</v>
      </c>
      <c r="C3756" t="s">
        <v>5166</v>
      </c>
    </row>
    <row r="3757" spans="1:6" x14ac:dyDescent="0.25">
      <c r="A3757" t="s">
        <v>4201</v>
      </c>
      <c r="B3757" t="s">
        <v>5167</v>
      </c>
      <c r="C3757" t="s">
        <v>5168</v>
      </c>
      <c r="D3757" t="str">
        <f>HYPERLINK("http://service.sap.com/sap/support/notes/1755477","1755477")</f>
        <v>1755477</v>
      </c>
      <c r="E3757">
        <v>2</v>
      </c>
      <c r="F3757" t="s">
        <v>5169</v>
      </c>
    </row>
    <row r="3758" spans="1:6" x14ac:dyDescent="0.25">
      <c r="A3758" t="s">
        <v>4201</v>
      </c>
      <c r="B3758" t="s">
        <v>1860</v>
      </c>
      <c r="C3758" t="s">
        <v>1861</v>
      </c>
      <c r="D3758" t="str">
        <f>HYPERLINK("http://service.sap.com/sap/support/notes/1764901","1764901")</f>
        <v>1764901</v>
      </c>
      <c r="E3758">
        <v>2</v>
      </c>
      <c r="F3758" t="s">
        <v>5170</v>
      </c>
    </row>
    <row r="3759" spans="1:6" x14ac:dyDescent="0.25">
      <c r="A3759" t="s">
        <v>4201</v>
      </c>
      <c r="B3759" t="s">
        <v>1860</v>
      </c>
      <c r="C3759" t="s">
        <v>1861</v>
      </c>
      <c r="D3759" t="str">
        <f>HYPERLINK("http://service.sap.com/sap/support/notes/1767473","1767473")</f>
        <v>1767473</v>
      </c>
      <c r="E3759">
        <v>3</v>
      </c>
      <c r="F3759" t="s">
        <v>5171</v>
      </c>
    </row>
    <row r="3760" spans="1:6" x14ac:dyDescent="0.25">
      <c r="A3760" t="s">
        <v>4201</v>
      </c>
      <c r="B3760" t="s">
        <v>1860</v>
      </c>
      <c r="C3760" t="s">
        <v>1861</v>
      </c>
      <c r="D3760" t="str">
        <f>HYPERLINK("http://service.sap.com/sap/support/notes/1770702","1770702")</f>
        <v>1770702</v>
      </c>
      <c r="E3760">
        <v>3</v>
      </c>
      <c r="F3760" t="s">
        <v>5172</v>
      </c>
    </row>
    <row r="3761" spans="1:6" x14ac:dyDescent="0.25">
      <c r="A3761" t="s">
        <v>4201</v>
      </c>
      <c r="B3761" t="s">
        <v>1860</v>
      </c>
      <c r="C3761" t="s">
        <v>1861</v>
      </c>
      <c r="D3761" t="str">
        <f>HYPERLINK("http://service.sap.com/sap/support/notes/1787332","1787332")</f>
        <v>1787332</v>
      </c>
      <c r="E3761">
        <v>1</v>
      </c>
      <c r="F3761" t="s">
        <v>5173</v>
      </c>
    </row>
    <row r="3762" spans="1:6" x14ac:dyDescent="0.25">
      <c r="A3762" t="s">
        <v>4201</v>
      </c>
      <c r="B3762" t="s">
        <v>1860</v>
      </c>
      <c r="C3762" t="s">
        <v>1861</v>
      </c>
      <c r="D3762" t="str">
        <f>HYPERLINK("http://service.sap.com/sap/support/notes/1788850","1788850")</f>
        <v>1788850</v>
      </c>
      <c r="E3762">
        <v>1</v>
      </c>
      <c r="F3762" t="s">
        <v>5174</v>
      </c>
    </row>
    <row r="3763" spans="1:6" x14ac:dyDescent="0.25">
      <c r="A3763" t="s">
        <v>4201</v>
      </c>
      <c r="B3763" t="s">
        <v>1860</v>
      </c>
      <c r="C3763" t="s">
        <v>1861</v>
      </c>
      <c r="D3763" t="str">
        <f>HYPERLINK("http://service.sap.com/sap/support/notes/1789604","1789604")</f>
        <v>1789604</v>
      </c>
      <c r="E3763">
        <v>1</v>
      </c>
      <c r="F3763" t="s">
        <v>5175</v>
      </c>
    </row>
    <row r="3764" spans="1:6" x14ac:dyDescent="0.25">
      <c r="A3764" t="s">
        <v>4201</v>
      </c>
      <c r="B3764" t="s">
        <v>1860</v>
      </c>
      <c r="C3764" t="s">
        <v>1861</v>
      </c>
      <c r="D3764" t="str">
        <f>HYPERLINK("http://service.sap.com/sap/support/notes/1795658","1795658")</f>
        <v>1795658</v>
      </c>
      <c r="E3764">
        <v>1</v>
      </c>
      <c r="F3764" t="s">
        <v>5176</v>
      </c>
    </row>
    <row r="3765" spans="1:6" x14ac:dyDescent="0.25">
      <c r="A3765" t="s">
        <v>4201</v>
      </c>
      <c r="B3765" t="s">
        <v>1870</v>
      </c>
      <c r="C3765" t="s">
        <v>1871</v>
      </c>
      <c r="D3765" t="str">
        <f>HYPERLINK("http://service.sap.com/sap/support/notes/1785685","1785685")</f>
        <v>1785685</v>
      </c>
      <c r="E3765">
        <v>1</v>
      </c>
      <c r="F3765" t="s">
        <v>5177</v>
      </c>
    </row>
    <row r="3766" spans="1:6" x14ac:dyDescent="0.25">
      <c r="A3766" t="s">
        <v>4201</v>
      </c>
      <c r="B3766" t="s">
        <v>1870</v>
      </c>
      <c r="C3766" t="s">
        <v>1871</v>
      </c>
      <c r="D3766" t="str">
        <f>HYPERLINK("http://service.sap.com/sap/support/notes/1788537","1788537")</f>
        <v>1788537</v>
      </c>
      <c r="E3766">
        <v>1</v>
      </c>
      <c r="F3766" t="s">
        <v>5178</v>
      </c>
    </row>
    <row r="3767" spans="1:6" x14ac:dyDescent="0.25">
      <c r="A3767" t="s">
        <v>4201</v>
      </c>
      <c r="B3767" t="s">
        <v>1875</v>
      </c>
      <c r="C3767" t="s">
        <v>218</v>
      </c>
      <c r="D3767" t="str">
        <f>HYPERLINK("http://service.sap.com/sap/support/notes/1735912","1735912")</f>
        <v>1735912</v>
      </c>
      <c r="E3767">
        <v>2</v>
      </c>
      <c r="F3767" t="s">
        <v>5179</v>
      </c>
    </row>
    <row r="3768" spans="1:6" x14ac:dyDescent="0.25">
      <c r="A3768" t="s">
        <v>4201</v>
      </c>
      <c r="B3768" t="s">
        <v>1877</v>
      </c>
      <c r="C3768" t="s">
        <v>1878</v>
      </c>
      <c r="D3768" t="str">
        <f>HYPERLINK("http://service.sap.com/sap/support/notes/1775690","1775690")</f>
        <v>1775690</v>
      </c>
      <c r="E3768">
        <v>1</v>
      </c>
      <c r="F3768" t="s">
        <v>5180</v>
      </c>
    </row>
    <row r="3769" spans="1:6" x14ac:dyDescent="0.25">
      <c r="A3769" t="s">
        <v>4201</v>
      </c>
      <c r="B3769" t="s">
        <v>1877</v>
      </c>
      <c r="C3769" t="s">
        <v>1878</v>
      </c>
      <c r="D3769" t="str">
        <f>HYPERLINK("http://service.sap.com/sap/support/notes/1786724","1786724")</f>
        <v>1786724</v>
      </c>
      <c r="E3769">
        <v>2</v>
      </c>
      <c r="F3769" t="s">
        <v>5181</v>
      </c>
    </row>
    <row r="3770" spans="1:6" x14ac:dyDescent="0.25">
      <c r="A3770" t="s">
        <v>4201</v>
      </c>
      <c r="B3770" t="s">
        <v>1882</v>
      </c>
      <c r="C3770" t="s">
        <v>1883</v>
      </c>
      <c r="D3770" t="str">
        <f>HYPERLINK("http://service.sap.com/sap/support/notes/1783760","1783760")</f>
        <v>1783760</v>
      </c>
      <c r="E3770">
        <v>2</v>
      </c>
      <c r="F3770" t="s">
        <v>5182</v>
      </c>
    </row>
    <row r="3771" spans="1:6" x14ac:dyDescent="0.25">
      <c r="A3771" t="s">
        <v>4201</v>
      </c>
      <c r="B3771" t="s">
        <v>1882</v>
      </c>
      <c r="C3771" t="s">
        <v>1883</v>
      </c>
      <c r="D3771" t="str">
        <f>HYPERLINK("http://service.sap.com/sap/support/notes/1796212","1796212")</f>
        <v>1796212</v>
      </c>
      <c r="E3771">
        <v>1</v>
      </c>
      <c r="F3771" t="s">
        <v>5183</v>
      </c>
    </row>
    <row r="3772" spans="1:6" x14ac:dyDescent="0.25">
      <c r="A3772" t="s">
        <v>4201</v>
      </c>
      <c r="B3772" t="s">
        <v>1887</v>
      </c>
      <c r="C3772" t="s">
        <v>1888</v>
      </c>
      <c r="D3772" t="str">
        <f>HYPERLINK("http://service.sap.com/sap/support/notes/1741642","1741642")</f>
        <v>1741642</v>
      </c>
      <c r="E3772">
        <v>2</v>
      </c>
      <c r="F3772" t="s">
        <v>5184</v>
      </c>
    </row>
    <row r="3773" spans="1:6" x14ac:dyDescent="0.25">
      <c r="A3773" t="s">
        <v>4201</v>
      </c>
      <c r="B3773" t="s">
        <v>1887</v>
      </c>
      <c r="C3773" t="s">
        <v>1888</v>
      </c>
      <c r="D3773" t="str">
        <f>HYPERLINK("http://service.sap.com/sap/support/notes/1790848","1790848")</f>
        <v>1790848</v>
      </c>
      <c r="E3773">
        <v>4</v>
      </c>
      <c r="F3773" t="s">
        <v>5185</v>
      </c>
    </row>
    <row r="3774" spans="1:6" x14ac:dyDescent="0.25">
      <c r="A3774" t="s">
        <v>4201</v>
      </c>
      <c r="B3774" t="s">
        <v>1890</v>
      </c>
      <c r="C3774" t="s">
        <v>1712</v>
      </c>
      <c r="D3774" t="str">
        <f>HYPERLINK("http://service.sap.com/sap/support/notes/1763417","1763417")</f>
        <v>1763417</v>
      </c>
      <c r="E3774">
        <v>2</v>
      </c>
      <c r="F3774" t="s">
        <v>5186</v>
      </c>
    </row>
    <row r="3775" spans="1:6" x14ac:dyDescent="0.25">
      <c r="A3775" t="s">
        <v>4201</v>
      </c>
      <c r="B3775" t="s">
        <v>1890</v>
      </c>
      <c r="C3775" t="s">
        <v>1712</v>
      </c>
      <c r="D3775" t="str">
        <f>HYPERLINK("http://service.sap.com/sap/support/notes/1770094","1770094")</f>
        <v>1770094</v>
      </c>
      <c r="E3775">
        <v>4</v>
      </c>
      <c r="F3775" t="s">
        <v>5187</v>
      </c>
    </row>
    <row r="3776" spans="1:6" x14ac:dyDescent="0.25">
      <c r="A3776" t="s">
        <v>4201</v>
      </c>
      <c r="B3776" t="s">
        <v>1890</v>
      </c>
      <c r="C3776" t="s">
        <v>1712</v>
      </c>
      <c r="D3776" t="str">
        <f>HYPERLINK("http://service.sap.com/sap/support/notes/1776758","1776758")</f>
        <v>1776758</v>
      </c>
      <c r="E3776">
        <v>1</v>
      </c>
      <c r="F3776" t="s">
        <v>5188</v>
      </c>
    </row>
    <row r="3777" spans="1:6" x14ac:dyDescent="0.25">
      <c r="A3777" t="s">
        <v>4201</v>
      </c>
      <c r="B3777" t="s">
        <v>1890</v>
      </c>
      <c r="C3777" t="s">
        <v>1712</v>
      </c>
      <c r="D3777" t="str">
        <f>HYPERLINK("http://service.sap.com/sap/support/notes/1784909","1784909")</f>
        <v>1784909</v>
      </c>
      <c r="E3777">
        <v>1</v>
      </c>
      <c r="F3777" t="s">
        <v>5189</v>
      </c>
    </row>
    <row r="3778" spans="1:6" x14ac:dyDescent="0.25">
      <c r="A3778" t="s">
        <v>4201</v>
      </c>
      <c r="B3778" t="s">
        <v>1890</v>
      </c>
      <c r="C3778" t="s">
        <v>1712</v>
      </c>
      <c r="D3778" t="str">
        <f>HYPERLINK("http://service.sap.com/sap/support/notes/1790326","1790326")</f>
        <v>1790326</v>
      </c>
      <c r="E3778">
        <v>1</v>
      </c>
      <c r="F3778" t="s">
        <v>5190</v>
      </c>
    </row>
    <row r="3779" spans="1:6" x14ac:dyDescent="0.25">
      <c r="A3779" t="s">
        <v>4201</v>
      </c>
      <c r="B3779" t="s">
        <v>1897</v>
      </c>
      <c r="C3779" t="s">
        <v>1898</v>
      </c>
      <c r="D3779" t="str">
        <f>HYPERLINK("http://service.sap.com/sap/support/notes/1695604","1695604")</f>
        <v>1695604</v>
      </c>
      <c r="E3779">
        <v>2</v>
      </c>
      <c r="F3779" t="s">
        <v>5191</v>
      </c>
    </row>
    <row r="3780" spans="1:6" x14ac:dyDescent="0.25">
      <c r="A3780" t="s">
        <v>4201</v>
      </c>
      <c r="B3780" t="s">
        <v>1897</v>
      </c>
      <c r="C3780" t="s">
        <v>1898</v>
      </c>
      <c r="D3780" t="str">
        <f>HYPERLINK("http://service.sap.com/sap/support/notes/1772903","1772903")</f>
        <v>1772903</v>
      </c>
      <c r="E3780">
        <v>2</v>
      </c>
      <c r="F3780" t="s">
        <v>5192</v>
      </c>
    </row>
    <row r="3781" spans="1:6" x14ac:dyDescent="0.25">
      <c r="A3781" t="s">
        <v>4201</v>
      </c>
      <c r="B3781" t="s">
        <v>5193</v>
      </c>
      <c r="C3781" t="s">
        <v>5194</v>
      </c>
      <c r="D3781" t="str">
        <f>HYPERLINK("http://service.sap.com/sap/support/notes/1786258","1786258")</f>
        <v>1786258</v>
      </c>
      <c r="E3781">
        <v>2</v>
      </c>
      <c r="F3781" t="s">
        <v>5195</v>
      </c>
    </row>
    <row r="3782" spans="1:6" x14ac:dyDescent="0.25">
      <c r="A3782" t="s">
        <v>4201</v>
      </c>
      <c r="B3782" t="s">
        <v>1900</v>
      </c>
      <c r="C3782" t="s">
        <v>1901</v>
      </c>
      <c r="D3782" t="str">
        <f>HYPERLINK("http://service.sap.com/sap/support/notes/1758129","1758129")</f>
        <v>1758129</v>
      </c>
      <c r="E3782">
        <v>4</v>
      </c>
      <c r="F3782" t="s">
        <v>5196</v>
      </c>
    </row>
    <row r="3783" spans="1:6" x14ac:dyDescent="0.25">
      <c r="A3783" t="s">
        <v>4201</v>
      </c>
      <c r="B3783" t="s">
        <v>1900</v>
      </c>
      <c r="C3783" t="s">
        <v>1901</v>
      </c>
      <c r="D3783" t="str">
        <f>HYPERLINK("http://service.sap.com/sap/support/notes/1781890","1781890")</f>
        <v>1781890</v>
      </c>
      <c r="E3783">
        <v>1</v>
      </c>
      <c r="F3783" t="s">
        <v>5197</v>
      </c>
    </row>
    <row r="3784" spans="1:6" x14ac:dyDescent="0.25">
      <c r="A3784" t="s">
        <v>4201</v>
      </c>
      <c r="B3784" t="s">
        <v>5198</v>
      </c>
      <c r="C3784" t="s">
        <v>5199</v>
      </c>
      <c r="D3784" t="str">
        <f>HYPERLINK("http://service.sap.com/sap/support/notes/1703864","1703864")</f>
        <v>1703864</v>
      </c>
      <c r="E3784">
        <v>3</v>
      </c>
      <c r="F3784" t="s">
        <v>5200</v>
      </c>
    </row>
    <row r="3785" spans="1:6" x14ac:dyDescent="0.25">
      <c r="A3785" t="s">
        <v>4201</v>
      </c>
      <c r="B3785" t="s">
        <v>5201</v>
      </c>
      <c r="C3785" t="s">
        <v>5202</v>
      </c>
      <c r="D3785" t="str">
        <f>HYPERLINK("http://service.sap.com/sap/support/notes/1746559","1746559")</f>
        <v>1746559</v>
      </c>
      <c r="E3785">
        <v>3</v>
      </c>
      <c r="F3785" t="s">
        <v>5203</v>
      </c>
    </row>
    <row r="3786" spans="1:6" x14ac:dyDescent="0.25">
      <c r="A3786" t="s">
        <v>4201</v>
      </c>
      <c r="B3786" t="s">
        <v>1913</v>
      </c>
      <c r="C3786" t="s">
        <v>1914</v>
      </c>
      <c r="D3786" t="str">
        <f>HYPERLINK("http://service.sap.com/sap/support/notes/1767972","1767972")</f>
        <v>1767972</v>
      </c>
      <c r="E3786">
        <v>2</v>
      </c>
      <c r="F3786" t="s">
        <v>5204</v>
      </c>
    </row>
    <row r="3787" spans="1:6" x14ac:dyDescent="0.25">
      <c r="A3787" t="s">
        <v>4201</v>
      </c>
      <c r="B3787" t="s">
        <v>1913</v>
      </c>
      <c r="C3787" t="s">
        <v>1914</v>
      </c>
      <c r="D3787" t="str">
        <f>HYPERLINK("http://service.sap.com/sap/support/notes/1769622","1769622")</f>
        <v>1769622</v>
      </c>
      <c r="E3787">
        <v>2</v>
      </c>
      <c r="F3787" t="s">
        <v>5205</v>
      </c>
    </row>
    <row r="3788" spans="1:6" x14ac:dyDescent="0.25">
      <c r="A3788" t="s">
        <v>4201</v>
      </c>
      <c r="B3788" t="s">
        <v>1913</v>
      </c>
      <c r="C3788" t="s">
        <v>1914</v>
      </c>
      <c r="D3788" t="str">
        <f>HYPERLINK("http://service.sap.com/sap/support/notes/1778666","1778666")</f>
        <v>1778666</v>
      </c>
      <c r="E3788">
        <v>1</v>
      </c>
      <c r="F3788" t="s">
        <v>5206</v>
      </c>
    </row>
    <row r="3789" spans="1:6" x14ac:dyDescent="0.25">
      <c r="A3789" t="s">
        <v>4201</v>
      </c>
      <c r="B3789" t="s">
        <v>1913</v>
      </c>
      <c r="C3789" t="s">
        <v>1914</v>
      </c>
      <c r="D3789" t="str">
        <f>HYPERLINK("http://service.sap.com/sap/support/notes/1779553","1779553")</f>
        <v>1779553</v>
      </c>
      <c r="E3789">
        <v>2</v>
      </c>
      <c r="F3789" t="s">
        <v>5207</v>
      </c>
    </row>
    <row r="3790" spans="1:6" x14ac:dyDescent="0.25">
      <c r="A3790" t="s">
        <v>4201</v>
      </c>
      <c r="B3790" t="s">
        <v>1913</v>
      </c>
      <c r="C3790" t="s">
        <v>1914</v>
      </c>
      <c r="D3790" t="str">
        <f>HYPERLINK("http://service.sap.com/sap/support/notes/1792085","1792085")</f>
        <v>1792085</v>
      </c>
      <c r="E3790">
        <v>1</v>
      </c>
      <c r="F3790" t="s">
        <v>5208</v>
      </c>
    </row>
    <row r="3791" spans="1:6" x14ac:dyDescent="0.25">
      <c r="A3791" t="s">
        <v>4201</v>
      </c>
      <c r="B3791" t="s">
        <v>1922</v>
      </c>
      <c r="C3791" t="s">
        <v>1923</v>
      </c>
    </row>
    <row r="3792" spans="1:6" x14ac:dyDescent="0.25">
      <c r="A3792" t="s">
        <v>4201</v>
      </c>
      <c r="B3792" t="s">
        <v>1924</v>
      </c>
      <c r="C3792" t="s">
        <v>1925</v>
      </c>
      <c r="D3792" t="str">
        <f>HYPERLINK("http://service.sap.com/sap/support/notes/1698031","1698031")</f>
        <v>1698031</v>
      </c>
      <c r="E3792">
        <v>3</v>
      </c>
      <c r="F3792" t="s">
        <v>5209</v>
      </c>
    </row>
    <row r="3793" spans="1:6" x14ac:dyDescent="0.25">
      <c r="A3793" t="s">
        <v>4201</v>
      </c>
      <c r="B3793" t="s">
        <v>1924</v>
      </c>
      <c r="C3793" t="s">
        <v>1925</v>
      </c>
      <c r="D3793" t="str">
        <f>HYPERLINK("http://service.sap.com/sap/support/notes/1771584","1771584")</f>
        <v>1771584</v>
      </c>
      <c r="E3793">
        <v>2</v>
      </c>
      <c r="F3793" t="s">
        <v>5210</v>
      </c>
    </row>
    <row r="3794" spans="1:6" x14ac:dyDescent="0.25">
      <c r="A3794" t="s">
        <v>4201</v>
      </c>
      <c r="B3794" t="s">
        <v>1924</v>
      </c>
      <c r="C3794" t="s">
        <v>1925</v>
      </c>
      <c r="D3794" t="str">
        <f>HYPERLINK("http://service.sap.com/sap/support/notes/1776265","1776265")</f>
        <v>1776265</v>
      </c>
      <c r="E3794">
        <v>2</v>
      </c>
      <c r="F3794" t="s">
        <v>5211</v>
      </c>
    </row>
    <row r="3795" spans="1:6" x14ac:dyDescent="0.25">
      <c r="A3795" t="s">
        <v>4201</v>
      </c>
      <c r="B3795" t="s">
        <v>1924</v>
      </c>
      <c r="C3795" t="s">
        <v>1925</v>
      </c>
      <c r="D3795" t="str">
        <f>HYPERLINK("http://service.sap.com/sap/support/notes/1783673","1783673")</f>
        <v>1783673</v>
      </c>
      <c r="E3795">
        <v>2</v>
      </c>
      <c r="F3795" t="s">
        <v>5212</v>
      </c>
    </row>
    <row r="3796" spans="1:6" x14ac:dyDescent="0.25">
      <c r="A3796" t="s">
        <v>4201</v>
      </c>
      <c r="B3796" t="s">
        <v>1933</v>
      </c>
      <c r="C3796" t="s">
        <v>5213</v>
      </c>
      <c r="D3796" t="str">
        <f>HYPERLINK("http://service.sap.com/sap/support/notes/1749916","1749916")</f>
        <v>1749916</v>
      </c>
      <c r="E3796">
        <v>3</v>
      </c>
      <c r="F3796" t="s">
        <v>5214</v>
      </c>
    </row>
    <row r="3797" spans="1:6" x14ac:dyDescent="0.25">
      <c r="A3797" t="s">
        <v>4201</v>
      </c>
      <c r="B3797" t="s">
        <v>1933</v>
      </c>
      <c r="C3797" t="s">
        <v>5213</v>
      </c>
      <c r="D3797" t="str">
        <f>HYPERLINK("http://service.sap.com/sap/support/notes/1776612","1776612")</f>
        <v>1776612</v>
      </c>
      <c r="E3797">
        <v>2</v>
      </c>
      <c r="F3797" t="s">
        <v>5215</v>
      </c>
    </row>
    <row r="3798" spans="1:6" x14ac:dyDescent="0.25">
      <c r="A3798" t="s">
        <v>4201</v>
      </c>
      <c r="B3798" t="s">
        <v>5216</v>
      </c>
      <c r="C3798" t="s">
        <v>151</v>
      </c>
      <c r="D3798" t="str">
        <f>HYPERLINK("http://service.sap.com/sap/support/notes/1789613","1789613")</f>
        <v>1789613</v>
      </c>
      <c r="E3798">
        <v>2</v>
      </c>
      <c r="F3798" t="s">
        <v>5217</v>
      </c>
    </row>
    <row r="3799" spans="1:6" x14ac:dyDescent="0.25">
      <c r="A3799" t="s">
        <v>4201</v>
      </c>
      <c r="B3799" t="s">
        <v>5218</v>
      </c>
      <c r="C3799" t="s">
        <v>5219</v>
      </c>
      <c r="D3799" t="str">
        <f>HYPERLINK("http://service.sap.com/sap/support/notes/1699680","1699680")</f>
        <v>1699680</v>
      </c>
      <c r="E3799">
        <v>5</v>
      </c>
      <c r="F3799" t="s">
        <v>5220</v>
      </c>
    </row>
    <row r="3800" spans="1:6" x14ac:dyDescent="0.25">
      <c r="A3800" t="s">
        <v>4201</v>
      </c>
      <c r="B3800" t="s">
        <v>1935</v>
      </c>
      <c r="C3800" t="s">
        <v>1936</v>
      </c>
      <c r="D3800" t="str">
        <f>HYPERLINK("http://service.sap.com/sap/support/notes/1749169","1749169")</f>
        <v>1749169</v>
      </c>
      <c r="E3800">
        <v>3</v>
      </c>
      <c r="F3800" t="s">
        <v>5221</v>
      </c>
    </row>
    <row r="3801" spans="1:6" x14ac:dyDescent="0.25">
      <c r="A3801" t="s">
        <v>4201</v>
      </c>
      <c r="B3801" t="s">
        <v>1945</v>
      </c>
      <c r="C3801" t="s">
        <v>1946</v>
      </c>
      <c r="D3801" t="str">
        <f>HYPERLINK("http://service.sap.com/sap/support/notes/1692510","1692510")</f>
        <v>1692510</v>
      </c>
      <c r="E3801">
        <v>2</v>
      </c>
      <c r="F3801" t="s">
        <v>5222</v>
      </c>
    </row>
    <row r="3802" spans="1:6" x14ac:dyDescent="0.25">
      <c r="A3802" t="s">
        <v>4201</v>
      </c>
      <c r="B3802" t="s">
        <v>1945</v>
      </c>
      <c r="C3802" t="s">
        <v>1946</v>
      </c>
      <c r="D3802" t="str">
        <f>HYPERLINK("http://service.sap.com/sap/support/notes/1720664","1720664")</f>
        <v>1720664</v>
      </c>
      <c r="E3802">
        <v>2</v>
      </c>
      <c r="F3802" t="s">
        <v>5223</v>
      </c>
    </row>
    <row r="3803" spans="1:6" x14ac:dyDescent="0.25">
      <c r="A3803" t="s">
        <v>4201</v>
      </c>
      <c r="B3803" t="s">
        <v>1945</v>
      </c>
      <c r="C3803" t="s">
        <v>1946</v>
      </c>
      <c r="D3803" t="str">
        <f>HYPERLINK("http://service.sap.com/sap/support/notes/1752211","1752211")</f>
        <v>1752211</v>
      </c>
      <c r="E3803">
        <v>3</v>
      </c>
      <c r="F3803" t="s">
        <v>5224</v>
      </c>
    </row>
    <row r="3804" spans="1:6" x14ac:dyDescent="0.25">
      <c r="A3804" t="s">
        <v>4201</v>
      </c>
      <c r="B3804" t="s">
        <v>1948</v>
      </c>
      <c r="C3804" t="s">
        <v>1949</v>
      </c>
    </row>
    <row r="3805" spans="1:6" x14ac:dyDescent="0.25">
      <c r="A3805" t="s">
        <v>4201</v>
      </c>
      <c r="B3805" t="s">
        <v>1950</v>
      </c>
      <c r="C3805" t="s">
        <v>1951</v>
      </c>
      <c r="D3805" t="str">
        <f>HYPERLINK("http://service.sap.com/sap/support/notes/1769023","1769023")</f>
        <v>1769023</v>
      </c>
      <c r="E3805">
        <v>3</v>
      </c>
      <c r="F3805" t="s">
        <v>5225</v>
      </c>
    </row>
    <row r="3806" spans="1:6" x14ac:dyDescent="0.25">
      <c r="A3806" t="s">
        <v>4201</v>
      </c>
      <c r="B3806" t="s">
        <v>1955</v>
      </c>
      <c r="C3806" t="s">
        <v>1956</v>
      </c>
    </row>
    <row r="3807" spans="1:6" x14ac:dyDescent="0.25">
      <c r="A3807" t="s">
        <v>4201</v>
      </c>
      <c r="B3807" t="s">
        <v>1957</v>
      </c>
      <c r="C3807" t="s">
        <v>1696</v>
      </c>
      <c r="D3807" t="str">
        <f>HYPERLINK("http://service.sap.com/sap/support/notes/1764434","1764434")</f>
        <v>1764434</v>
      </c>
      <c r="E3807">
        <v>3</v>
      </c>
      <c r="F3807" t="s">
        <v>5226</v>
      </c>
    </row>
    <row r="3808" spans="1:6" x14ac:dyDescent="0.25">
      <c r="A3808" t="s">
        <v>4201</v>
      </c>
      <c r="B3808" t="s">
        <v>1966</v>
      </c>
      <c r="C3808" t="s">
        <v>1638</v>
      </c>
      <c r="D3808" t="str">
        <f>HYPERLINK("http://service.sap.com/sap/support/notes/1767267","1767267")</f>
        <v>1767267</v>
      </c>
      <c r="E3808">
        <v>2</v>
      </c>
      <c r="F3808" t="s">
        <v>5227</v>
      </c>
    </row>
    <row r="3809" spans="1:6" x14ac:dyDescent="0.25">
      <c r="A3809" t="s">
        <v>4201</v>
      </c>
      <c r="B3809" t="s">
        <v>1966</v>
      </c>
      <c r="C3809" t="s">
        <v>1638</v>
      </c>
      <c r="D3809" t="str">
        <f>HYPERLINK("http://service.sap.com/sap/support/notes/1769663","1769663")</f>
        <v>1769663</v>
      </c>
      <c r="E3809">
        <v>2</v>
      </c>
      <c r="F3809" t="s">
        <v>5228</v>
      </c>
    </row>
    <row r="3810" spans="1:6" x14ac:dyDescent="0.25">
      <c r="A3810" t="s">
        <v>4201</v>
      </c>
      <c r="B3810" t="s">
        <v>1966</v>
      </c>
      <c r="C3810" t="s">
        <v>1638</v>
      </c>
      <c r="D3810" t="str">
        <f>HYPERLINK("http://service.sap.com/sap/support/notes/1776551","1776551")</f>
        <v>1776551</v>
      </c>
      <c r="E3810">
        <v>4</v>
      </c>
      <c r="F3810" t="s">
        <v>5229</v>
      </c>
    </row>
    <row r="3811" spans="1:6" x14ac:dyDescent="0.25">
      <c r="A3811" t="s">
        <v>4201</v>
      </c>
      <c r="B3811" t="s">
        <v>1966</v>
      </c>
      <c r="C3811" t="s">
        <v>1638</v>
      </c>
      <c r="D3811" t="str">
        <f>HYPERLINK("http://service.sap.com/sap/support/notes/1779135","1779135")</f>
        <v>1779135</v>
      </c>
      <c r="E3811">
        <v>2</v>
      </c>
      <c r="F3811" t="s">
        <v>5230</v>
      </c>
    </row>
    <row r="3812" spans="1:6" x14ac:dyDescent="0.25">
      <c r="A3812" t="s">
        <v>4201</v>
      </c>
      <c r="B3812" t="s">
        <v>1969</v>
      </c>
      <c r="C3812" t="s">
        <v>1878</v>
      </c>
      <c r="D3812" t="str">
        <f>HYPERLINK("http://service.sap.com/sap/support/notes/1738919","1738919")</f>
        <v>1738919</v>
      </c>
      <c r="E3812">
        <v>2</v>
      </c>
      <c r="F3812" t="s">
        <v>5231</v>
      </c>
    </row>
    <row r="3813" spans="1:6" x14ac:dyDescent="0.25">
      <c r="A3813" t="s">
        <v>4201</v>
      </c>
      <c r="B3813" t="s">
        <v>1969</v>
      </c>
      <c r="C3813" t="s">
        <v>1878</v>
      </c>
      <c r="D3813" t="str">
        <f>HYPERLINK("http://service.sap.com/sap/support/notes/1760753","1760753")</f>
        <v>1760753</v>
      </c>
      <c r="E3813">
        <v>3</v>
      </c>
      <c r="F3813" t="s">
        <v>5232</v>
      </c>
    </row>
    <row r="3814" spans="1:6" x14ac:dyDescent="0.25">
      <c r="A3814" t="s">
        <v>4201</v>
      </c>
      <c r="B3814" t="s">
        <v>1969</v>
      </c>
      <c r="C3814" t="s">
        <v>1878</v>
      </c>
      <c r="D3814" t="str">
        <f>HYPERLINK("http://service.sap.com/sap/support/notes/1763493","1763493")</f>
        <v>1763493</v>
      </c>
      <c r="E3814">
        <v>3</v>
      </c>
      <c r="F3814" t="s">
        <v>5233</v>
      </c>
    </row>
    <row r="3815" spans="1:6" x14ac:dyDescent="0.25">
      <c r="A3815" t="s">
        <v>4201</v>
      </c>
      <c r="B3815" t="s">
        <v>1969</v>
      </c>
      <c r="C3815" t="s">
        <v>1878</v>
      </c>
      <c r="D3815" t="str">
        <f>HYPERLINK("http://service.sap.com/sap/support/notes/1769789","1769789")</f>
        <v>1769789</v>
      </c>
      <c r="E3815">
        <v>2</v>
      </c>
      <c r="F3815" t="s">
        <v>5234</v>
      </c>
    </row>
    <row r="3816" spans="1:6" x14ac:dyDescent="0.25">
      <c r="A3816" t="s">
        <v>4201</v>
      </c>
      <c r="B3816" t="s">
        <v>1969</v>
      </c>
      <c r="C3816" t="s">
        <v>1878</v>
      </c>
      <c r="D3816" t="str">
        <f>HYPERLINK("http://service.sap.com/sap/support/notes/1774172","1774172")</f>
        <v>1774172</v>
      </c>
      <c r="E3816">
        <v>4</v>
      </c>
      <c r="F3816" t="s">
        <v>5235</v>
      </c>
    </row>
    <row r="3817" spans="1:6" x14ac:dyDescent="0.25">
      <c r="A3817" t="s">
        <v>4201</v>
      </c>
      <c r="B3817" t="s">
        <v>1969</v>
      </c>
      <c r="C3817" t="s">
        <v>1878</v>
      </c>
      <c r="D3817" t="str">
        <f>HYPERLINK("http://service.sap.com/sap/support/notes/1787209","1787209")</f>
        <v>1787209</v>
      </c>
    </row>
    <row r="3818" spans="1:6" x14ac:dyDescent="0.25">
      <c r="A3818" t="s">
        <v>4201</v>
      </c>
      <c r="B3818" t="s">
        <v>1969</v>
      </c>
      <c r="C3818" t="s">
        <v>1878</v>
      </c>
      <c r="D3818" t="str">
        <f>HYPERLINK("http://service.sap.com/sap/support/notes/1791574","1791574")</f>
        <v>1791574</v>
      </c>
      <c r="E3818">
        <v>2</v>
      </c>
      <c r="F3818" t="s">
        <v>5236</v>
      </c>
    </row>
    <row r="3819" spans="1:6" x14ac:dyDescent="0.25">
      <c r="A3819" t="s">
        <v>4201</v>
      </c>
      <c r="B3819" t="s">
        <v>1978</v>
      </c>
      <c r="C3819" t="s">
        <v>1979</v>
      </c>
      <c r="D3819" t="str">
        <f>HYPERLINK("http://service.sap.com/sap/support/notes/1779220","1779220")</f>
        <v>1779220</v>
      </c>
      <c r="E3819">
        <v>2</v>
      </c>
      <c r="F3819" t="s">
        <v>5237</v>
      </c>
    </row>
    <row r="3820" spans="1:6" x14ac:dyDescent="0.25">
      <c r="A3820" t="s">
        <v>4201</v>
      </c>
      <c r="B3820" t="s">
        <v>1978</v>
      </c>
      <c r="C3820" t="s">
        <v>1979</v>
      </c>
      <c r="D3820" t="str">
        <f>HYPERLINK("http://service.sap.com/sap/support/notes/1792063","1792063")</f>
        <v>1792063</v>
      </c>
      <c r="E3820">
        <v>1</v>
      </c>
      <c r="F3820" t="s">
        <v>5238</v>
      </c>
    </row>
    <row r="3821" spans="1:6" x14ac:dyDescent="0.25">
      <c r="A3821" t="s">
        <v>4201</v>
      </c>
      <c r="B3821" t="s">
        <v>1978</v>
      </c>
      <c r="C3821" t="s">
        <v>1979</v>
      </c>
      <c r="D3821" t="str">
        <f>HYPERLINK("http://service.sap.com/sap/support/notes/1793744","1793744")</f>
        <v>1793744</v>
      </c>
      <c r="E3821">
        <v>1</v>
      </c>
      <c r="F3821" t="s">
        <v>5239</v>
      </c>
    </row>
    <row r="3822" spans="1:6" x14ac:dyDescent="0.25">
      <c r="A3822" t="s">
        <v>4201</v>
      </c>
      <c r="B3822" t="s">
        <v>1984</v>
      </c>
      <c r="C3822" t="s">
        <v>1985</v>
      </c>
      <c r="D3822" t="str">
        <f>HYPERLINK("http://service.sap.com/sap/support/notes/1787800","1787800")</f>
        <v>1787800</v>
      </c>
      <c r="E3822">
        <v>1</v>
      </c>
      <c r="F3822" t="s">
        <v>5240</v>
      </c>
    </row>
    <row r="3823" spans="1:6" x14ac:dyDescent="0.25">
      <c r="A3823" t="s">
        <v>4201</v>
      </c>
      <c r="B3823" t="s">
        <v>1988</v>
      </c>
      <c r="C3823" t="s">
        <v>1989</v>
      </c>
    </row>
    <row r="3824" spans="1:6" x14ac:dyDescent="0.25">
      <c r="A3824" t="s">
        <v>4201</v>
      </c>
      <c r="B3824" t="s">
        <v>5241</v>
      </c>
      <c r="C3824" t="s">
        <v>5242</v>
      </c>
      <c r="D3824" t="str">
        <f>HYPERLINK("http://service.sap.com/sap/support/notes/1790816","1790816")</f>
        <v>1790816</v>
      </c>
      <c r="E3824">
        <v>1</v>
      </c>
      <c r="F3824" t="s">
        <v>5243</v>
      </c>
    </row>
    <row r="3825" spans="1:6" x14ac:dyDescent="0.25">
      <c r="A3825" t="s">
        <v>4201</v>
      </c>
      <c r="B3825" t="s">
        <v>5244</v>
      </c>
      <c r="C3825" t="s">
        <v>5245</v>
      </c>
      <c r="D3825" t="str">
        <f>HYPERLINK("http://service.sap.com/sap/support/notes/1789792","1789792")</f>
        <v>1789792</v>
      </c>
      <c r="E3825">
        <v>1</v>
      </c>
      <c r="F3825" t="s">
        <v>5246</v>
      </c>
    </row>
    <row r="3826" spans="1:6" x14ac:dyDescent="0.25">
      <c r="A3826" t="s">
        <v>4201</v>
      </c>
      <c r="B3826" t="s">
        <v>1990</v>
      </c>
      <c r="C3826" t="s">
        <v>445</v>
      </c>
      <c r="D3826" t="str">
        <f>HYPERLINK("http://service.sap.com/sap/support/notes/1770420","1770420")</f>
        <v>1770420</v>
      </c>
      <c r="E3826">
        <v>4</v>
      </c>
      <c r="F3826" t="s">
        <v>5247</v>
      </c>
    </row>
    <row r="3827" spans="1:6" x14ac:dyDescent="0.25">
      <c r="A3827" t="s">
        <v>4201</v>
      </c>
      <c r="B3827" t="s">
        <v>1990</v>
      </c>
      <c r="C3827" t="s">
        <v>445</v>
      </c>
      <c r="D3827" t="str">
        <f>HYPERLINK("http://service.sap.com/sap/support/notes/1777429","1777429")</f>
        <v>1777429</v>
      </c>
      <c r="E3827">
        <v>2</v>
      </c>
      <c r="F3827" t="s">
        <v>5248</v>
      </c>
    </row>
    <row r="3828" spans="1:6" x14ac:dyDescent="0.25">
      <c r="A3828" t="s">
        <v>4201</v>
      </c>
      <c r="B3828" t="s">
        <v>1990</v>
      </c>
      <c r="C3828" t="s">
        <v>445</v>
      </c>
      <c r="D3828" t="str">
        <f>HYPERLINK("http://service.sap.com/sap/support/notes/1789712","1789712")</f>
        <v>1789712</v>
      </c>
      <c r="E3828">
        <v>2</v>
      </c>
      <c r="F3828" t="s">
        <v>5249</v>
      </c>
    </row>
    <row r="3829" spans="1:6" x14ac:dyDescent="0.25">
      <c r="A3829" t="s">
        <v>4201</v>
      </c>
      <c r="B3829" t="s">
        <v>5250</v>
      </c>
      <c r="C3829" t="s">
        <v>2477</v>
      </c>
      <c r="D3829" t="str">
        <f>HYPERLINK("http://service.sap.com/sap/support/notes/1788562","1788562")</f>
        <v>1788562</v>
      </c>
      <c r="E3829">
        <v>1</v>
      </c>
      <c r="F3829" t="s">
        <v>5251</v>
      </c>
    </row>
    <row r="3830" spans="1:6" x14ac:dyDescent="0.25">
      <c r="A3830" t="s">
        <v>4201</v>
      </c>
      <c r="B3830" t="s">
        <v>5252</v>
      </c>
      <c r="C3830" t="s">
        <v>5253</v>
      </c>
      <c r="D3830" t="str">
        <f>HYPERLINK("http://service.sap.com/sap/support/notes/1794273","1794273")</f>
        <v>1794273</v>
      </c>
      <c r="E3830">
        <v>2</v>
      </c>
      <c r="F3830" t="s">
        <v>5254</v>
      </c>
    </row>
    <row r="3831" spans="1:6" x14ac:dyDescent="0.25">
      <c r="A3831" t="s">
        <v>4201</v>
      </c>
      <c r="B3831" t="s">
        <v>1994</v>
      </c>
      <c r="C3831" t="s">
        <v>1995</v>
      </c>
    </row>
    <row r="3832" spans="1:6" x14ac:dyDescent="0.25">
      <c r="A3832" t="s">
        <v>4201</v>
      </c>
      <c r="B3832" t="s">
        <v>1996</v>
      </c>
      <c r="C3832" t="s">
        <v>1997</v>
      </c>
      <c r="D3832" t="str">
        <f>HYPERLINK("http://service.sap.com/sap/support/notes/1777695","1777695")</f>
        <v>1777695</v>
      </c>
      <c r="E3832">
        <v>2</v>
      </c>
      <c r="F3832" t="s">
        <v>5255</v>
      </c>
    </row>
    <row r="3833" spans="1:6" x14ac:dyDescent="0.25">
      <c r="A3833" t="s">
        <v>4201</v>
      </c>
      <c r="B3833" t="s">
        <v>1996</v>
      </c>
      <c r="C3833" t="s">
        <v>1997</v>
      </c>
      <c r="D3833" t="str">
        <f>HYPERLINK("http://service.sap.com/sap/support/notes/1793820","1793820")</f>
        <v>1793820</v>
      </c>
      <c r="E3833">
        <v>1</v>
      </c>
      <c r="F3833" t="s">
        <v>5256</v>
      </c>
    </row>
    <row r="3834" spans="1:6" x14ac:dyDescent="0.25">
      <c r="A3834" t="s">
        <v>4201</v>
      </c>
      <c r="B3834" t="s">
        <v>1996</v>
      </c>
      <c r="C3834" t="s">
        <v>1997</v>
      </c>
      <c r="D3834" t="str">
        <f>HYPERLINK("http://service.sap.com/sap/support/notes/1794795","1794795")</f>
        <v>1794795</v>
      </c>
      <c r="E3834">
        <v>3</v>
      </c>
      <c r="F3834" t="s">
        <v>5257</v>
      </c>
    </row>
    <row r="3835" spans="1:6" x14ac:dyDescent="0.25">
      <c r="A3835" t="s">
        <v>4201</v>
      </c>
      <c r="B3835" t="s">
        <v>1996</v>
      </c>
      <c r="C3835" t="s">
        <v>1997</v>
      </c>
      <c r="D3835" t="str">
        <f>HYPERLINK("http://service.sap.com/sap/support/notes/1795467","1795467")</f>
        <v>1795467</v>
      </c>
      <c r="E3835">
        <v>1</v>
      </c>
      <c r="F3835" t="s">
        <v>5257</v>
      </c>
    </row>
    <row r="3836" spans="1:6" x14ac:dyDescent="0.25">
      <c r="A3836" t="s">
        <v>4201</v>
      </c>
      <c r="B3836" t="s">
        <v>2002</v>
      </c>
      <c r="C3836" t="s">
        <v>657</v>
      </c>
    </row>
    <row r="3837" spans="1:6" x14ac:dyDescent="0.25">
      <c r="A3837" t="s">
        <v>4201</v>
      </c>
      <c r="B3837" t="s">
        <v>2003</v>
      </c>
      <c r="C3837" t="s">
        <v>2004</v>
      </c>
      <c r="D3837" t="str">
        <f>HYPERLINK("http://service.sap.com/sap/support/notes/1789841","1789841")</f>
        <v>1789841</v>
      </c>
      <c r="E3837">
        <v>1</v>
      </c>
      <c r="F3837" t="s">
        <v>5258</v>
      </c>
    </row>
    <row r="3838" spans="1:6" x14ac:dyDescent="0.25">
      <c r="A3838" t="s">
        <v>4201</v>
      </c>
      <c r="B3838" t="s">
        <v>2003</v>
      </c>
      <c r="C3838" t="s">
        <v>2004</v>
      </c>
      <c r="D3838" t="str">
        <f>HYPERLINK("http://service.sap.com/sap/support/notes/1790408","1790408")</f>
        <v>1790408</v>
      </c>
      <c r="E3838">
        <v>2</v>
      </c>
      <c r="F3838" t="s">
        <v>5259</v>
      </c>
    </row>
    <row r="3839" spans="1:6" x14ac:dyDescent="0.25">
      <c r="A3839" t="s">
        <v>4201</v>
      </c>
      <c r="B3839" t="s">
        <v>2011</v>
      </c>
      <c r="C3839" t="s">
        <v>2012</v>
      </c>
      <c r="D3839" t="str">
        <f>HYPERLINK("http://service.sap.com/sap/support/notes/1760401","1760401")</f>
        <v>1760401</v>
      </c>
      <c r="E3839">
        <v>2</v>
      </c>
      <c r="F3839" t="s">
        <v>5260</v>
      </c>
    </row>
    <row r="3840" spans="1:6" x14ac:dyDescent="0.25">
      <c r="A3840" t="s">
        <v>4201</v>
      </c>
      <c r="B3840" t="s">
        <v>2011</v>
      </c>
      <c r="C3840" t="s">
        <v>2012</v>
      </c>
      <c r="D3840" t="str">
        <f>HYPERLINK("http://service.sap.com/sap/support/notes/1762600","1762600")</f>
        <v>1762600</v>
      </c>
      <c r="E3840">
        <v>2</v>
      </c>
      <c r="F3840" t="s">
        <v>5261</v>
      </c>
    </row>
    <row r="3841" spans="1:6" x14ac:dyDescent="0.25">
      <c r="A3841" t="s">
        <v>4201</v>
      </c>
      <c r="B3841" t="s">
        <v>2011</v>
      </c>
      <c r="C3841" t="s">
        <v>2012</v>
      </c>
      <c r="D3841" t="str">
        <f>HYPERLINK("http://service.sap.com/sap/support/notes/1764073","1764073")</f>
        <v>1764073</v>
      </c>
      <c r="E3841">
        <v>2</v>
      </c>
      <c r="F3841" t="s">
        <v>5262</v>
      </c>
    </row>
    <row r="3842" spans="1:6" x14ac:dyDescent="0.25">
      <c r="A3842" t="s">
        <v>4201</v>
      </c>
      <c r="B3842" t="s">
        <v>2011</v>
      </c>
      <c r="C3842" t="s">
        <v>2012</v>
      </c>
      <c r="D3842" t="str">
        <f>HYPERLINK("http://service.sap.com/sap/support/notes/1767899","1767899")</f>
        <v>1767899</v>
      </c>
      <c r="E3842">
        <v>3</v>
      </c>
      <c r="F3842" t="s">
        <v>5263</v>
      </c>
    </row>
    <row r="3843" spans="1:6" x14ac:dyDescent="0.25">
      <c r="A3843" t="s">
        <v>4201</v>
      </c>
      <c r="B3843" t="s">
        <v>2011</v>
      </c>
      <c r="C3843" t="s">
        <v>2012</v>
      </c>
      <c r="D3843" t="str">
        <f>HYPERLINK("http://service.sap.com/sap/support/notes/1771874","1771874")</f>
        <v>1771874</v>
      </c>
      <c r="E3843">
        <v>3</v>
      </c>
      <c r="F3843" t="s">
        <v>5264</v>
      </c>
    </row>
    <row r="3844" spans="1:6" x14ac:dyDescent="0.25">
      <c r="A3844" t="s">
        <v>4201</v>
      </c>
      <c r="B3844" t="s">
        <v>2011</v>
      </c>
      <c r="C3844" t="s">
        <v>2012</v>
      </c>
      <c r="D3844" t="str">
        <f>HYPERLINK("http://service.sap.com/sap/support/notes/1774810","1774810")</f>
        <v>1774810</v>
      </c>
      <c r="E3844">
        <v>3</v>
      </c>
      <c r="F3844" t="s">
        <v>5265</v>
      </c>
    </row>
    <row r="3845" spans="1:6" x14ac:dyDescent="0.25">
      <c r="A3845" t="s">
        <v>4201</v>
      </c>
      <c r="B3845" t="s">
        <v>2011</v>
      </c>
      <c r="C3845" t="s">
        <v>2012</v>
      </c>
      <c r="D3845" t="str">
        <f>HYPERLINK("http://service.sap.com/sap/support/notes/1779545","1779545")</f>
        <v>1779545</v>
      </c>
      <c r="E3845">
        <v>3</v>
      </c>
      <c r="F3845" t="s">
        <v>5266</v>
      </c>
    </row>
    <row r="3846" spans="1:6" x14ac:dyDescent="0.25">
      <c r="A3846" t="s">
        <v>4201</v>
      </c>
      <c r="B3846" t="s">
        <v>2011</v>
      </c>
      <c r="C3846" t="s">
        <v>2012</v>
      </c>
      <c r="D3846" t="str">
        <f>HYPERLINK("http://service.sap.com/sap/support/notes/1789240","1789240")</f>
        <v>1789240</v>
      </c>
      <c r="E3846">
        <v>1</v>
      </c>
      <c r="F3846" t="s">
        <v>5267</v>
      </c>
    </row>
    <row r="3847" spans="1:6" x14ac:dyDescent="0.25">
      <c r="A3847" t="s">
        <v>4201</v>
      </c>
      <c r="B3847" t="s">
        <v>2022</v>
      </c>
      <c r="C3847" t="s">
        <v>2023</v>
      </c>
      <c r="D3847" t="str">
        <f>HYPERLINK("http://service.sap.com/sap/support/notes/1762309","1762309")</f>
        <v>1762309</v>
      </c>
      <c r="E3847">
        <v>3</v>
      </c>
      <c r="F3847" t="s">
        <v>5268</v>
      </c>
    </row>
    <row r="3848" spans="1:6" x14ac:dyDescent="0.25">
      <c r="A3848" t="s">
        <v>4201</v>
      </c>
      <c r="B3848" t="s">
        <v>2022</v>
      </c>
      <c r="C3848" t="s">
        <v>2023</v>
      </c>
      <c r="D3848" t="str">
        <f>HYPERLINK("http://service.sap.com/sap/support/notes/1769295","1769295")</f>
        <v>1769295</v>
      </c>
      <c r="E3848">
        <v>4</v>
      </c>
      <c r="F3848" t="s">
        <v>5269</v>
      </c>
    </row>
    <row r="3849" spans="1:6" x14ac:dyDescent="0.25">
      <c r="A3849" t="s">
        <v>4201</v>
      </c>
      <c r="B3849" t="s">
        <v>2022</v>
      </c>
      <c r="C3849" t="s">
        <v>2023</v>
      </c>
      <c r="D3849" t="str">
        <f>HYPERLINK("http://service.sap.com/sap/support/notes/1784174","1784174")</f>
        <v>1784174</v>
      </c>
      <c r="E3849">
        <v>1</v>
      </c>
      <c r="F3849" t="s">
        <v>5270</v>
      </c>
    </row>
    <row r="3850" spans="1:6" x14ac:dyDescent="0.25">
      <c r="A3850" t="s">
        <v>4201</v>
      </c>
      <c r="B3850" t="s">
        <v>2022</v>
      </c>
      <c r="C3850" t="s">
        <v>2023</v>
      </c>
      <c r="D3850" t="str">
        <f>HYPERLINK("http://service.sap.com/sap/support/notes/1789239","1789239")</f>
        <v>1789239</v>
      </c>
      <c r="E3850">
        <v>1</v>
      </c>
      <c r="F3850" t="s">
        <v>5271</v>
      </c>
    </row>
    <row r="3851" spans="1:6" x14ac:dyDescent="0.25">
      <c r="A3851" t="s">
        <v>4201</v>
      </c>
      <c r="B3851" t="s">
        <v>5272</v>
      </c>
      <c r="C3851" t="s">
        <v>5273</v>
      </c>
      <c r="D3851" t="str">
        <f>HYPERLINK("http://service.sap.com/sap/support/notes/1793359","1793359")</f>
        <v>1793359</v>
      </c>
      <c r="E3851">
        <v>1</v>
      </c>
      <c r="F3851" t="s">
        <v>5274</v>
      </c>
    </row>
    <row r="3852" spans="1:6" x14ac:dyDescent="0.25">
      <c r="A3852" t="s">
        <v>4201</v>
      </c>
      <c r="B3852" t="s">
        <v>2031</v>
      </c>
      <c r="C3852" t="s">
        <v>2032</v>
      </c>
      <c r="D3852" t="str">
        <f>HYPERLINK("http://service.sap.com/sap/support/notes/1762283","1762283")</f>
        <v>1762283</v>
      </c>
      <c r="E3852">
        <v>1</v>
      </c>
      <c r="F3852" t="s">
        <v>266</v>
      </c>
    </row>
    <row r="3853" spans="1:6" x14ac:dyDescent="0.25">
      <c r="A3853" t="s">
        <v>4201</v>
      </c>
      <c r="B3853" t="s">
        <v>2034</v>
      </c>
      <c r="C3853" t="s">
        <v>2035</v>
      </c>
      <c r="D3853" t="str">
        <f>HYPERLINK("http://service.sap.com/sap/support/notes/1771033","1771033")</f>
        <v>1771033</v>
      </c>
      <c r="E3853">
        <v>2</v>
      </c>
      <c r="F3853" t="s">
        <v>5275</v>
      </c>
    </row>
    <row r="3854" spans="1:6" x14ac:dyDescent="0.25">
      <c r="A3854" t="s">
        <v>4201</v>
      </c>
      <c r="B3854" t="s">
        <v>2034</v>
      </c>
      <c r="C3854" t="s">
        <v>2035</v>
      </c>
      <c r="D3854" t="str">
        <f>HYPERLINK("http://service.sap.com/sap/support/notes/1771137","1771137")</f>
        <v>1771137</v>
      </c>
      <c r="E3854">
        <v>2</v>
      </c>
      <c r="F3854" t="s">
        <v>5276</v>
      </c>
    </row>
    <row r="3855" spans="1:6" x14ac:dyDescent="0.25">
      <c r="A3855" t="s">
        <v>4201</v>
      </c>
      <c r="B3855" t="s">
        <v>2034</v>
      </c>
      <c r="C3855" t="s">
        <v>2035</v>
      </c>
      <c r="D3855" t="str">
        <f>HYPERLINK("http://service.sap.com/sap/support/notes/1772869","1772869")</f>
        <v>1772869</v>
      </c>
      <c r="E3855">
        <v>3</v>
      </c>
      <c r="F3855" t="s">
        <v>5277</v>
      </c>
    </row>
    <row r="3856" spans="1:6" x14ac:dyDescent="0.25">
      <c r="A3856" t="s">
        <v>4201</v>
      </c>
      <c r="B3856" t="s">
        <v>2034</v>
      </c>
      <c r="C3856" t="s">
        <v>2035</v>
      </c>
      <c r="D3856" t="str">
        <f>HYPERLINK("http://service.sap.com/sap/support/notes/1772928","1772928")</f>
        <v>1772928</v>
      </c>
      <c r="E3856">
        <v>6</v>
      </c>
      <c r="F3856" t="s">
        <v>5278</v>
      </c>
    </row>
    <row r="3857" spans="1:6" x14ac:dyDescent="0.25">
      <c r="A3857" t="s">
        <v>4201</v>
      </c>
      <c r="B3857" t="s">
        <v>2034</v>
      </c>
      <c r="C3857" t="s">
        <v>2035</v>
      </c>
      <c r="D3857" t="str">
        <f>HYPERLINK("http://service.sap.com/sap/support/notes/1774270","1774270")</f>
        <v>1774270</v>
      </c>
      <c r="E3857">
        <v>1</v>
      </c>
      <c r="F3857" t="s">
        <v>5279</v>
      </c>
    </row>
    <row r="3858" spans="1:6" x14ac:dyDescent="0.25">
      <c r="A3858" t="s">
        <v>4201</v>
      </c>
      <c r="B3858" t="s">
        <v>2034</v>
      </c>
      <c r="C3858" t="s">
        <v>2035</v>
      </c>
      <c r="D3858" t="str">
        <f>HYPERLINK("http://service.sap.com/sap/support/notes/1779396","1779396")</f>
        <v>1779396</v>
      </c>
      <c r="E3858">
        <v>1</v>
      </c>
      <c r="F3858" t="s">
        <v>5280</v>
      </c>
    </row>
    <row r="3859" spans="1:6" x14ac:dyDescent="0.25">
      <c r="A3859" t="s">
        <v>4201</v>
      </c>
      <c r="B3859" t="s">
        <v>2034</v>
      </c>
      <c r="C3859" t="s">
        <v>2035</v>
      </c>
      <c r="D3859" t="str">
        <f>HYPERLINK("http://service.sap.com/sap/support/notes/1780038","1780038")</f>
        <v>1780038</v>
      </c>
      <c r="E3859">
        <v>1</v>
      </c>
      <c r="F3859" t="s">
        <v>5281</v>
      </c>
    </row>
    <row r="3860" spans="1:6" x14ac:dyDescent="0.25">
      <c r="A3860" t="s">
        <v>4201</v>
      </c>
      <c r="B3860" t="s">
        <v>2034</v>
      </c>
      <c r="C3860" t="s">
        <v>2035</v>
      </c>
      <c r="D3860" t="str">
        <f>HYPERLINK("http://service.sap.com/sap/support/notes/1786166","1786166")</f>
        <v>1786166</v>
      </c>
      <c r="E3860">
        <v>2</v>
      </c>
      <c r="F3860" t="s">
        <v>5282</v>
      </c>
    </row>
    <row r="3861" spans="1:6" x14ac:dyDescent="0.25">
      <c r="A3861" t="s">
        <v>4201</v>
      </c>
      <c r="B3861" t="s">
        <v>2034</v>
      </c>
      <c r="C3861" t="s">
        <v>2035</v>
      </c>
      <c r="D3861" t="str">
        <f>HYPERLINK("http://service.sap.com/sap/support/notes/1786216","1786216")</f>
        <v>1786216</v>
      </c>
      <c r="E3861">
        <v>1</v>
      </c>
      <c r="F3861" t="s">
        <v>5283</v>
      </c>
    </row>
    <row r="3862" spans="1:6" x14ac:dyDescent="0.25">
      <c r="A3862" t="s">
        <v>4201</v>
      </c>
      <c r="B3862" t="s">
        <v>2034</v>
      </c>
      <c r="C3862" t="s">
        <v>2035</v>
      </c>
      <c r="D3862" t="str">
        <f>HYPERLINK("http://service.sap.com/sap/support/notes/1789123","1789123")</f>
        <v>1789123</v>
      </c>
      <c r="E3862">
        <v>2</v>
      </c>
      <c r="F3862" t="s">
        <v>5284</v>
      </c>
    </row>
    <row r="3863" spans="1:6" x14ac:dyDescent="0.25">
      <c r="A3863" t="s">
        <v>4201</v>
      </c>
      <c r="B3863" t="s">
        <v>2034</v>
      </c>
      <c r="C3863" t="s">
        <v>2035</v>
      </c>
      <c r="D3863" t="str">
        <f>HYPERLINK("http://service.sap.com/sap/support/notes/1789484","1789484")</f>
        <v>1789484</v>
      </c>
      <c r="E3863">
        <v>1</v>
      </c>
      <c r="F3863" t="s">
        <v>5285</v>
      </c>
    </row>
    <row r="3864" spans="1:6" x14ac:dyDescent="0.25">
      <c r="A3864" t="s">
        <v>4201</v>
      </c>
      <c r="B3864" t="s">
        <v>2034</v>
      </c>
      <c r="C3864" t="s">
        <v>2035</v>
      </c>
      <c r="D3864" t="str">
        <f>HYPERLINK("http://service.sap.com/sap/support/notes/1791417","1791417")</f>
        <v>1791417</v>
      </c>
      <c r="E3864">
        <v>1</v>
      </c>
      <c r="F3864" t="s">
        <v>5286</v>
      </c>
    </row>
    <row r="3865" spans="1:6" x14ac:dyDescent="0.25">
      <c r="A3865" t="s">
        <v>4201</v>
      </c>
      <c r="B3865" t="s">
        <v>2034</v>
      </c>
      <c r="C3865" t="s">
        <v>2035</v>
      </c>
      <c r="D3865" t="str">
        <f>HYPERLINK("http://service.sap.com/sap/support/notes/1793832","1793832")</f>
        <v>1793832</v>
      </c>
      <c r="E3865">
        <v>1</v>
      </c>
      <c r="F3865" t="s">
        <v>5287</v>
      </c>
    </row>
    <row r="3866" spans="1:6" x14ac:dyDescent="0.25">
      <c r="A3866" t="s">
        <v>4201</v>
      </c>
      <c r="B3866" t="s">
        <v>2034</v>
      </c>
      <c r="C3866" t="s">
        <v>2035</v>
      </c>
      <c r="D3866" t="str">
        <f>HYPERLINK("http://service.sap.com/sap/support/notes/1795808","1795808")</f>
        <v>1795808</v>
      </c>
      <c r="E3866">
        <v>1</v>
      </c>
      <c r="F3866" t="s">
        <v>5288</v>
      </c>
    </row>
    <row r="3867" spans="1:6" x14ac:dyDescent="0.25">
      <c r="A3867" t="s">
        <v>4201</v>
      </c>
      <c r="B3867" t="s">
        <v>2052</v>
      </c>
      <c r="C3867" t="s">
        <v>2053</v>
      </c>
      <c r="D3867" t="str">
        <f>HYPERLINK("http://service.sap.com/sap/support/notes/1768906","1768906")</f>
        <v>1768906</v>
      </c>
      <c r="E3867">
        <v>2</v>
      </c>
      <c r="F3867" t="s">
        <v>5289</v>
      </c>
    </row>
    <row r="3868" spans="1:6" x14ac:dyDescent="0.25">
      <c r="A3868" t="s">
        <v>4201</v>
      </c>
      <c r="B3868" t="s">
        <v>2052</v>
      </c>
      <c r="C3868" t="s">
        <v>2053</v>
      </c>
      <c r="D3868" t="str">
        <f>HYPERLINK("http://service.sap.com/sap/support/notes/1769439","1769439")</f>
        <v>1769439</v>
      </c>
      <c r="E3868">
        <v>3</v>
      </c>
      <c r="F3868" t="s">
        <v>5290</v>
      </c>
    </row>
    <row r="3869" spans="1:6" x14ac:dyDescent="0.25">
      <c r="A3869" t="s">
        <v>4201</v>
      </c>
      <c r="B3869" t="s">
        <v>2052</v>
      </c>
      <c r="C3869" t="s">
        <v>2053</v>
      </c>
      <c r="D3869" t="str">
        <f>HYPERLINK("http://service.sap.com/sap/support/notes/1770054","1770054")</f>
        <v>1770054</v>
      </c>
      <c r="E3869">
        <v>4</v>
      </c>
      <c r="F3869" t="s">
        <v>5291</v>
      </c>
    </row>
    <row r="3870" spans="1:6" x14ac:dyDescent="0.25">
      <c r="A3870" t="s">
        <v>4201</v>
      </c>
      <c r="B3870" t="s">
        <v>2052</v>
      </c>
      <c r="C3870" t="s">
        <v>2053</v>
      </c>
      <c r="D3870" t="str">
        <f>HYPERLINK("http://service.sap.com/sap/support/notes/1771442","1771442")</f>
        <v>1771442</v>
      </c>
      <c r="E3870">
        <v>2</v>
      </c>
      <c r="F3870" t="s">
        <v>5292</v>
      </c>
    </row>
    <row r="3871" spans="1:6" x14ac:dyDescent="0.25">
      <c r="A3871" t="s">
        <v>4201</v>
      </c>
      <c r="B3871" t="s">
        <v>2052</v>
      </c>
      <c r="C3871" t="s">
        <v>2053</v>
      </c>
      <c r="D3871" t="str">
        <f>HYPERLINK("http://service.sap.com/sap/support/notes/1774282","1774282")</f>
        <v>1774282</v>
      </c>
      <c r="E3871">
        <v>2</v>
      </c>
      <c r="F3871" t="s">
        <v>5293</v>
      </c>
    </row>
    <row r="3872" spans="1:6" x14ac:dyDescent="0.25">
      <c r="A3872" t="s">
        <v>4201</v>
      </c>
      <c r="B3872" t="s">
        <v>2052</v>
      </c>
      <c r="C3872" t="s">
        <v>2053</v>
      </c>
      <c r="D3872" t="str">
        <f>HYPERLINK("http://service.sap.com/sap/support/notes/1784253","1784253")</f>
        <v>1784253</v>
      </c>
      <c r="E3872">
        <v>1</v>
      </c>
      <c r="F3872" t="s">
        <v>5294</v>
      </c>
    </row>
    <row r="3873" spans="1:6" x14ac:dyDescent="0.25">
      <c r="A3873" t="s">
        <v>4201</v>
      </c>
      <c r="B3873" t="s">
        <v>2052</v>
      </c>
      <c r="C3873" t="s">
        <v>2053</v>
      </c>
      <c r="D3873" t="str">
        <f>HYPERLINK("http://service.sap.com/sap/support/notes/1785252","1785252")</f>
        <v>1785252</v>
      </c>
      <c r="E3873">
        <v>1</v>
      </c>
      <c r="F3873" t="s">
        <v>5295</v>
      </c>
    </row>
    <row r="3874" spans="1:6" x14ac:dyDescent="0.25">
      <c r="A3874" t="s">
        <v>4201</v>
      </c>
      <c r="B3874" t="s">
        <v>2062</v>
      </c>
      <c r="C3874" t="s">
        <v>2063</v>
      </c>
      <c r="D3874" t="str">
        <f>HYPERLINK("http://service.sap.com/sap/support/notes/1745790","1745790")</f>
        <v>1745790</v>
      </c>
      <c r="E3874">
        <v>4</v>
      </c>
      <c r="F3874" t="s">
        <v>5296</v>
      </c>
    </row>
    <row r="3875" spans="1:6" x14ac:dyDescent="0.25">
      <c r="A3875" t="s">
        <v>4201</v>
      </c>
      <c r="B3875" t="s">
        <v>2062</v>
      </c>
      <c r="C3875" t="s">
        <v>2063</v>
      </c>
      <c r="D3875" t="str">
        <f>HYPERLINK("http://service.sap.com/sap/support/notes/1779458","1779458")</f>
        <v>1779458</v>
      </c>
      <c r="E3875">
        <v>1</v>
      </c>
      <c r="F3875" t="s">
        <v>5297</v>
      </c>
    </row>
    <row r="3876" spans="1:6" x14ac:dyDescent="0.25">
      <c r="A3876" t="s">
        <v>4201</v>
      </c>
      <c r="B3876" t="s">
        <v>5298</v>
      </c>
      <c r="C3876" t="s">
        <v>5299</v>
      </c>
      <c r="D3876" t="str">
        <f>HYPERLINK("http://service.sap.com/sap/support/notes/1771097","1771097")</f>
        <v>1771097</v>
      </c>
      <c r="E3876">
        <v>1</v>
      </c>
      <c r="F3876" t="s">
        <v>5300</v>
      </c>
    </row>
    <row r="3877" spans="1:6" x14ac:dyDescent="0.25">
      <c r="A3877" t="s">
        <v>4201</v>
      </c>
      <c r="B3877" t="s">
        <v>5298</v>
      </c>
      <c r="C3877" t="s">
        <v>5299</v>
      </c>
      <c r="D3877" t="str">
        <f>HYPERLINK("http://service.sap.com/sap/support/notes/1779894","1779894")</f>
        <v>1779894</v>
      </c>
      <c r="E3877">
        <v>1</v>
      </c>
      <c r="F3877" t="s">
        <v>5301</v>
      </c>
    </row>
    <row r="3878" spans="1:6" x14ac:dyDescent="0.25">
      <c r="A3878" t="s">
        <v>4201</v>
      </c>
      <c r="B3878" t="s">
        <v>2074</v>
      </c>
      <c r="C3878" t="s">
        <v>2075</v>
      </c>
      <c r="D3878" t="str">
        <f>HYPERLINK("http://service.sap.com/sap/support/notes/1777036","1777036")</f>
        <v>1777036</v>
      </c>
      <c r="E3878">
        <v>2</v>
      </c>
      <c r="F3878" t="s">
        <v>5302</v>
      </c>
    </row>
    <row r="3879" spans="1:6" x14ac:dyDescent="0.25">
      <c r="A3879" t="s">
        <v>4201</v>
      </c>
      <c r="B3879" t="s">
        <v>2074</v>
      </c>
      <c r="C3879" t="s">
        <v>2075</v>
      </c>
      <c r="D3879" t="str">
        <f>HYPERLINK("http://service.sap.com/sap/support/notes/1780728","1780728")</f>
        <v>1780728</v>
      </c>
      <c r="E3879">
        <v>2</v>
      </c>
      <c r="F3879" t="s">
        <v>5303</v>
      </c>
    </row>
    <row r="3880" spans="1:6" x14ac:dyDescent="0.25">
      <c r="A3880" t="s">
        <v>4201</v>
      </c>
      <c r="B3880" t="s">
        <v>2074</v>
      </c>
      <c r="C3880" t="s">
        <v>2075</v>
      </c>
      <c r="D3880" t="str">
        <f>HYPERLINK("http://service.sap.com/sap/support/notes/1791076","1791076")</f>
        <v>1791076</v>
      </c>
      <c r="E3880">
        <v>2</v>
      </c>
      <c r="F3880" t="s">
        <v>5304</v>
      </c>
    </row>
    <row r="3881" spans="1:6" x14ac:dyDescent="0.25">
      <c r="A3881" t="s">
        <v>4201</v>
      </c>
      <c r="B3881" t="s">
        <v>2079</v>
      </c>
      <c r="C3881" t="s">
        <v>2080</v>
      </c>
      <c r="D3881" t="str">
        <f>HYPERLINK("http://service.sap.com/sap/support/notes/1720697","1720697")</f>
        <v>1720697</v>
      </c>
      <c r="E3881">
        <v>2</v>
      </c>
      <c r="F3881" t="s">
        <v>5305</v>
      </c>
    </row>
    <row r="3882" spans="1:6" x14ac:dyDescent="0.25">
      <c r="A3882" t="s">
        <v>4201</v>
      </c>
      <c r="B3882" t="s">
        <v>2079</v>
      </c>
      <c r="C3882" t="s">
        <v>2080</v>
      </c>
      <c r="D3882" t="str">
        <f>HYPERLINK("http://service.sap.com/sap/support/notes/1724102","1724102")</f>
        <v>1724102</v>
      </c>
      <c r="E3882">
        <v>3</v>
      </c>
      <c r="F3882" t="s">
        <v>5306</v>
      </c>
    </row>
    <row r="3883" spans="1:6" x14ac:dyDescent="0.25">
      <c r="A3883" t="s">
        <v>4201</v>
      </c>
      <c r="B3883" t="s">
        <v>2079</v>
      </c>
      <c r="C3883" t="s">
        <v>2080</v>
      </c>
      <c r="D3883" t="str">
        <f>HYPERLINK("http://service.sap.com/sap/support/notes/1773994","1773994")</f>
        <v>1773994</v>
      </c>
      <c r="E3883">
        <v>1</v>
      </c>
      <c r="F3883" t="s">
        <v>5307</v>
      </c>
    </row>
    <row r="3884" spans="1:6" x14ac:dyDescent="0.25">
      <c r="A3884" t="s">
        <v>4201</v>
      </c>
      <c r="B3884" t="s">
        <v>2079</v>
      </c>
      <c r="C3884" t="s">
        <v>2080</v>
      </c>
      <c r="D3884" t="str">
        <f>HYPERLINK("http://service.sap.com/sap/support/notes/1774353","1774353")</f>
        <v>1774353</v>
      </c>
      <c r="E3884">
        <v>3</v>
      </c>
      <c r="F3884" t="s">
        <v>5308</v>
      </c>
    </row>
    <row r="3885" spans="1:6" x14ac:dyDescent="0.25">
      <c r="A3885" t="s">
        <v>4201</v>
      </c>
      <c r="B3885" t="s">
        <v>2079</v>
      </c>
      <c r="C3885" t="s">
        <v>2080</v>
      </c>
      <c r="D3885" t="str">
        <f>HYPERLINK("http://service.sap.com/sap/support/notes/1775788","1775788")</f>
        <v>1775788</v>
      </c>
      <c r="E3885">
        <v>2</v>
      </c>
      <c r="F3885" t="s">
        <v>5309</v>
      </c>
    </row>
    <row r="3886" spans="1:6" x14ac:dyDescent="0.25">
      <c r="A3886" t="s">
        <v>4201</v>
      </c>
      <c r="B3886" t="s">
        <v>2079</v>
      </c>
      <c r="C3886" t="s">
        <v>2080</v>
      </c>
      <c r="D3886" t="str">
        <f>HYPERLINK("http://service.sap.com/sap/support/notes/1787333","1787333")</f>
        <v>1787333</v>
      </c>
      <c r="E3886">
        <v>2</v>
      </c>
      <c r="F3886" t="s">
        <v>5310</v>
      </c>
    </row>
    <row r="3887" spans="1:6" x14ac:dyDescent="0.25">
      <c r="A3887" t="s">
        <v>4201</v>
      </c>
      <c r="B3887" t="s">
        <v>2082</v>
      </c>
      <c r="C3887" t="s">
        <v>2083</v>
      </c>
    </row>
    <row r="3888" spans="1:6" x14ac:dyDescent="0.25">
      <c r="A3888" t="s">
        <v>4201</v>
      </c>
      <c r="B3888" t="s">
        <v>2084</v>
      </c>
      <c r="C3888" t="s">
        <v>1643</v>
      </c>
      <c r="D3888" t="str">
        <f>HYPERLINK("http://service.sap.com/sap/support/notes/1778998","1778998")</f>
        <v>1778998</v>
      </c>
      <c r="E3888">
        <v>4</v>
      </c>
      <c r="F3888" t="s">
        <v>5311</v>
      </c>
    </row>
    <row r="3889" spans="1:6" x14ac:dyDescent="0.25">
      <c r="A3889" t="s">
        <v>4201</v>
      </c>
      <c r="B3889" t="s">
        <v>2086</v>
      </c>
      <c r="C3889" t="s">
        <v>2087</v>
      </c>
      <c r="D3889" t="str">
        <f>HYPERLINK("http://service.sap.com/sap/support/notes/1771985","1771985")</f>
        <v>1771985</v>
      </c>
      <c r="E3889">
        <v>2</v>
      </c>
      <c r="F3889" t="s">
        <v>5312</v>
      </c>
    </row>
    <row r="3890" spans="1:6" x14ac:dyDescent="0.25">
      <c r="A3890" t="s">
        <v>4201</v>
      </c>
      <c r="B3890" t="s">
        <v>2090</v>
      </c>
      <c r="C3890" t="s">
        <v>2091</v>
      </c>
      <c r="D3890" t="str">
        <f>HYPERLINK("http://service.sap.com/sap/support/notes/1458134","1458134")</f>
        <v>1458134</v>
      </c>
      <c r="E3890">
        <v>4</v>
      </c>
      <c r="F3890" t="s">
        <v>5313</v>
      </c>
    </row>
    <row r="3891" spans="1:6" x14ac:dyDescent="0.25">
      <c r="A3891" t="s">
        <v>4201</v>
      </c>
      <c r="B3891" t="s">
        <v>2090</v>
      </c>
      <c r="C3891" t="s">
        <v>2091</v>
      </c>
      <c r="D3891" t="str">
        <f>HYPERLINK("http://service.sap.com/sap/support/notes/1712971","1712971")</f>
        <v>1712971</v>
      </c>
      <c r="E3891">
        <v>2</v>
      </c>
      <c r="F3891" t="s">
        <v>5314</v>
      </c>
    </row>
    <row r="3892" spans="1:6" x14ac:dyDescent="0.25">
      <c r="A3892" t="s">
        <v>4201</v>
      </c>
      <c r="B3892" t="s">
        <v>2090</v>
      </c>
      <c r="C3892" t="s">
        <v>2091</v>
      </c>
      <c r="D3892" t="str">
        <f>HYPERLINK("http://service.sap.com/sap/support/notes/1774549","1774549")</f>
        <v>1774549</v>
      </c>
      <c r="E3892">
        <v>3</v>
      </c>
      <c r="F3892" t="s">
        <v>5315</v>
      </c>
    </row>
    <row r="3893" spans="1:6" x14ac:dyDescent="0.25">
      <c r="A3893" t="s">
        <v>4201</v>
      </c>
      <c r="B3893" t="s">
        <v>2094</v>
      </c>
      <c r="C3893" t="s">
        <v>2095</v>
      </c>
      <c r="D3893" t="str">
        <f>HYPERLINK("http://service.sap.com/sap/support/notes/1661003","1661003")</f>
        <v>1661003</v>
      </c>
      <c r="E3893">
        <v>1</v>
      </c>
      <c r="F3893" t="s">
        <v>5316</v>
      </c>
    </row>
    <row r="3894" spans="1:6" x14ac:dyDescent="0.25">
      <c r="A3894" t="s">
        <v>4201</v>
      </c>
      <c r="B3894" t="s">
        <v>2094</v>
      </c>
      <c r="C3894" t="s">
        <v>2095</v>
      </c>
      <c r="D3894" t="str">
        <f>HYPERLINK("http://service.sap.com/sap/support/notes/1789751","1789751")</f>
        <v>1789751</v>
      </c>
      <c r="E3894">
        <v>2</v>
      </c>
      <c r="F3894" t="s">
        <v>5317</v>
      </c>
    </row>
    <row r="3895" spans="1:6" x14ac:dyDescent="0.25">
      <c r="A3895" t="s">
        <v>4201</v>
      </c>
      <c r="B3895" t="s">
        <v>2102</v>
      </c>
      <c r="C3895" t="s">
        <v>2103</v>
      </c>
    </row>
    <row r="3896" spans="1:6" x14ac:dyDescent="0.25">
      <c r="A3896" t="s">
        <v>4201</v>
      </c>
      <c r="B3896" t="s">
        <v>2104</v>
      </c>
      <c r="C3896" t="s">
        <v>2105</v>
      </c>
      <c r="D3896" t="str">
        <f>HYPERLINK("http://service.sap.com/sap/support/notes/800374","800374")</f>
        <v>800374</v>
      </c>
      <c r="E3896">
        <v>2</v>
      </c>
      <c r="F3896" t="s">
        <v>5318</v>
      </c>
    </row>
    <row r="3897" spans="1:6" x14ac:dyDescent="0.25">
      <c r="A3897" t="s">
        <v>4201</v>
      </c>
      <c r="B3897" t="s">
        <v>2104</v>
      </c>
      <c r="C3897" t="s">
        <v>2105</v>
      </c>
      <c r="D3897" t="str">
        <f>HYPERLINK("http://service.sap.com/sap/support/notes/1761366","1761366")</f>
        <v>1761366</v>
      </c>
      <c r="E3897">
        <v>2</v>
      </c>
      <c r="F3897" t="s">
        <v>5319</v>
      </c>
    </row>
    <row r="3898" spans="1:6" x14ac:dyDescent="0.25">
      <c r="A3898" t="s">
        <v>4201</v>
      </c>
      <c r="B3898" t="s">
        <v>2104</v>
      </c>
      <c r="C3898" t="s">
        <v>2105</v>
      </c>
      <c r="D3898" t="str">
        <f>HYPERLINK("http://service.sap.com/sap/support/notes/1767776","1767776")</f>
        <v>1767776</v>
      </c>
      <c r="E3898">
        <v>2</v>
      </c>
      <c r="F3898" t="s">
        <v>5320</v>
      </c>
    </row>
    <row r="3899" spans="1:6" x14ac:dyDescent="0.25">
      <c r="A3899" t="s">
        <v>4201</v>
      </c>
      <c r="B3899" t="s">
        <v>2104</v>
      </c>
      <c r="C3899" t="s">
        <v>2105</v>
      </c>
      <c r="D3899" t="str">
        <f>HYPERLINK("http://service.sap.com/sap/support/notes/1789008","1789008")</f>
        <v>1789008</v>
      </c>
      <c r="E3899">
        <v>1</v>
      </c>
      <c r="F3899" t="s">
        <v>5321</v>
      </c>
    </row>
    <row r="3900" spans="1:6" x14ac:dyDescent="0.25">
      <c r="A3900" t="s">
        <v>4201</v>
      </c>
      <c r="B3900" t="s">
        <v>2104</v>
      </c>
      <c r="C3900" t="s">
        <v>2105</v>
      </c>
      <c r="D3900" t="str">
        <f>HYPERLINK("http://service.sap.com/sap/support/notes/1790941","1790941")</f>
        <v>1790941</v>
      </c>
      <c r="E3900">
        <v>1</v>
      </c>
      <c r="F3900" t="s">
        <v>5322</v>
      </c>
    </row>
    <row r="3901" spans="1:6" x14ac:dyDescent="0.25">
      <c r="A3901" t="s">
        <v>4201</v>
      </c>
      <c r="B3901" t="s">
        <v>2108</v>
      </c>
      <c r="C3901" t="s">
        <v>5323</v>
      </c>
      <c r="D3901" t="str">
        <f>HYPERLINK("http://service.sap.com/sap/support/notes/1783868","1783868")</f>
        <v>1783868</v>
      </c>
      <c r="E3901">
        <v>1</v>
      </c>
      <c r="F3901" t="s">
        <v>5324</v>
      </c>
    </row>
    <row r="3902" spans="1:6" x14ac:dyDescent="0.25">
      <c r="A3902" t="s">
        <v>4201</v>
      </c>
      <c r="B3902" t="s">
        <v>2110</v>
      </c>
      <c r="C3902" t="s">
        <v>1669</v>
      </c>
      <c r="D3902" t="str">
        <f>HYPERLINK("http://service.sap.com/sap/support/notes/1767524","1767524")</f>
        <v>1767524</v>
      </c>
      <c r="E3902">
        <v>2</v>
      </c>
      <c r="F3902" t="s">
        <v>5325</v>
      </c>
    </row>
    <row r="3903" spans="1:6" x14ac:dyDescent="0.25">
      <c r="A3903" t="s">
        <v>4201</v>
      </c>
      <c r="B3903" t="s">
        <v>2110</v>
      </c>
      <c r="C3903" t="s">
        <v>1669</v>
      </c>
      <c r="D3903" t="str">
        <f>HYPERLINK("http://service.sap.com/sap/support/notes/1768426","1768426")</f>
        <v>1768426</v>
      </c>
      <c r="E3903">
        <v>2</v>
      </c>
      <c r="F3903" t="s">
        <v>5326</v>
      </c>
    </row>
    <row r="3904" spans="1:6" x14ac:dyDescent="0.25">
      <c r="A3904" t="s">
        <v>4201</v>
      </c>
      <c r="B3904" t="s">
        <v>2110</v>
      </c>
      <c r="C3904" t="s">
        <v>1669</v>
      </c>
      <c r="D3904" t="str">
        <f>HYPERLINK("http://service.sap.com/sap/support/notes/1769781","1769781")</f>
        <v>1769781</v>
      </c>
      <c r="E3904">
        <v>2</v>
      </c>
      <c r="F3904" t="s">
        <v>5327</v>
      </c>
    </row>
    <row r="3905" spans="1:6" x14ac:dyDescent="0.25">
      <c r="A3905" t="s">
        <v>4201</v>
      </c>
      <c r="B3905" t="s">
        <v>2110</v>
      </c>
      <c r="C3905" t="s">
        <v>1669</v>
      </c>
      <c r="D3905" t="str">
        <f>HYPERLINK("http://service.sap.com/sap/support/notes/1775195","1775195")</f>
        <v>1775195</v>
      </c>
      <c r="E3905">
        <v>2</v>
      </c>
      <c r="F3905" t="s">
        <v>5328</v>
      </c>
    </row>
    <row r="3906" spans="1:6" x14ac:dyDescent="0.25">
      <c r="A3906" t="s">
        <v>4201</v>
      </c>
      <c r="B3906" t="s">
        <v>2110</v>
      </c>
      <c r="C3906" t="s">
        <v>1669</v>
      </c>
      <c r="D3906" t="str">
        <f>HYPERLINK("http://service.sap.com/sap/support/notes/1777423","1777423")</f>
        <v>1777423</v>
      </c>
      <c r="E3906">
        <v>1</v>
      </c>
      <c r="F3906" t="s">
        <v>5329</v>
      </c>
    </row>
    <row r="3907" spans="1:6" x14ac:dyDescent="0.25">
      <c r="A3907" t="s">
        <v>4201</v>
      </c>
      <c r="B3907" t="s">
        <v>2110</v>
      </c>
      <c r="C3907" t="s">
        <v>1669</v>
      </c>
      <c r="D3907" t="str">
        <f>HYPERLINK("http://service.sap.com/sap/support/notes/1777770","1777770")</f>
        <v>1777770</v>
      </c>
      <c r="E3907">
        <v>1</v>
      </c>
      <c r="F3907" t="s">
        <v>5330</v>
      </c>
    </row>
    <row r="3908" spans="1:6" x14ac:dyDescent="0.25">
      <c r="A3908" t="s">
        <v>4201</v>
      </c>
      <c r="B3908" t="s">
        <v>2110</v>
      </c>
      <c r="C3908" t="s">
        <v>1669</v>
      </c>
      <c r="D3908" t="str">
        <f>HYPERLINK("http://service.sap.com/sap/support/notes/1778650","1778650")</f>
        <v>1778650</v>
      </c>
      <c r="E3908">
        <v>1</v>
      </c>
      <c r="F3908" t="s">
        <v>5331</v>
      </c>
    </row>
    <row r="3909" spans="1:6" x14ac:dyDescent="0.25">
      <c r="A3909" t="s">
        <v>4201</v>
      </c>
      <c r="B3909" t="s">
        <v>2110</v>
      </c>
      <c r="C3909" t="s">
        <v>1669</v>
      </c>
      <c r="D3909" t="str">
        <f>HYPERLINK("http://service.sap.com/sap/support/notes/1779137","1779137")</f>
        <v>1779137</v>
      </c>
      <c r="E3909">
        <v>2</v>
      </c>
      <c r="F3909" t="s">
        <v>5332</v>
      </c>
    </row>
    <row r="3910" spans="1:6" x14ac:dyDescent="0.25">
      <c r="A3910" t="s">
        <v>4201</v>
      </c>
      <c r="B3910" t="s">
        <v>2110</v>
      </c>
      <c r="C3910" t="s">
        <v>1669</v>
      </c>
      <c r="D3910" t="str">
        <f>HYPERLINK("http://service.sap.com/sap/support/notes/1781244","1781244")</f>
        <v>1781244</v>
      </c>
      <c r="E3910">
        <v>1</v>
      </c>
      <c r="F3910" t="s">
        <v>5333</v>
      </c>
    </row>
    <row r="3911" spans="1:6" x14ac:dyDescent="0.25">
      <c r="A3911" t="s">
        <v>4201</v>
      </c>
      <c r="B3911" t="s">
        <v>2110</v>
      </c>
      <c r="C3911" t="s">
        <v>1669</v>
      </c>
      <c r="D3911" t="str">
        <f>HYPERLINK("http://service.sap.com/sap/support/notes/1782104","1782104")</f>
        <v>1782104</v>
      </c>
      <c r="E3911">
        <v>1</v>
      </c>
      <c r="F3911" t="s">
        <v>5334</v>
      </c>
    </row>
    <row r="3912" spans="1:6" x14ac:dyDescent="0.25">
      <c r="A3912" t="s">
        <v>4201</v>
      </c>
      <c r="B3912" t="s">
        <v>2110</v>
      </c>
      <c r="C3912" t="s">
        <v>1669</v>
      </c>
      <c r="D3912" t="str">
        <f>HYPERLINK("http://service.sap.com/sap/support/notes/1783967","1783967")</f>
        <v>1783967</v>
      </c>
      <c r="E3912">
        <v>1</v>
      </c>
      <c r="F3912" t="s">
        <v>5335</v>
      </c>
    </row>
    <row r="3913" spans="1:6" x14ac:dyDescent="0.25">
      <c r="A3913" t="s">
        <v>4201</v>
      </c>
      <c r="B3913" t="s">
        <v>2110</v>
      </c>
      <c r="C3913" t="s">
        <v>1669</v>
      </c>
      <c r="D3913" t="str">
        <f>HYPERLINK("http://service.sap.com/sap/support/notes/1787876","1787876")</f>
        <v>1787876</v>
      </c>
      <c r="E3913">
        <v>1</v>
      </c>
      <c r="F3913" t="s">
        <v>5336</v>
      </c>
    </row>
    <row r="3914" spans="1:6" x14ac:dyDescent="0.25">
      <c r="A3914" t="s">
        <v>4201</v>
      </c>
      <c r="B3914" t="s">
        <v>2110</v>
      </c>
      <c r="C3914" t="s">
        <v>1669</v>
      </c>
      <c r="D3914" t="str">
        <f>HYPERLINK("http://service.sap.com/sap/support/notes/1793175","1793175")</f>
        <v>1793175</v>
      </c>
      <c r="E3914">
        <v>2</v>
      </c>
      <c r="F3914" t="s">
        <v>5337</v>
      </c>
    </row>
    <row r="3915" spans="1:6" x14ac:dyDescent="0.25">
      <c r="A3915" t="s">
        <v>4201</v>
      </c>
      <c r="B3915" t="s">
        <v>2110</v>
      </c>
      <c r="C3915" t="s">
        <v>1669</v>
      </c>
      <c r="D3915" t="str">
        <f>HYPERLINK("http://service.sap.com/sap/support/notes/1793800","1793800")</f>
        <v>1793800</v>
      </c>
      <c r="E3915">
        <v>1</v>
      </c>
      <c r="F3915" t="s">
        <v>5338</v>
      </c>
    </row>
    <row r="3916" spans="1:6" x14ac:dyDescent="0.25">
      <c r="A3916" t="s">
        <v>4201</v>
      </c>
      <c r="B3916" t="s">
        <v>2110</v>
      </c>
      <c r="C3916" t="s">
        <v>1669</v>
      </c>
      <c r="D3916" t="str">
        <f>HYPERLINK("http://service.sap.com/sap/support/notes/1793825","1793825")</f>
        <v>1793825</v>
      </c>
    </row>
    <row r="3917" spans="1:6" x14ac:dyDescent="0.25">
      <c r="A3917" t="s">
        <v>4201</v>
      </c>
      <c r="B3917" t="s">
        <v>2143</v>
      </c>
      <c r="C3917" t="s">
        <v>1673</v>
      </c>
      <c r="D3917" t="str">
        <f>HYPERLINK("http://service.sap.com/sap/support/notes/1756178","1756178")</f>
        <v>1756178</v>
      </c>
      <c r="E3917">
        <v>2</v>
      </c>
      <c r="F3917" t="s">
        <v>5339</v>
      </c>
    </row>
    <row r="3918" spans="1:6" x14ac:dyDescent="0.25">
      <c r="A3918" t="s">
        <v>4201</v>
      </c>
      <c r="B3918" t="s">
        <v>2143</v>
      </c>
      <c r="C3918" t="s">
        <v>1673</v>
      </c>
      <c r="D3918" t="str">
        <f>HYPERLINK("http://service.sap.com/sap/support/notes/1758162","1758162")</f>
        <v>1758162</v>
      </c>
      <c r="E3918">
        <v>2</v>
      </c>
      <c r="F3918" t="s">
        <v>5340</v>
      </c>
    </row>
    <row r="3919" spans="1:6" x14ac:dyDescent="0.25">
      <c r="A3919" t="s">
        <v>4201</v>
      </c>
      <c r="B3919" t="s">
        <v>2143</v>
      </c>
      <c r="C3919" t="s">
        <v>1673</v>
      </c>
      <c r="D3919" t="str">
        <f>HYPERLINK("http://service.sap.com/sap/support/notes/1774267","1774267")</f>
        <v>1774267</v>
      </c>
      <c r="E3919">
        <v>2</v>
      </c>
      <c r="F3919" t="s">
        <v>5341</v>
      </c>
    </row>
    <row r="3920" spans="1:6" x14ac:dyDescent="0.25">
      <c r="A3920" t="s">
        <v>4201</v>
      </c>
      <c r="B3920" t="s">
        <v>2143</v>
      </c>
      <c r="C3920" t="s">
        <v>1673</v>
      </c>
      <c r="D3920" t="str">
        <f>HYPERLINK("http://service.sap.com/sap/support/notes/1792081","1792081")</f>
        <v>1792081</v>
      </c>
      <c r="E3920">
        <v>2</v>
      </c>
      <c r="F3920" t="s">
        <v>5342</v>
      </c>
    </row>
    <row r="3921" spans="1:6" x14ac:dyDescent="0.25">
      <c r="A3921" t="s">
        <v>4201</v>
      </c>
      <c r="B3921" t="s">
        <v>2147</v>
      </c>
      <c r="C3921" t="s">
        <v>2148</v>
      </c>
      <c r="D3921" t="str">
        <f>HYPERLINK("http://service.sap.com/sap/support/notes/1728390","1728390")</f>
        <v>1728390</v>
      </c>
      <c r="E3921">
        <v>3</v>
      </c>
      <c r="F3921" t="s">
        <v>5343</v>
      </c>
    </row>
    <row r="3922" spans="1:6" x14ac:dyDescent="0.25">
      <c r="A3922" t="s">
        <v>4201</v>
      </c>
      <c r="B3922" t="s">
        <v>2160</v>
      </c>
      <c r="C3922" t="s">
        <v>2161</v>
      </c>
      <c r="D3922" t="str">
        <f>HYPERLINK("http://service.sap.com/sap/support/notes/1752738","1752738")</f>
        <v>1752738</v>
      </c>
      <c r="E3922">
        <v>3</v>
      </c>
      <c r="F3922" t="s">
        <v>5344</v>
      </c>
    </row>
    <row r="3923" spans="1:6" x14ac:dyDescent="0.25">
      <c r="A3923" t="s">
        <v>4201</v>
      </c>
      <c r="B3923" t="s">
        <v>2160</v>
      </c>
      <c r="C3923" t="s">
        <v>2161</v>
      </c>
      <c r="D3923" t="str">
        <f>HYPERLINK("http://service.sap.com/sap/support/notes/1770756","1770756")</f>
        <v>1770756</v>
      </c>
      <c r="E3923">
        <v>1</v>
      </c>
      <c r="F3923" t="s">
        <v>5345</v>
      </c>
    </row>
    <row r="3924" spans="1:6" x14ac:dyDescent="0.25">
      <c r="A3924" t="s">
        <v>4201</v>
      </c>
      <c r="B3924" t="s">
        <v>2160</v>
      </c>
      <c r="C3924" t="s">
        <v>2161</v>
      </c>
      <c r="D3924" t="str">
        <f>HYPERLINK("http://service.sap.com/sap/support/notes/1771205","1771205")</f>
        <v>1771205</v>
      </c>
      <c r="E3924">
        <v>2</v>
      </c>
      <c r="F3924" t="s">
        <v>5346</v>
      </c>
    </row>
    <row r="3925" spans="1:6" x14ac:dyDescent="0.25">
      <c r="A3925" t="s">
        <v>4201</v>
      </c>
      <c r="B3925" t="s">
        <v>2160</v>
      </c>
      <c r="C3925" t="s">
        <v>2161</v>
      </c>
      <c r="D3925" t="str">
        <f>HYPERLINK("http://service.sap.com/sap/support/notes/1786790","1786790")</f>
        <v>1786790</v>
      </c>
      <c r="E3925">
        <v>1</v>
      </c>
      <c r="F3925" t="s">
        <v>5347</v>
      </c>
    </row>
    <row r="3926" spans="1:6" x14ac:dyDescent="0.25">
      <c r="A3926" t="s">
        <v>4201</v>
      </c>
      <c r="B3926" t="s">
        <v>63</v>
      </c>
      <c r="C3926" t="s">
        <v>2171</v>
      </c>
      <c r="D3926" t="str">
        <f>HYPERLINK("http://service.sap.com/sap/support/notes/1744271","1744271")</f>
        <v>1744271</v>
      </c>
      <c r="E3926">
        <v>2</v>
      </c>
      <c r="F3926" t="s">
        <v>5348</v>
      </c>
    </row>
    <row r="3927" spans="1:6" x14ac:dyDescent="0.25">
      <c r="A3927" t="s">
        <v>4201</v>
      </c>
      <c r="B3927" t="s">
        <v>63</v>
      </c>
      <c r="C3927" t="s">
        <v>2171</v>
      </c>
      <c r="D3927" t="str">
        <f>HYPERLINK("http://service.sap.com/sap/support/notes/1768397","1768397")</f>
        <v>1768397</v>
      </c>
      <c r="E3927">
        <v>2</v>
      </c>
      <c r="F3927" t="s">
        <v>5349</v>
      </c>
    </row>
    <row r="3928" spans="1:6" x14ac:dyDescent="0.25">
      <c r="A3928" t="s">
        <v>4201</v>
      </c>
      <c r="B3928" t="s">
        <v>63</v>
      </c>
      <c r="C3928" t="s">
        <v>2171</v>
      </c>
      <c r="D3928" t="str">
        <f>HYPERLINK("http://service.sap.com/sap/support/notes/1777515","1777515")</f>
        <v>1777515</v>
      </c>
      <c r="E3928">
        <v>1</v>
      </c>
      <c r="F3928" t="s">
        <v>5350</v>
      </c>
    </row>
    <row r="3929" spans="1:6" x14ac:dyDescent="0.25">
      <c r="A3929" t="s">
        <v>4201</v>
      </c>
      <c r="B3929" t="s">
        <v>63</v>
      </c>
      <c r="C3929" t="s">
        <v>2171</v>
      </c>
      <c r="D3929" t="str">
        <f>HYPERLINK("http://service.sap.com/sap/support/notes/1784326","1784326")</f>
        <v>1784326</v>
      </c>
      <c r="E3929">
        <v>1</v>
      </c>
      <c r="F3929" t="s">
        <v>5351</v>
      </c>
    </row>
    <row r="3930" spans="1:6" x14ac:dyDescent="0.25">
      <c r="A3930" t="s">
        <v>4201</v>
      </c>
      <c r="B3930" t="s">
        <v>63</v>
      </c>
      <c r="C3930" t="s">
        <v>2171</v>
      </c>
      <c r="D3930" t="str">
        <f>HYPERLINK("http://service.sap.com/sap/support/notes/1785616","1785616")</f>
        <v>1785616</v>
      </c>
      <c r="E3930">
        <v>2</v>
      </c>
      <c r="F3930" t="s">
        <v>5352</v>
      </c>
    </row>
    <row r="3931" spans="1:6" x14ac:dyDescent="0.25">
      <c r="A3931" t="s">
        <v>4201</v>
      </c>
      <c r="B3931" t="s">
        <v>63</v>
      </c>
      <c r="C3931" t="s">
        <v>2171</v>
      </c>
      <c r="D3931" t="str">
        <f>HYPERLINK("http://service.sap.com/sap/support/notes/1788546","1788546")</f>
        <v>1788546</v>
      </c>
      <c r="E3931">
        <v>1</v>
      </c>
      <c r="F3931" t="s">
        <v>5353</v>
      </c>
    </row>
    <row r="3932" spans="1:6" x14ac:dyDescent="0.25">
      <c r="A3932" t="s">
        <v>4201</v>
      </c>
      <c r="B3932" t="s">
        <v>63</v>
      </c>
      <c r="C3932" t="s">
        <v>2171</v>
      </c>
      <c r="D3932" t="str">
        <f>HYPERLINK("http://service.sap.com/sap/support/notes/1793809","1793809")</f>
        <v>1793809</v>
      </c>
      <c r="E3932">
        <v>2</v>
      </c>
      <c r="F3932" t="s">
        <v>5354</v>
      </c>
    </row>
    <row r="3933" spans="1:6" x14ac:dyDescent="0.25">
      <c r="A3933" t="s">
        <v>4201</v>
      </c>
      <c r="B3933" t="s">
        <v>2184</v>
      </c>
      <c r="C3933" t="s">
        <v>2185</v>
      </c>
      <c r="D3933" t="str">
        <f>HYPERLINK("http://service.sap.com/sap/support/notes/1756512","1756512")</f>
        <v>1756512</v>
      </c>
      <c r="E3933">
        <v>2</v>
      </c>
      <c r="F3933" t="s">
        <v>5355</v>
      </c>
    </row>
    <row r="3934" spans="1:6" x14ac:dyDescent="0.25">
      <c r="A3934" t="s">
        <v>4201</v>
      </c>
      <c r="B3934" t="s">
        <v>2184</v>
      </c>
      <c r="C3934" t="s">
        <v>2185</v>
      </c>
      <c r="D3934" t="str">
        <f>HYPERLINK("http://service.sap.com/sap/support/notes/1784380","1784380")</f>
        <v>1784380</v>
      </c>
      <c r="E3934">
        <v>1</v>
      </c>
      <c r="F3934" t="s">
        <v>5356</v>
      </c>
    </row>
    <row r="3935" spans="1:6" x14ac:dyDescent="0.25">
      <c r="A3935" t="s">
        <v>4201</v>
      </c>
      <c r="B3935" t="s">
        <v>2184</v>
      </c>
      <c r="C3935" t="s">
        <v>2185</v>
      </c>
      <c r="D3935" t="str">
        <f>HYPERLINK("http://service.sap.com/sap/support/notes/1788260","1788260")</f>
        <v>1788260</v>
      </c>
      <c r="E3935">
        <v>1</v>
      </c>
      <c r="F3935" t="s">
        <v>5357</v>
      </c>
    </row>
    <row r="3936" spans="1:6" x14ac:dyDescent="0.25">
      <c r="A3936" t="s">
        <v>4201</v>
      </c>
      <c r="B3936" t="s">
        <v>67</v>
      </c>
      <c r="C3936" t="s">
        <v>68</v>
      </c>
      <c r="D3936" t="str">
        <f>HYPERLINK("http://service.sap.com/sap/support/notes/1790425","1790425")</f>
        <v>1790425</v>
      </c>
      <c r="E3936">
        <v>2</v>
      </c>
      <c r="F3936" t="s">
        <v>5358</v>
      </c>
    </row>
    <row r="3937" spans="1:6" x14ac:dyDescent="0.25">
      <c r="A3937" t="s">
        <v>4201</v>
      </c>
      <c r="B3937" t="s">
        <v>5359</v>
      </c>
      <c r="C3937" t="s">
        <v>5360</v>
      </c>
      <c r="D3937" t="str">
        <f>HYPERLINK("http://service.sap.com/sap/support/notes/1791397","1791397")</f>
        <v>1791397</v>
      </c>
      <c r="E3937">
        <v>1</v>
      </c>
      <c r="F3937" t="s">
        <v>5361</v>
      </c>
    </row>
    <row r="3938" spans="1:6" x14ac:dyDescent="0.25">
      <c r="A3938" t="s">
        <v>4201</v>
      </c>
      <c r="B3938" t="s">
        <v>2193</v>
      </c>
      <c r="C3938" t="s">
        <v>2194</v>
      </c>
      <c r="D3938" t="str">
        <f>HYPERLINK("http://service.sap.com/sap/support/notes/1783935","1783935")</f>
        <v>1783935</v>
      </c>
      <c r="E3938">
        <v>1</v>
      </c>
      <c r="F3938" t="s">
        <v>5362</v>
      </c>
    </row>
    <row r="3939" spans="1:6" x14ac:dyDescent="0.25">
      <c r="A3939" t="s">
        <v>4201</v>
      </c>
      <c r="B3939" t="s">
        <v>2193</v>
      </c>
      <c r="C3939" t="s">
        <v>2194</v>
      </c>
      <c r="D3939" t="str">
        <f>HYPERLINK("http://service.sap.com/sap/support/notes/1784536","1784536")</f>
        <v>1784536</v>
      </c>
      <c r="E3939">
        <v>1</v>
      </c>
      <c r="F3939" t="s">
        <v>5363</v>
      </c>
    </row>
    <row r="3940" spans="1:6" x14ac:dyDescent="0.25">
      <c r="A3940" t="s">
        <v>4201</v>
      </c>
      <c r="B3940" t="s">
        <v>5364</v>
      </c>
      <c r="C3940" t="s">
        <v>5365</v>
      </c>
    </row>
    <row r="3941" spans="1:6" x14ac:dyDescent="0.25">
      <c r="A3941" t="s">
        <v>4201</v>
      </c>
      <c r="B3941" t="s">
        <v>5366</v>
      </c>
      <c r="C3941" t="s">
        <v>5367</v>
      </c>
      <c r="D3941" t="str">
        <f>HYPERLINK("http://service.sap.com/sap/support/notes/1783694","1783694")</f>
        <v>1783694</v>
      </c>
      <c r="E3941">
        <v>1</v>
      </c>
      <c r="F3941" t="s">
        <v>5368</v>
      </c>
    </row>
    <row r="3942" spans="1:6" x14ac:dyDescent="0.25">
      <c r="A3942" t="s">
        <v>4201</v>
      </c>
      <c r="B3942" t="s">
        <v>2203</v>
      </c>
      <c r="C3942" t="s">
        <v>218</v>
      </c>
    </row>
    <row r="3943" spans="1:6" x14ac:dyDescent="0.25">
      <c r="A3943" t="s">
        <v>4201</v>
      </c>
      <c r="B3943" t="s">
        <v>2204</v>
      </c>
      <c r="C3943" t="s">
        <v>2205</v>
      </c>
    </row>
    <row r="3944" spans="1:6" x14ac:dyDescent="0.25">
      <c r="A3944" t="s">
        <v>4201</v>
      </c>
      <c r="B3944" t="s">
        <v>2206</v>
      </c>
      <c r="C3944" t="s">
        <v>2207</v>
      </c>
      <c r="D3944" t="str">
        <f>HYPERLINK("http://service.sap.com/sap/support/notes/1787702","1787702")</f>
        <v>1787702</v>
      </c>
      <c r="E3944">
        <v>2</v>
      </c>
      <c r="F3944" t="s">
        <v>5369</v>
      </c>
    </row>
    <row r="3945" spans="1:6" x14ac:dyDescent="0.25">
      <c r="A3945" t="s">
        <v>4201</v>
      </c>
      <c r="B3945" t="s">
        <v>2209</v>
      </c>
      <c r="C3945" t="s">
        <v>1635</v>
      </c>
    </row>
    <row r="3946" spans="1:6" x14ac:dyDescent="0.25">
      <c r="A3946" t="s">
        <v>4201</v>
      </c>
      <c r="B3946" t="s">
        <v>2210</v>
      </c>
      <c r="C3946" t="s">
        <v>151</v>
      </c>
      <c r="D3946" t="str">
        <f>HYPERLINK("http://service.sap.com/sap/support/notes/1737609","1737609")</f>
        <v>1737609</v>
      </c>
      <c r="E3946">
        <v>2</v>
      </c>
      <c r="F3946" t="s">
        <v>5370</v>
      </c>
    </row>
    <row r="3947" spans="1:6" x14ac:dyDescent="0.25">
      <c r="A3947" t="s">
        <v>4201</v>
      </c>
      <c r="B3947" t="s">
        <v>2210</v>
      </c>
      <c r="C3947" t="s">
        <v>151</v>
      </c>
      <c r="D3947" t="str">
        <f>HYPERLINK("http://service.sap.com/sap/support/notes/1788225","1788225")</f>
        <v>1788225</v>
      </c>
      <c r="E3947">
        <v>2</v>
      </c>
      <c r="F3947" t="s">
        <v>5371</v>
      </c>
    </row>
    <row r="3948" spans="1:6" x14ac:dyDescent="0.25">
      <c r="A3948" t="s">
        <v>4201</v>
      </c>
      <c r="B3948" t="s">
        <v>2210</v>
      </c>
      <c r="C3948" t="s">
        <v>151</v>
      </c>
      <c r="D3948" t="str">
        <f>HYPERLINK("http://service.sap.com/sap/support/notes/1794417","1794417")</f>
        <v>1794417</v>
      </c>
      <c r="E3948">
        <v>1</v>
      </c>
      <c r="F3948" t="s">
        <v>5372</v>
      </c>
    </row>
    <row r="3949" spans="1:6" x14ac:dyDescent="0.25">
      <c r="A3949" t="s">
        <v>4201</v>
      </c>
      <c r="B3949" t="s">
        <v>5373</v>
      </c>
      <c r="C3949" t="s">
        <v>5374</v>
      </c>
      <c r="D3949" t="str">
        <f>HYPERLINK("http://service.sap.com/sap/support/notes/1765031","1765031")</f>
        <v>1765031</v>
      </c>
      <c r="E3949">
        <v>3</v>
      </c>
      <c r="F3949" t="s">
        <v>5375</v>
      </c>
    </row>
    <row r="3950" spans="1:6" x14ac:dyDescent="0.25">
      <c r="A3950" t="s">
        <v>4201</v>
      </c>
      <c r="B3950" t="s">
        <v>2217</v>
      </c>
      <c r="C3950" t="s">
        <v>2218</v>
      </c>
      <c r="D3950" t="str">
        <f>HYPERLINK("http://service.sap.com/sap/support/notes/1796369","1796369")</f>
        <v>1796369</v>
      </c>
      <c r="E3950">
        <v>1</v>
      </c>
      <c r="F3950" t="s">
        <v>5376</v>
      </c>
    </row>
    <row r="3951" spans="1:6" x14ac:dyDescent="0.25">
      <c r="A3951" t="s">
        <v>4201</v>
      </c>
      <c r="B3951" t="s">
        <v>2222</v>
      </c>
      <c r="C3951" t="s">
        <v>2223</v>
      </c>
      <c r="D3951" t="str">
        <f>HYPERLINK("http://service.sap.com/sap/support/notes/1793496","1793496")</f>
        <v>1793496</v>
      </c>
      <c r="E3951">
        <v>1</v>
      </c>
      <c r="F3951" t="s">
        <v>5377</v>
      </c>
    </row>
    <row r="3952" spans="1:6" x14ac:dyDescent="0.25">
      <c r="A3952" t="s">
        <v>4201</v>
      </c>
      <c r="B3952" t="s">
        <v>2226</v>
      </c>
      <c r="C3952" t="s">
        <v>2227</v>
      </c>
      <c r="D3952" t="str">
        <f>HYPERLINK("http://service.sap.com/sap/support/notes/1768059","1768059")</f>
        <v>1768059</v>
      </c>
      <c r="E3952">
        <v>1</v>
      </c>
      <c r="F3952" t="s">
        <v>5378</v>
      </c>
    </row>
    <row r="3953" spans="1:6" x14ac:dyDescent="0.25">
      <c r="A3953" t="s">
        <v>4201</v>
      </c>
      <c r="B3953" t="s">
        <v>2226</v>
      </c>
      <c r="C3953" t="s">
        <v>2227</v>
      </c>
      <c r="D3953" t="str">
        <f>HYPERLINK("http://service.sap.com/sap/support/notes/1776835","1776835")</f>
        <v>1776835</v>
      </c>
      <c r="E3953">
        <v>1</v>
      </c>
      <c r="F3953" t="s">
        <v>5379</v>
      </c>
    </row>
    <row r="3954" spans="1:6" x14ac:dyDescent="0.25">
      <c r="A3954" t="s">
        <v>4201</v>
      </c>
      <c r="B3954" t="s">
        <v>2226</v>
      </c>
      <c r="C3954" t="s">
        <v>2227</v>
      </c>
      <c r="D3954" t="str">
        <f>HYPERLINK("http://service.sap.com/sap/support/notes/1797175","1797175")</f>
        <v>1797175</v>
      </c>
      <c r="E3954">
        <v>1</v>
      </c>
      <c r="F3954" t="s">
        <v>5380</v>
      </c>
    </row>
    <row r="3955" spans="1:6" x14ac:dyDescent="0.25">
      <c r="A3955" t="s">
        <v>4201</v>
      </c>
      <c r="B3955" t="s">
        <v>5381</v>
      </c>
      <c r="C3955" t="s">
        <v>5382</v>
      </c>
      <c r="D3955" t="str">
        <f>HYPERLINK("http://service.sap.com/sap/support/notes/1779646","1779646")</f>
        <v>1779646</v>
      </c>
      <c r="E3955">
        <v>1</v>
      </c>
      <c r="F3955" t="s">
        <v>5383</v>
      </c>
    </row>
    <row r="3956" spans="1:6" x14ac:dyDescent="0.25">
      <c r="A3956" t="s">
        <v>4201</v>
      </c>
      <c r="B3956" t="s">
        <v>5381</v>
      </c>
      <c r="C3956" t="s">
        <v>5382</v>
      </c>
      <c r="D3956" t="str">
        <f>HYPERLINK("http://service.sap.com/sap/support/notes/1794991","1794991")</f>
        <v>1794991</v>
      </c>
      <c r="E3956">
        <v>1</v>
      </c>
      <c r="F3956" t="s">
        <v>5384</v>
      </c>
    </row>
    <row r="3957" spans="1:6" x14ac:dyDescent="0.25">
      <c r="A3957" t="s">
        <v>4201</v>
      </c>
      <c r="B3957" t="s">
        <v>2235</v>
      </c>
      <c r="C3957" t="s">
        <v>2236</v>
      </c>
      <c r="D3957" t="str">
        <f>HYPERLINK("http://service.sap.com/sap/support/notes/1755656","1755656")</f>
        <v>1755656</v>
      </c>
      <c r="E3957">
        <v>1</v>
      </c>
      <c r="F3957" t="s">
        <v>5385</v>
      </c>
    </row>
    <row r="3958" spans="1:6" x14ac:dyDescent="0.25">
      <c r="A3958" t="s">
        <v>4201</v>
      </c>
      <c r="B3958" t="s">
        <v>2235</v>
      </c>
      <c r="C3958" t="s">
        <v>2236</v>
      </c>
      <c r="D3958" t="str">
        <f>HYPERLINK("http://service.sap.com/sap/support/notes/1787621","1787621")</f>
        <v>1787621</v>
      </c>
      <c r="E3958">
        <v>1</v>
      </c>
      <c r="F3958" t="s">
        <v>5386</v>
      </c>
    </row>
    <row r="3959" spans="1:6" x14ac:dyDescent="0.25">
      <c r="A3959" t="s">
        <v>4201</v>
      </c>
      <c r="B3959" t="s">
        <v>5387</v>
      </c>
      <c r="C3959" t="s">
        <v>5388</v>
      </c>
      <c r="D3959" t="str">
        <f>HYPERLINK("http://service.sap.com/sap/support/notes/1779429","1779429")</f>
        <v>1779429</v>
      </c>
      <c r="E3959">
        <v>2</v>
      </c>
      <c r="F3959" t="s">
        <v>5389</v>
      </c>
    </row>
    <row r="3960" spans="1:6" x14ac:dyDescent="0.25">
      <c r="A3960" t="s">
        <v>4201</v>
      </c>
      <c r="B3960" t="s">
        <v>2243</v>
      </c>
      <c r="C3960" t="s">
        <v>2244</v>
      </c>
      <c r="D3960" t="str">
        <f>HYPERLINK("http://service.sap.com/sap/support/notes/1710850","1710850")</f>
        <v>1710850</v>
      </c>
      <c r="E3960">
        <v>5</v>
      </c>
      <c r="F3960" t="s">
        <v>5390</v>
      </c>
    </row>
    <row r="3961" spans="1:6" x14ac:dyDescent="0.25">
      <c r="A3961" t="s">
        <v>4201</v>
      </c>
      <c r="B3961" t="s">
        <v>2243</v>
      </c>
      <c r="C3961" t="s">
        <v>2244</v>
      </c>
      <c r="D3961" t="str">
        <f>HYPERLINK("http://service.sap.com/sap/support/notes/1710851","1710851")</f>
        <v>1710851</v>
      </c>
      <c r="E3961">
        <v>3</v>
      </c>
      <c r="F3961" t="s">
        <v>5391</v>
      </c>
    </row>
    <row r="3962" spans="1:6" x14ac:dyDescent="0.25">
      <c r="A3962" t="s">
        <v>4201</v>
      </c>
      <c r="B3962" t="s">
        <v>2243</v>
      </c>
      <c r="C3962" t="s">
        <v>2244</v>
      </c>
      <c r="D3962" t="str">
        <f>HYPERLINK("http://service.sap.com/sap/support/notes/1710852","1710852")</f>
        <v>1710852</v>
      </c>
      <c r="E3962">
        <v>3</v>
      </c>
      <c r="F3962" t="s">
        <v>5392</v>
      </c>
    </row>
    <row r="3963" spans="1:6" x14ac:dyDescent="0.25">
      <c r="A3963" t="s">
        <v>4201</v>
      </c>
      <c r="B3963" t="s">
        <v>2243</v>
      </c>
      <c r="C3963" t="s">
        <v>2244</v>
      </c>
      <c r="D3963" t="str">
        <f>HYPERLINK("http://service.sap.com/sap/support/notes/1711463","1711463")</f>
        <v>1711463</v>
      </c>
      <c r="E3963">
        <v>4</v>
      </c>
      <c r="F3963" t="s">
        <v>5393</v>
      </c>
    </row>
    <row r="3964" spans="1:6" x14ac:dyDescent="0.25">
      <c r="A3964" t="s">
        <v>4201</v>
      </c>
      <c r="B3964" t="s">
        <v>2243</v>
      </c>
      <c r="C3964" t="s">
        <v>2244</v>
      </c>
      <c r="D3964" t="str">
        <f>HYPERLINK("http://service.sap.com/sap/support/notes/1711464","1711464")</f>
        <v>1711464</v>
      </c>
      <c r="E3964">
        <v>5</v>
      </c>
      <c r="F3964" t="s">
        <v>5394</v>
      </c>
    </row>
    <row r="3965" spans="1:6" x14ac:dyDescent="0.25">
      <c r="A3965" t="s">
        <v>4201</v>
      </c>
      <c r="B3965" t="s">
        <v>2243</v>
      </c>
      <c r="C3965" t="s">
        <v>2244</v>
      </c>
      <c r="D3965" t="str">
        <f>HYPERLINK("http://service.sap.com/sap/support/notes/1751041","1751041")</f>
        <v>1751041</v>
      </c>
      <c r="E3965">
        <v>1</v>
      </c>
      <c r="F3965" t="s">
        <v>5395</v>
      </c>
    </row>
    <row r="3966" spans="1:6" x14ac:dyDescent="0.25">
      <c r="A3966" t="s">
        <v>4201</v>
      </c>
      <c r="B3966" t="s">
        <v>2243</v>
      </c>
      <c r="C3966" t="s">
        <v>2244</v>
      </c>
      <c r="D3966" t="str">
        <f>HYPERLINK("http://service.sap.com/sap/support/notes/1767021","1767021")</f>
        <v>1767021</v>
      </c>
      <c r="E3966">
        <v>2</v>
      </c>
      <c r="F3966" t="s">
        <v>5396</v>
      </c>
    </row>
    <row r="3967" spans="1:6" x14ac:dyDescent="0.25">
      <c r="A3967" t="s">
        <v>4201</v>
      </c>
      <c r="B3967" t="s">
        <v>2243</v>
      </c>
      <c r="C3967" t="s">
        <v>2244</v>
      </c>
      <c r="D3967" t="str">
        <f>HYPERLINK("http://service.sap.com/sap/support/notes/1784874","1784874")</f>
        <v>1784874</v>
      </c>
      <c r="E3967">
        <v>1</v>
      </c>
      <c r="F3967" t="s">
        <v>5397</v>
      </c>
    </row>
    <row r="3968" spans="1:6" x14ac:dyDescent="0.25">
      <c r="A3968" t="s">
        <v>4201</v>
      </c>
      <c r="B3968" t="s">
        <v>2243</v>
      </c>
      <c r="C3968" t="s">
        <v>2244</v>
      </c>
      <c r="D3968" t="str">
        <f>HYPERLINK("http://service.sap.com/sap/support/notes/1785687","1785687")</f>
        <v>1785687</v>
      </c>
      <c r="E3968">
        <v>2</v>
      </c>
      <c r="F3968" t="s">
        <v>5398</v>
      </c>
    </row>
    <row r="3969" spans="1:6" x14ac:dyDescent="0.25">
      <c r="A3969" t="s">
        <v>4201</v>
      </c>
      <c r="B3969" t="s">
        <v>2254</v>
      </c>
      <c r="C3969" t="s">
        <v>2255</v>
      </c>
      <c r="D3969" t="str">
        <f>HYPERLINK("http://service.sap.com/sap/support/notes/1262522","1262522")</f>
        <v>1262522</v>
      </c>
      <c r="E3969">
        <v>5</v>
      </c>
      <c r="F3969" t="s">
        <v>5399</v>
      </c>
    </row>
    <row r="3970" spans="1:6" x14ac:dyDescent="0.25">
      <c r="A3970" t="s">
        <v>4201</v>
      </c>
      <c r="B3970" t="s">
        <v>2254</v>
      </c>
      <c r="C3970" t="s">
        <v>2255</v>
      </c>
      <c r="D3970" t="str">
        <f>HYPERLINK("http://service.sap.com/sap/support/notes/1557380","1557380")</f>
        <v>1557380</v>
      </c>
      <c r="E3970">
        <v>6</v>
      </c>
      <c r="F3970" t="s">
        <v>5400</v>
      </c>
    </row>
    <row r="3971" spans="1:6" x14ac:dyDescent="0.25">
      <c r="A3971" t="s">
        <v>4201</v>
      </c>
      <c r="B3971" t="s">
        <v>2263</v>
      </c>
      <c r="C3971" t="s">
        <v>1537</v>
      </c>
    </row>
    <row r="3972" spans="1:6" x14ac:dyDescent="0.25">
      <c r="A3972" t="s">
        <v>4201</v>
      </c>
      <c r="B3972" t="s">
        <v>2264</v>
      </c>
      <c r="C3972" t="s">
        <v>2265</v>
      </c>
      <c r="D3972" t="str">
        <f>HYPERLINK("http://service.sap.com/sap/support/notes/1762229","1762229")</f>
        <v>1762229</v>
      </c>
      <c r="E3972">
        <v>1</v>
      </c>
      <c r="F3972" t="s">
        <v>5401</v>
      </c>
    </row>
    <row r="3973" spans="1:6" x14ac:dyDescent="0.25">
      <c r="A3973" t="s">
        <v>4201</v>
      </c>
      <c r="B3973" t="s">
        <v>2264</v>
      </c>
      <c r="C3973" t="s">
        <v>2265</v>
      </c>
      <c r="D3973" t="str">
        <f>HYPERLINK("http://service.sap.com/sap/support/notes/1767533","1767533")</f>
        <v>1767533</v>
      </c>
      <c r="E3973">
        <v>1</v>
      </c>
      <c r="F3973" t="s">
        <v>5402</v>
      </c>
    </row>
    <row r="3974" spans="1:6" x14ac:dyDescent="0.25">
      <c r="A3974" t="s">
        <v>4201</v>
      </c>
      <c r="B3974" t="s">
        <v>2264</v>
      </c>
      <c r="C3974" t="s">
        <v>2265</v>
      </c>
      <c r="D3974" t="str">
        <f>HYPERLINK("http://service.sap.com/sap/support/notes/1778076","1778076")</f>
        <v>1778076</v>
      </c>
      <c r="E3974">
        <v>3</v>
      </c>
      <c r="F3974" t="s">
        <v>5403</v>
      </c>
    </row>
    <row r="3975" spans="1:6" x14ac:dyDescent="0.25">
      <c r="A3975" t="s">
        <v>4201</v>
      </c>
      <c r="B3975" t="s">
        <v>2264</v>
      </c>
      <c r="C3975" t="s">
        <v>2265</v>
      </c>
      <c r="D3975" t="str">
        <f>HYPERLINK("http://service.sap.com/sap/support/notes/1779841","1779841")</f>
        <v>1779841</v>
      </c>
      <c r="E3975">
        <v>1</v>
      </c>
      <c r="F3975" t="s">
        <v>5404</v>
      </c>
    </row>
    <row r="3976" spans="1:6" x14ac:dyDescent="0.25">
      <c r="A3976" t="s">
        <v>4201</v>
      </c>
      <c r="B3976" t="s">
        <v>2264</v>
      </c>
      <c r="C3976" t="s">
        <v>2265</v>
      </c>
      <c r="D3976" t="str">
        <f>HYPERLINK("http://service.sap.com/sap/support/notes/1790585","1790585")</f>
        <v>1790585</v>
      </c>
      <c r="E3976">
        <v>2</v>
      </c>
      <c r="F3976" t="s">
        <v>5405</v>
      </c>
    </row>
    <row r="3977" spans="1:6" x14ac:dyDescent="0.25">
      <c r="A3977" t="s">
        <v>4201</v>
      </c>
      <c r="B3977" t="s">
        <v>2270</v>
      </c>
      <c r="C3977" t="s">
        <v>2265</v>
      </c>
      <c r="D3977" t="str">
        <f>HYPERLINK("http://service.sap.com/sap/support/notes/1749297","1749297")</f>
        <v>1749297</v>
      </c>
      <c r="E3977">
        <v>2</v>
      </c>
      <c r="F3977" t="s">
        <v>5406</v>
      </c>
    </row>
    <row r="3978" spans="1:6" x14ac:dyDescent="0.25">
      <c r="A3978" t="s">
        <v>4201</v>
      </c>
      <c r="B3978" t="s">
        <v>2270</v>
      </c>
      <c r="C3978" t="s">
        <v>2265</v>
      </c>
      <c r="D3978" t="str">
        <f>HYPERLINK("http://service.sap.com/sap/support/notes/1768098","1768098")</f>
        <v>1768098</v>
      </c>
      <c r="E3978">
        <v>3</v>
      </c>
      <c r="F3978" t="s">
        <v>5407</v>
      </c>
    </row>
    <row r="3979" spans="1:6" x14ac:dyDescent="0.25">
      <c r="A3979" t="s">
        <v>4201</v>
      </c>
      <c r="B3979" t="s">
        <v>2276</v>
      </c>
      <c r="C3979" t="s">
        <v>2277</v>
      </c>
      <c r="D3979" t="str">
        <f>HYPERLINK("http://service.sap.com/sap/support/notes/1709234","1709234")</f>
        <v>1709234</v>
      </c>
      <c r="E3979">
        <v>1</v>
      </c>
      <c r="F3979" t="s">
        <v>5408</v>
      </c>
    </row>
    <row r="3980" spans="1:6" x14ac:dyDescent="0.25">
      <c r="A3980" t="s">
        <v>4201</v>
      </c>
      <c r="B3980" t="s">
        <v>2276</v>
      </c>
      <c r="C3980" t="s">
        <v>2277</v>
      </c>
      <c r="D3980" t="str">
        <f>HYPERLINK("http://service.sap.com/sap/support/notes/1768662","1768662")</f>
        <v>1768662</v>
      </c>
      <c r="E3980">
        <v>2</v>
      </c>
      <c r="F3980" t="s">
        <v>5409</v>
      </c>
    </row>
    <row r="3981" spans="1:6" x14ac:dyDescent="0.25">
      <c r="A3981" t="s">
        <v>4201</v>
      </c>
      <c r="B3981" t="s">
        <v>2279</v>
      </c>
      <c r="C3981" t="s">
        <v>2280</v>
      </c>
    </row>
    <row r="3982" spans="1:6" x14ac:dyDescent="0.25">
      <c r="A3982" t="s">
        <v>4201</v>
      </c>
      <c r="B3982" t="s">
        <v>5410</v>
      </c>
      <c r="C3982" t="s">
        <v>5411</v>
      </c>
      <c r="D3982" t="str">
        <f>HYPERLINK("http://service.sap.com/sap/support/notes/1768014","1768014")</f>
        <v>1768014</v>
      </c>
      <c r="E3982">
        <v>2</v>
      </c>
      <c r="F3982" t="s">
        <v>5412</v>
      </c>
    </row>
    <row r="3983" spans="1:6" x14ac:dyDescent="0.25">
      <c r="A3983" t="s">
        <v>4201</v>
      </c>
      <c r="B3983" t="s">
        <v>5413</v>
      </c>
      <c r="C3983" t="s">
        <v>2280</v>
      </c>
      <c r="D3983" t="str">
        <f>HYPERLINK("http://service.sap.com/sap/support/notes/1790900","1790900")</f>
        <v>1790900</v>
      </c>
      <c r="E3983">
        <v>1</v>
      </c>
      <c r="F3983" t="s">
        <v>5414</v>
      </c>
    </row>
    <row r="3984" spans="1:6" x14ac:dyDescent="0.25">
      <c r="A3984" t="s">
        <v>4201</v>
      </c>
      <c r="B3984" t="s">
        <v>2292</v>
      </c>
      <c r="C3984" t="s">
        <v>2293</v>
      </c>
    </row>
    <row r="3985" spans="1:6" x14ac:dyDescent="0.25">
      <c r="A3985" t="s">
        <v>4201</v>
      </c>
      <c r="B3985" t="s">
        <v>5415</v>
      </c>
      <c r="C3985" t="s">
        <v>2293</v>
      </c>
      <c r="D3985" t="str">
        <f>HYPERLINK("http://service.sap.com/sap/support/notes/1610695","1610695")</f>
        <v>1610695</v>
      </c>
      <c r="E3985">
        <v>2</v>
      </c>
      <c r="F3985" t="s">
        <v>5416</v>
      </c>
    </row>
    <row r="3986" spans="1:6" x14ac:dyDescent="0.25">
      <c r="A3986" t="s">
        <v>4201</v>
      </c>
      <c r="B3986" t="s">
        <v>5415</v>
      </c>
      <c r="C3986" t="s">
        <v>2293</v>
      </c>
      <c r="D3986" t="str">
        <f>HYPERLINK("http://service.sap.com/sap/support/notes/1750809","1750809")</f>
        <v>1750809</v>
      </c>
      <c r="E3986">
        <v>2</v>
      </c>
      <c r="F3986" t="s">
        <v>5417</v>
      </c>
    </row>
    <row r="3987" spans="1:6" x14ac:dyDescent="0.25">
      <c r="A3987" t="s">
        <v>4201</v>
      </c>
      <c r="B3987" t="s">
        <v>5415</v>
      </c>
      <c r="C3987" t="s">
        <v>2293</v>
      </c>
      <c r="D3987" t="str">
        <f>HYPERLINK("http://service.sap.com/sap/support/notes/1772920","1772920")</f>
        <v>1772920</v>
      </c>
      <c r="E3987">
        <v>2</v>
      </c>
      <c r="F3987" t="s">
        <v>5418</v>
      </c>
    </row>
    <row r="3988" spans="1:6" x14ac:dyDescent="0.25">
      <c r="A3988" t="s">
        <v>4201</v>
      </c>
      <c r="B3988" t="s">
        <v>2297</v>
      </c>
      <c r="C3988" t="s">
        <v>2298</v>
      </c>
    </row>
    <row r="3989" spans="1:6" x14ac:dyDescent="0.25">
      <c r="A3989" t="s">
        <v>4201</v>
      </c>
      <c r="B3989" t="s">
        <v>2299</v>
      </c>
      <c r="C3989" t="s">
        <v>2300</v>
      </c>
      <c r="D3989" t="str">
        <f>HYPERLINK("http://service.sap.com/sap/support/notes/1677707","1677707")</f>
        <v>1677707</v>
      </c>
      <c r="E3989">
        <v>4</v>
      </c>
      <c r="F3989" t="s">
        <v>5419</v>
      </c>
    </row>
    <row r="3990" spans="1:6" x14ac:dyDescent="0.25">
      <c r="A3990" t="s">
        <v>4201</v>
      </c>
      <c r="B3990" t="s">
        <v>2299</v>
      </c>
      <c r="C3990" t="s">
        <v>2300</v>
      </c>
      <c r="D3990" t="str">
        <f>HYPERLINK("http://service.sap.com/sap/support/notes/1784316","1784316")</f>
        <v>1784316</v>
      </c>
      <c r="E3990">
        <v>3</v>
      </c>
      <c r="F3990" t="s">
        <v>5420</v>
      </c>
    </row>
    <row r="3991" spans="1:6" x14ac:dyDescent="0.25">
      <c r="A3991" t="s">
        <v>4201</v>
      </c>
      <c r="B3991" t="s">
        <v>2299</v>
      </c>
      <c r="C3991" t="s">
        <v>2300</v>
      </c>
      <c r="D3991" t="str">
        <f>HYPERLINK("http://service.sap.com/sap/support/notes/1784780","1784780")</f>
        <v>1784780</v>
      </c>
      <c r="E3991">
        <v>2</v>
      </c>
      <c r="F3991" t="s">
        <v>5421</v>
      </c>
    </row>
    <row r="3992" spans="1:6" x14ac:dyDescent="0.25">
      <c r="A3992" t="s">
        <v>4201</v>
      </c>
      <c r="B3992" t="s">
        <v>2305</v>
      </c>
      <c r="C3992" t="s">
        <v>2306</v>
      </c>
      <c r="D3992" t="str">
        <f>HYPERLINK("http://service.sap.com/sap/support/notes/1735911","1735911")</f>
        <v>1735911</v>
      </c>
      <c r="E3992">
        <v>1</v>
      </c>
      <c r="F3992" t="s">
        <v>5422</v>
      </c>
    </row>
    <row r="3993" spans="1:6" x14ac:dyDescent="0.25">
      <c r="A3993" t="s">
        <v>4201</v>
      </c>
      <c r="B3993" t="s">
        <v>2305</v>
      </c>
      <c r="C3993" t="s">
        <v>2306</v>
      </c>
      <c r="D3993" t="str">
        <f>HYPERLINK("http://service.sap.com/sap/support/notes/1762936","1762936")</f>
        <v>1762936</v>
      </c>
      <c r="E3993">
        <v>1</v>
      </c>
      <c r="F3993" t="s">
        <v>5423</v>
      </c>
    </row>
    <row r="3994" spans="1:6" x14ac:dyDescent="0.25">
      <c r="A3994" t="s">
        <v>4201</v>
      </c>
      <c r="B3994" t="s">
        <v>2305</v>
      </c>
      <c r="C3994" t="s">
        <v>2306</v>
      </c>
      <c r="D3994" t="str">
        <f>HYPERLINK("http://service.sap.com/sap/support/notes/1767854","1767854")</f>
        <v>1767854</v>
      </c>
      <c r="E3994">
        <v>1</v>
      </c>
      <c r="F3994" t="s">
        <v>2311</v>
      </c>
    </row>
    <row r="3995" spans="1:6" x14ac:dyDescent="0.25">
      <c r="A3995" t="s">
        <v>4201</v>
      </c>
      <c r="B3995" t="s">
        <v>2305</v>
      </c>
      <c r="C3995" t="s">
        <v>2306</v>
      </c>
      <c r="D3995" t="str">
        <f>HYPERLINK("http://service.sap.com/sap/support/notes/1769339","1769339")</f>
        <v>1769339</v>
      </c>
      <c r="E3995">
        <v>2</v>
      </c>
      <c r="F3995" t="s">
        <v>5424</v>
      </c>
    </row>
    <row r="3996" spans="1:6" x14ac:dyDescent="0.25">
      <c r="A3996" t="s">
        <v>4201</v>
      </c>
      <c r="B3996" t="s">
        <v>2305</v>
      </c>
      <c r="C3996" t="s">
        <v>2306</v>
      </c>
      <c r="D3996" t="str">
        <f>HYPERLINK("http://service.sap.com/sap/support/notes/1771408","1771408")</f>
        <v>1771408</v>
      </c>
      <c r="E3996">
        <v>3</v>
      </c>
      <c r="F3996" t="s">
        <v>2311</v>
      </c>
    </row>
    <row r="3997" spans="1:6" x14ac:dyDescent="0.25">
      <c r="A3997" t="s">
        <v>4201</v>
      </c>
      <c r="B3997" t="s">
        <v>2305</v>
      </c>
      <c r="C3997" t="s">
        <v>2306</v>
      </c>
      <c r="D3997" t="str">
        <f>HYPERLINK("http://service.sap.com/sap/support/notes/1784688","1784688")</f>
        <v>1784688</v>
      </c>
      <c r="E3997">
        <v>1</v>
      </c>
      <c r="F3997" t="s">
        <v>5425</v>
      </c>
    </row>
    <row r="3998" spans="1:6" x14ac:dyDescent="0.25">
      <c r="A3998" t="s">
        <v>4201</v>
      </c>
      <c r="B3998" t="s">
        <v>2320</v>
      </c>
      <c r="C3998" t="s">
        <v>2321</v>
      </c>
    </row>
    <row r="3999" spans="1:6" x14ac:dyDescent="0.25">
      <c r="A3999" t="s">
        <v>4201</v>
      </c>
      <c r="B3999" t="s">
        <v>2322</v>
      </c>
      <c r="C3999" t="s">
        <v>2323</v>
      </c>
      <c r="D3999" t="str">
        <f>HYPERLINK("http://service.sap.com/sap/support/notes/1316656","1316656")</f>
        <v>1316656</v>
      </c>
      <c r="E3999">
        <v>17</v>
      </c>
      <c r="F3999" t="s">
        <v>5426</v>
      </c>
    </row>
    <row r="4000" spans="1:6" x14ac:dyDescent="0.25">
      <c r="A4000" t="s">
        <v>4201</v>
      </c>
      <c r="B4000" t="s">
        <v>2322</v>
      </c>
      <c r="C4000" t="s">
        <v>2323</v>
      </c>
      <c r="D4000" t="str">
        <f>HYPERLINK("http://service.sap.com/sap/support/notes/1757094","1757094")</f>
        <v>1757094</v>
      </c>
      <c r="E4000">
        <v>5</v>
      </c>
      <c r="F4000" t="s">
        <v>5427</v>
      </c>
    </row>
    <row r="4001" spans="1:6" x14ac:dyDescent="0.25">
      <c r="A4001" t="s">
        <v>4201</v>
      </c>
      <c r="B4001" t="s">
        <v>2322</v>
      </c>
      <c r="C4001" t="s">
        <v>2323</v>
      </c>
      <c r="D4001" t="str">
        <f>HYPERLINK("http://service.sap.com/sap/support/notes/1762759","1762759")</f>
        <v>1762759</v>
      </c>
      <c r="E4001">
        <v>6</v>
      </c>
      <c r="F4001" t="s">
        <v>5428</v>
      </c>
    </row>
    <row r="4002" spans="1:6" x14ac:dyDescent="0.25">
      <c r="A4002" t="s">
        <v>4201</v>
      </c>
      <c r="B4002" t="s">
        <v>2322</v>
      </c>
      <c r="C4002" t="s">
        <v>2323</v>
      </c>
      <c r="D4002" t="str">
        <f>HYPERLINK("http://service.sap.com/sap/support/notes/1789565","1789565")</f>
        <v>1789565</v>
      </c>
      <c r="E4002">
        <v>3</v>
      </c>
      <c r="F4002" t="s">
        <v>5429</v>
      </c>
    </row>
    <row r="4003" spans="1:6" x14ac:dyDescent="0.25">
      <c r="A4003" t="s">
        <v>4201</v>
      </c>
      <c r="B4003" t="s">
        <v>2322</v>
      </c>
      <c r="C4003" t="s">
        <v>2323</v>
      </c>
      <c r="D4003" t="str">
        <f>HYPERLINK("http://service.sap.com/sap/support/notes/1790354","1790354")</f>
        <v>1790354</v>
      </c>
      <c r="E4003">
        <v>1</v>
      </c>
      <c r="F4003" t="s">
        <v>5430</v>
      </c>
    </row>
    <row r="4004" spans="1:6" x14ac:dyDescent="0.25">
      <c r="A4004" t="s">
        <v>4201</v>
      </c>
      <c r="B4004" t="s">
        <v>2322</v>
      </c>
      <c r="C4004" t="s">
        <v>2323</v>
      </c>
      <c r="D4004" t="str">
        <f>HYPERLINK("http://service.sap.com/sap/support/notes/1791891","1791891")</f>
        <v>1791891</v>
      </c>
      <c r="E4004">
        <v>1</v>
      </c>
      <c r="F4004" t="s">
        <v>5431</v>
      </c>
    </row>
    <row r="4005" spans="1:6" x14ac:dyDescent="0.25">
      <c r="A4005" t="s">
        <v>4201</v>
      </c>
      <c r="B4005" t="s">
        <v>2322</v>
      </c>
      <c r="C4005" t="s">
        <v>2323</v>
      </c>
      <c r="D4005" t="str">
        <f>HYPERLINK("http://service.sap.com/sap/support/notes/1796240","1796240")</f>
        <v>1796240</v>
      </c>
      <c r="E4005">
        <v>1</v>
      </c>
      <c r="F4005" t="s">
        <v>5432</v>
      </c>
    </row>
    <row r="4006" spans="1:6" x14ac:dyDescent="0.25">
      <c r="A4006" t="s">
        <v>4201</v>
      </c>
      <c r="B4006" t="s">
        <v>2322</v>
      </c>
      <c r="C4006" t="s">
        <v>2323</v>
      </c>
      <c r="D4006" t="str">
        <f>HYPERLINK("http://service.sap.com/sap/support/notes/1796319","1796319")</f>
        <v>1796319</v>
      </c>
      <c r="E4006">
        <v>1</v>
      </c>
      <c r="F4006" t="s">
        <v>5432</v>
      </c>
    </row>
    <row r="4007" spans="1:6" x14ac:dyDescent="0.25">
      <c r="A4007" t="s">
        <v>4201</v>
      </c>
      <c r="B4007" t="s">
        <v>2327</v>
      </c>
      <c r="C4007" t="s">
        <v>151</v>
      </c>
    </row>
    <row r="4008" spans="1:6" x14ac:dyDescent="0.25">
      <c r="A4008" t="s">
        <v>4201</v>
      </c>
      <c r="B4008" t="s">
        <v>5433</v>
      </c>
      <c r="C4008" t="s">
        <v>5434</v>
      </c>
      <c r="D4008" t="str">
        <f>HYPERLINK("http://service.sap.com/sap/support/notes/1772793","1772793")</f>
        <v>1772793</v>
      </c>
      <c r="E4008">
        <v>1</v>
      </c>
      <c r="F4008" t="s">
        <v>5435</v>
      </c>
    </row>
    <row r="4009" spans="1:6" x14ac:dyDescent="0.25">
      <c r="A4009" t="s">
        <v>4201</v>
      </c>
      <c r="B4009" t="s">
        <v>5436</v>
      </c>
      <c r="C4009" t="s">
        <v>5437</v>
      </c>
      <c r="D4009" t="str">
        <f>HYPERLINK("http://service.sap.com/sap/support/notes/1776420","1776420")</f>
        <v>1776420</v>
      </c>
      <c r="E4009">
        <v>2</v>
      </c>
      <c r="F4009" t="s">
        <v>5438</v>
      </c>
    </row>
    <row r="4010" spans="1:6" x14ac:dyDescent="0.25">
      <c r="A4010" t="s">
        <v>4201</v>
      </c>
      <c r="B4010" t="s">
        <v>5439</v>
      </c>
      <c r="C4010" t="s">
        <v>2233</v>
      </c>
      <c r="D4010" t="str">
        <f>HYPERLINK("http://service.sap.com/sap/support/notes/1796455","1796455")</f>
        <v>1796455</v>
      </c>
      <c r="E4010">
        <v>1</v>
      </c>
      <c r="F4010" t="s">
        <v>5440</v>
      </c>
    </row>
    <row r="4011" spans="1:6" x14ac:dyDescent="0.25">
      <c r="A4011" t="s">
        <v>4201</v>
      </c>
      <c r="B4011" t="s">
        <v>2331</v>
      </c>
      <c r="C4011" t="s">
        <v>1784</v>
      </c>
    </row>
    <row r="4012" spans="1:6" x14ac:dyDescent="0.25">
      <c r="A4012" t="s">
        <v>4201</v>
      </c>
      <c r="B4012" t="s">
        <v>5441</v>
      </c>
      <c r="C4012" t="s">
        <v>183</v>
      </c>
      <c r="D4012" t="str">
        <f>HYPERLINK("http://service.sap.com/sap/support/notes/1779352","1779352")</f>
        <v>1779352</v>
      </c>
      <c r="E4012">
        <v>2</v>
      </c>
      <c r="F4012" t="s">
        <v>5442</v>
      </c>
    </row>
    <row r="4013" spans="1:6" x14ac:dyDescent="0.25">
      <c r="A4013" t="s">
        <v>4201</v>
      </c>
      <c r="B4013" t="s">
        <v>2332</v>
      </c>
      <c r="C4013" t="s">
        <v>2333</v>
      </c>
      <c r="D4013" t="str">
        <f>HYPERLINK("http://service.sap.com/sap/support/notes/1753295","1753295")</f>
        <v>1753295</v>
      </c>
      <c r="E4013">
        <v>4</v>
      </c>
      <c r="F4013" t="s">
        <v>5443</v>
      </c>
    </row>
    <row r="4014" spans="1:6" x14ac:dyDescent="0.25">
      <c r="A4014" t="s">
        <v>4201</v>
      </c>
      <c r="B4014" t="s">
        <v>2332</v>
      </c>
      <c r="C4014" t="s">
        <v>2333</v>
      </c>
      <c r="D4014" t="str">
        <f>HYPERLINK("http://service.sap.com/sap/support/notes/1770605","1770605")</f>
        <v>1770605</v>
      </c>
      <c r="E4014">
        <v>2</v>
      </c>
      <c r="F4014" t="s">
        <v>5444</v>
      </c>
    </row>
    <row r="4015" spans="1:6" x14ac:dyDescent="0.25">
      <c r="A4015" t="s">
        <v>4201</v>
      </c>
      <c r="B4015" t="s">
        <v>2340</v>
      </c>
      <c r="C4015" t="s">
        <v>5445</v>
      </c>
    </row>
    <row r="4016" spans="1:6" x14ac:dyDescent="0.25">
      <c r="A4016" t="s">
        <v>4201</v>
      </c>
      <c r="B4016" t="s">
        <v>5446</v>
      </c>
      <c r="C4016" t="s">
        <v>5447</v>
      </c>
      <c r="D4016" t="str">
        <f>HYPERLINK("http://service.sap.com/sap/support/notes/1787543","1787543")</f>
        <v>1787543</v>
      </c>
      <c r="E4016">
        <v>1</v>
      </c>
      <c r="F4016" t="s">
        <v>5448</v>
      </c>
    </row>
    <row r="4017" spans="1:6" x14ac:dyDescent="0.25">
      <c r="A4017" t="s">
        <v>4201</v>
      </c>
      <c r="B4017" t="s">
        <v>2347</v>
      </c>
      <c r="C4017" t="s">
        <v>2348</v>
      </c>
      <c r="D4017" t="str">
        <f>HYPERLINK("http://service.sap.com/sap/support/notes/1785961","1785961")</f>
        <v>1785961</v>
      </c>
      <c r="E4017">
        <v>1</v>
      </c>
      <c r="F4017" t="s">
        <v>5449</v>
      </c>
    </row>
    <row r="4018" spans="1:6" x14ac:dyDescent="0.25">
      <c r="A4018" t="s">
        <v>4201</v>
      </c>
      <c r="B4018" t="s">
        <v>2351</v>
      </c>
      <c r="C4018" t="s">
        <v>2352</v>
      </c>
      <c r="D4018" t="str">
        <f>HYPERLINK("http://service.sap.com/sap/support/notes/1762216","1762216")</f>
        <v>1762216</v>
      </c>
      <c r="E4018">
        <v>3</v>
      </c>
      <c r="F4018" t="s">
        <v>5450</v>
      </c>
    </row>
    <row r="4019" spans="1:6" x14ac:dyDescent="0.25">
      <c r="A4019" t="s">
        <v>4201</v>
      </c>
      <c r="B4019" t="s">
        <v>2358</v>
      </c>
      <c r="C4019" t="s">
        <v>2359</v>
      </c>
      <c r="D4019" t="str">
        <f>HYPERLINK("http://service.sap.com/sap/support/notes/1666906","1666906")</f>
        <v>1666906</v>
      </c>
      <c r="E4019">
        <v>7</v>
      </c>
      <c r="F4019" t="s">
        <v>5451</v>
      </c>
    </row>
    <row r="4020" spans="1:6" x14ac:dyDescent="0.25">
      <c r="A4020" t="s">
        <v>4201</v>
      </c>
      <c r="B4020" t="s">
        <v>2358</v>
      </c>
      <c r="C4020" t="s">
        <v>2359</v>
      </c>
      <c r="D4020" t="str">
        <f>HYPERLINK("http://service.sap.com/sap/support/notes/1765549","1765549")</f>
        <v>1765549</v>
      </c>
      <c r="E4020">
        <v>1</v>
      </c>
      <c r="F4020" t="s">
        <v>5452</v>
      </c>
    </row>
    <row r="4021" spans="1:6" x14ac:dyDescent="0.25">
      <c r="A4021" t="s">
        <v>4201</v>
      </c>
      <c r="B4021" t="s">
        <v>2358</v>
      </c>
      <c r="C4021" t="s">
        <v>2359</v>
      </c>
      <c r="D4021" t="str">
        <f>HYPERLINK("http://service.sap.com/sap/support/notes/1767400","1767400")</f>
        <v>1767400</v>
      </c>
      <c r="E4021">
        <v>2</v>
      </c>
      <c r="F4021" t="s">
        <v>5453</v>
      </c>
    </row>
    <row r="4022" spans="1:6" x14ac:dyDescent="0.25">
      <c r="A4022" t="s">
        <v>4201</v>
      </c>
      <c r="B4022" t="s">
        <v>2358</v>
      </c>
      <c r="C4022" t="s">
        <v>2359</v>
      </c>
      <c r="D4022" t="str">
        <f>HYPERLINK("http://service.sap.com/sap/support/notes/1777661","1777661")</f>
        <v>1777661</v>
      </c>
      <c r="E4022">
        <v>1</v>
      </c>
      <c r="F4022" t="s">
        <v>5454</v>
      </c>
    </row>
    <row r="4023" spans="1:6" x14ac:dyDescent="0.25">
      <c r="A4023" t="s">
        <v>4201</v>
      </c>
      <c r="B4023" t="s">
        <v>2358</v>
      </c>
      <c r="C4023" t="s">
        <v>2359</v>
      </c>
      <c r="D4023" t="str">
        <f>HYPERLINK("http://service.sap.com/sap/support/notes/1781555","1781555")</f>
        <v>1781555</v>
      </c>
      <c r="E4023">
        <v>1</v>
      </c>
      <c r="F4023" t="s">
        <v>5455</v>
      </c>
    </row>
    <row r="4024" spans="1:6" x14ac:dyDescent="0.25">
      <c r="A4024" t="s">
        <v>4201</v>
      </c>
      <c r="B4024" t="s">
        <v>2358</v>
      </c>
      <c r="C4024" t="s">
        <v>2359</v>
      </c>
      <c r="D4024" t="str">
        <f>HYPERLINK("http://service.sap.com/sap/support/notes/1795852","1795852")</f>
        <v>1795852</v>
      </c>
      <c r="E4024">
        <v>1</v>
      </c>
      <c r="F4024" t="s">
        <v>5456</v>
      </c>
    </row>
    <row r="4025" spans="1:6" x14ac:dyDescent="0.25">
      <c r="A4025" t="s">
        <v>4201</v>
      </c>
      <c r="B4025" t="s">
        <v>5457</v>
      </c>
      <c r="C4025" t="s">
        <v>2321</v>
      </c>
      <c r="D4025" t="str">
        <f>HYPERLINK("http://service.sap.com/sap/support/notes/1791521","1791521")</f>
        <v>1791521</v>
      </c>
      <c r="E4025">
        <v>1</v>
      </c>
      <c r="F4025" t="s">
        <v>5458</v>
      </c>
    </row>
    <row r="4026" spans="1:6" x14ac:dyDescent="0.25">
      <c r="A4026" t="s">
        <v>4201</v>
      </c>
      <c r="B4026" t="s">
        <v>2375</v>
      </c>
      <c r="C4026" t="s">
        <v>2376</v>
      </c>
      <c r="D4026" t="str">
        <f>HYPERLINK("http://service.sap.com/sap/support/notes/1726852","1726852")</f>
        <v>1726852</v>
      </c>
      <c r="E4026">
        <v>3</v>
      </c>
      <c r="F4026" t="s">
        <v>5459</v>
      </c>
    </row>
    <row r="4027" spans="1:6" x14ac:dyDescent="0.25">
      <c r="A4027" t="s">
        <v>4201</v>
      </c>
      <c r="B4027" t="s">
        <v>2383</v>
      </c>
      <c r="C4027" t="s">
        <v>1638</v>
      </c>
    </row>
    <row r="4028" spans="1:6" x14ac:dyDescent="0.25">
      <c r="A4028" t="s">
        <v>4201</v>
      </c>
      <c r="B4028" t="s">
        <v>2389</v>
      </c>
      <c r="C4028" t="s">
        <v>2390</v>
      </c>
      <c r="D4028" t="str">
        <f>HYPERLINK("http://service.sap.com/sap/support/notes/1764903","1764903")</f>
        <v>1764903</v>
      </c>
      <c r="E4028">
        <v>3</v>
      </c>
      <c r="F4028" t="s">
        <v>5460</v>
      </c>
    </row>
    <row r="4029" spans="1:6" x14ac:dyDescent="0.25">
      <c r="A4029" t="s">
        <v>4201</v>
      </c>
      <c r="B4029" t="s">
        <v>2389</v>
      </c>
      <c r="C4029" t="s">
        <v>2390</v>
      </c>
      <c r="D4029" t="str">
        <f>HYPERLINK("http://service.sap.com/sap/support/notes/1765865","1765865")</f>
        <v>1765865</v>
      </c>
      <c r="E4029">
        <v>3</v>
      </c>
      <c r="F4029" t="s">
        <v>5461</v>
      </c>
    </row>
    <row r="4030" spans="1:6" x14ac:dyDescent="0.25">
      <c r="A4030" t="s">
        <v>4201</v>
      </c>
      <c r="B4030" t="s">
        <v>2389</v>
      </c>
      <c r="C4030" t="s">
        <v>2390</v>
      </c>
      <c r="D4030" t="str">
        <f>HYPERLINK("http://service.sap.com/sap/support/notes/1767464","1767464")</f>
        <v>1767464</v>
      </c>
      <c r="E4030">
        <v>2</v>
      </c>
      <c r="F4030" t="s">
        <v>5462</v>
      </c>
    </row>
    <row r="4031" spans="1:6" x14ac:dyDescent="0.25">
      <c r="A4031" t="s">
        <v>4201</v>
      </c>
      <c r="B4031" t="s">
        <v>2397</v>
      </c>
      <c r="C4031" t="s">
        <v>151</v>
      </c>
      <c r="D4031" t="str">
        <f>HYPERLINK("http://service.sap.com/sap/support/notes/1785569","1785569")</f>
        <v>1785569</v>
      </c>
      <c r="E4031">
        <v>2</v>
      </c>
      <c r="F4031" t="s">
        <v>5463</v>
      </c>
    </row>
    <row r="4032" spans="1:6" x14ac:dyDescent="0.25">
      <c r="A4032" t="s">
        <v>4201</v>
      </c>
      <c r="B4032" t="s">
        <v>5464</v>
      </c>
      <c r="C4032" t="s">
        <v>5465</v>
      </c>
      <c r="D4032" t="str">
        <f>HYPERLINK("http://service.sap.com/sap/support/notes/1651678","1651678")</f>
        <v>1651678</v>
      </c>
      <c r="E4032">
        <v>3</v>
      </c>
      <c r="F4032" t="s">
        <v>5466</v>
      </c>
    </row>
    <row r="4033" spans="1:6" x14ac:dyDescent="0.25">
      <c r="A4033" t="s">
        <v>4201</v>
      </c>
      <c r="B4033" t="s">
        <v>2405</v>
      </c>
      <c r="C4033" t="s">
        <v>978</v>
      </c>
      <c r="D4033" t="str">
        <f>HYPERLINK("http://service.sap.com/sap/support/notes/1771172","1771172")</f>
        <v>1771172</v>
      </c>
      <c r="E4033">
        <v>3</v>
      </c>
      <c r="F4033" t="s">
        <v>5467</v>
      </c>
    </row>
    <row r="4034" spans="1:6" x14ac:dyDescent="0.25">
      <c r="A4034" t="s">
        <v>4201</v>
      </c>
      <c r="B4034" t="s">
        <v>2405</v>
      </c>
      <c r="C4034" t="s">
        <v>978</v>
      </c>
      <c r="D4034" t="str">
        <f>HYPERLINK("http://service.sap.com/sap/support/notes/1779979","1779979")</f>
        <v>1779979</v>
      </c>
      <c r="E4034">
        <v>1</v>
      </c>
      <c r="F4034" t="s">
        <v>5468</v>
      </c>
    </row>
    <row r="4035" spans="1:6" x14ac:dyDescent="0.25">
      <c r="A4035" t="s">
        <v>4201</v>
      </c>
      <c r="B4035" t="s">
        <v>2409</v>
      </c>
      <c r="C4035" t="s">
        <v>2410</v>
      </c>
      <c r="D4035" t="str">
        <f>HYPERLINK("http://service.sap.com/sap/support/notes/1764027","1764027")</f>
        <v>1764027</v>
      </c>
      <c r="E4035">
        <v>2</v>
      </c>
      <c r="F4035" t="s">
        <v>5469</v>
      </c>
    </row>
    <row r="4036" spans="1:6" x14ac:dyDescent="0.25">
      <c r="A4036" t="s">
        <v>4201</v>
      </c>
      <c r="B4036" t="s">
        <v>2414</v>
      </c>
      <c r="C4036" t="s">
        <v>2415</v>
      </c>
      <c r="D4036" t="str">
        <f>HYPERLINK("http://service.sap.com/sap/support/notes/1768533","1768533")</f>
        <v>1768533</v>
      </c>
      <c r="E4036">
        <v>1</v>
      </c>
      <c r="F4036" t="s">
        <v>5470</v>
      </c>
    </row>
    <row r="4037" spans="1:6" x14ac:dyDescent="0.25">
      <c r="A4037" t="s">
        <v>4201</v>
      </c>
      <c r="B4037" t="s">
        <v>2418</v>
      </c>
      <c r="C4037" t="s">
        <v>2419</v>
      </c>
      <c r="D4037" t="str">
        <f>HYPERLINK("http://service.sap.com/sap/support/notes/1787689","1787689")</f>
        <v>1787689</v>
      </c>
      <c r="E4037">
        <v>1</v>
      </c>
      <c r="F4037" t="s">
        <v>5471</v>
      </c>
    </row>
    <row r="4038" spans="1:6" x14ac:dyDescent="0.25">
      <c r="A4038" t="s">
        <v>4201</v>
      </c>
      <c r="B4038" t="s">
        <v>2418</v>
      </c>
      <c r="C4038" t="s">
        <v>2419</v>
      </c>
      <c r="D4038" t="str">
        <f>HYPERLINK("http://service.sap.com/sap/support/notes/1789726","1789726")</f>
        <v>1789726</v>
      </c>
      <c r="E4038">
        <v>2</v>
      </c>
      <c r="F4038" t="s">
        <v>5472</v>
      </c>
    </row>
    <row r="4039" spans="1:6" x14ac:dyDescent="0.25">
      <c r="A4039" t="s">
        <v>4201</v>
      </c>
      <c r="B4039" t="s">
        <v>2424</v>
      </c>
      <c r="C4039" t="s">
        <v>2425</v>
      </c>
      <c r="D4039" t="str">
        <f>HYPERLINK("http://service.sap.com/sap/support/notes/1773049","1773049")</f>
        <v>1773049</v>
      </c>
      <c r="E4039">
        <v>2</v>
      </c>
      <c r="F4039" t="s">
        <v>5473</v>
      </c>
    </row>
    <row r="4040" spans="1:6" x14ac:dyDescent="0.25">
      <c r="A4040" t="s">
        <v>4201</v>
      </c>
      <c r="B4040" t="s">
        <v>2424</v>
      </c>
      <c r="C4040" t="s">
        <v>2425</v>
      </c>
      <c r="D4040" t="str">
        <f>HYPERLINK("http://service.sap.com/sap/support/notes/1778379","1778379")</f>
        <v>1778379</v>
      </c>
      <c r="E4040">
        <v>1</v>
      </c>
      <c r="F4040" t="s">
        <v>5474</v>
      </c>
    </row>
    <row r="4041" spans="1:6" x14ac:dyDescent="0.25">
      <c r="A4041" t="s">
        <v>4201</v>
      </c>
      <c r="B4041" t="s">
        <v>2424</v>
      </c>
      <c r="C4041" t="s">
        <v>2425</v>
      </c>
      <c r="D4041" t="str">
        <f>HYPERLINK("http://service.sap.com/sap/support/notes/1779633","1779633")</f>
        <v>1779633</v>
      </c>
      <c r="E4041">
        <v>1</v>
      </c>
      <c r="F4041" t="s">
        <v>5475</v>
      </c>
    </row>
    <row r="4042" spans="1:6" x14ac:dyDescent="0.25">
      <c r="A4042" t="s">
        <v>4201</v>
      </c>
      <c r="B4042" t="s">
        <v>2428</v>
      </c>
      <c r="C4042" t="s">
        <v>2429</v>
      </c>
      <c r="D4042" t="str">
        <f>HYPERLINK("http://service.sap.com/sap/support/notes/1775571","1775571")</f>
        <v>1775571</v>
      </c>
      <c r="E4042">
        <v>2</v>
      </c>
      <c r="F4042" t="s">
        <v>5476</v>
      </c>
    </row>
    <row r="4043" spans="1:6" x14ac:dyDescent="0.25">
      <c r="A4043" t="s">
        <v>4201</v>
      </c>
      <c r="B4043" t="s">
        <v>2428</v>
      </c>
      <c r="C4043" t="s">
        <v>2429</v>
      </c>
      <c r="D4043" t="str">
        <f>HYPERLINK("http://service.sap.com/sap/support/notes/1786779","1786779")</f>
        <v>1786779</v>
      </c>
      <c r="E4043">
        <v>3</v>
      </c>
      <c r="F4043" t="s">
        <v>5477</v>
      </c>
    </row>
    <row r="4044" spans="1:6" x14ac:dyDescent="0.25">
      <c r="A4044" t="s">
        <v>4201</v>
      </c>
      <c r="B4044" t="s">
        <v>2434</v>
      </c>
      <c r="C4044" t="s">
        <v>2435</v>
      </c>
      <c r="D4044" t="str">
        <f>HYPERLINK("http://service.sap.com/sap/support/notes/1675688","1675688")</f>
        <v>1675688</v>
      </c>
      <c r="E4044">
        <v>4</v>
      </c>
      <c r="F4044" t="s">
        <v>5478</v>
      </c>
    </row>
    <row r="4045" spans="1:6" x14ac:dyDescent="0.25">
      <c r="A4045" t="s">
        <v>4201</v>
      </c>
      <c r="B4045" t="s">
        <v>2434</v>
      </c>
      <c r="C4045" t="s">
        <v>2435</v>
      </c>
      <c r="D4045" t="str">
        <f>HYPERLINK("http://service.sap.com/sap/support/notes/1768644","1768644")</f>
        <v>1768644</v>
      </c>
      <c r="E4045">
        <v>4</v>
      </c>
      <c r="F4045" t="s">
        <v>5479</v>
      </c>
    </row>
    <row r="4046" spans="1:6" x14ac:dyDescent="0.25">
      <c r="A4046" t="s">
        <v>4201</v>
      </c>
      <c r="B4046" t="s">
        <v>2434</v>
      </c>
      <c r="C4046" t="s">
        <v>2435</v>
      </c>
      <c r="D4046" t="str">
        <f>HYPERLINK("http://service.sap.com/sap/support/notes/1772066","1772066")</f>
        <v>1772066</v>
      </c>
      <c r="E4046">
        <v>4</v>
      </c>
      <c r="F4046" t="s">
        <v>5480</v>
      </c>
    </row>
    <row r="4047" spans="1:6" x14ac:dyDescent="0.25">
      <c r="A4047" t="s">
        <v>4201</v>
      </c>
      <c r="B4047" t="s">
        <v>2439</v>
      </c>
      <c r="C4047" t="s">
        <v>1743</v>
      </c>
      <c r="D4047" t="str">
        <f>HYPERLINK("http://service.sap.com/sap/support/notes/1703392","1703392")</f>
        <v>1703392</v>
      </c>
      <c r="E4047">
        <v>16</v>
      </c>
      <c r="F4047" t="s">
        <v>5481</v>
      </c>
    </row>
    <row r="4048" spans="1:6" x14ac:dyDescent="0.25">
      <c r="A4048" t="s">
        <v>4201</v>
      </c>
      <c r="B4048" t="s">
        <v>2439</v>
      </c>
      <c r="C4048" t="s">
        <v>1743</v>
      </c>
      <c r="D4048" t="str">
        <f>HYPERLINK("http://service.sap.com/sap/support/notes/1736790","1736790")</f>
        <v>1736790</v>
      </c>
      <c r="E4048">
        <v>2</v>
      </c>
      <c r="F4048" t="s">
        <v>5482</v>
      </c>
    </row>
    <row r="4049" spans="1:6" x14ac:dyDescent="0.25">
      <c r="A4049" t="s">
        <v>4201</v>
      </c>
      <c r="B4049" t="s">
        <v>2439</v>
      </c>
      <c r="C4049" t="s">
        <v>1743</v>
      </c>
      <c r="D4049" t="str">
        <f>HYPERLINK("http://service.sap.com/sap/support/notes/1780598","1780598")</f>
        <v>1780598</v>
      </c>
      <c r="E4049">
        <v>1</v>
      </c>
      <c r="F4049" t="s">
        <v>5483</v>
      </c>
    </row>
    <row r="4050" spans="1:6" x14ac:dyDescent="0.25">
      <c r="A4050" t="s">
        <v>4201</v>
      </c>
      <c r="B4050" t="s">
        <v>2439</v>
      </c>
      <c r="C4050" t="s">
        <v>1743</v>
      </c>
      <c r="D4050" t="str">
        <f>HYPERLINK("http://service.sap.com/sap/support/notes/1783867","1783867")</f>
        <v>1783867</v>
      </c>
      <c r="E4050">
        <v>2</v>
      </c>
      <c r="F4050" t="s">
        <v>5484</v>
      </c>
    </row>
    <row r="4051" spans="1:6" x14ac:dyDescent="0.25">
      <c r="A4051" t="s">
        <v>4201</v>
      </c>
      <c r="B4051" t="s">
        <v>2439</v>
      </c>
      <c r="C4051" t="s">
        <v>1743</v>
      </c>
      <c r="D4051" t="str">
        <f>HYPERLINK("http://service.sap.com/sap/support/notes/1786170","1786170")</f>
        <v>1786170</v>
      </c>
      <c r="E4051">
        <v>3</v>
      </c>
      <c r="F4051" t="s">
        <v>5485</v>
      </c>
    </row>
    <row r="4052" spans="1:6" x14ac:dyDescent="0.25">
      <c r="A4052" t="s">
        <v>4201</v>
      </c>
      <c r="B4052" t="s">
        <v>2439</v>
      </c>
      <c r="C4052" t="s">
        <v>1743</v>
      </c>
      <c r="D4052" t="str">
        <f>HYPERLINK("http://service.sap.com/sap/support/notes/1789958","1789958")</f>
        <v>1789958</v>
      </c>
      <c r="E4052">
        <v>1</v>
      </c>
      <c r="F4052" t="s">
        <v>5486</v>
      </c>
    </row>
    <row r="4053" spans="1:6" x14ac:dyDescent="0.25">
      <c r="A4053" t="s">
        <v>4201</v>
      </c>
      <c r="B4053" t="s">
        <v>2452</v>
      </c>
      <c r="C4053" t="s">
        <v>2453</v>
      </c>
      <c r="D4053" t="str">
        <f>HYPERLINK("http://service.sap.com/sap/support/notes/1791169","1791169")</f>
        <v>1791169</v>
      </c>
      <c r="E4053">
        <v>2</v>
      </c>
      <c r="F4053" t="s">
        <v>5487</v>
      </c>
    </row>
    <row r="4054" spans="1:6" x14ac:dyDescent="0.25">
      <c r="A4054" t="s">
        <v>4201</v>
      </c>
      <c r="B4054" t="s">
        <v>2456</v>
      </c>
      <c r="C4054" t="s">
        <v>2457</v>
      </c>
      <c r="D4054" t="str">
        <f>HYPERLINK("http://service.sap.com/sap/support/notes/1773682","1773682")</f>
        <v>1773682</v>
      </c>
      <c r="E4054">
        <v>1</v>
      </c>
      <c r="F4054" t="s">
        <v>5488</v>
      </c>
    </row>
    <row r="4055" spans="1:6" x14ac:dyDescent="0.25">
      <c r="A4055" t="s">
        <v>4201</v>
      </c>
      <c r="B4055" t="s">
        <v>2460</v>
      </c>
      <c r="C4055" t="s">
        <v>2461</v>
      </c>
      <c r="D4055" t="str">
        <f>HYPERLINK("http://service.sap.com/sap/support/notes/1759145","1759145")</f>
        <v>1759145</v>
      </c>
      <c r="E4055">
        <v>4</v>
      </c>
      <c r="F4055" t="s">
        <v>2462</v>
      </c>
    </row>
    <row r="4056" spans="1:6" x14ac:dyDescent="0.25">
      <c r="A4056" t="s">
        <v>4201</v>
      </c>
      <c r="B4056" t="s">
        <v>2460</v>
      </c>
      <c r="C4056" t="s">
        <v>2461</v>
      </c>
      <c r="D4056" t="str">
        <f>HYPERLINK("http://service.sap.com/sap/support/notes/1769199","1769199")</f>
        <v>1769199</v>
      </c>
      <c r="E4056">
        <v>2</v>
      </c>
      <c r="F4056" t="s">
        <v>5489</v>
      </c>
    </row>
    <row r="4057" spans="1:6" x14ac:dyDescent="0.25">
      <c r="A4057" t="s">
        <v>4201</v>
      </c>
      <c r="B4057" t="s">
        <v>2460</v>
      </c>
      <c r="C4057" t="s">
        <v>2461</v>
      </c>
      <c r="D4057" t="str">
        <f>HYPERLINK("http://service.sap.com/sap/support/notes/1775584","1775584")</f>
        <v>1775584</v>
      </c>
      <c r="E4057">
        <v>1</v>
      </c>
      <c r="F4057" t="s">
        <v>5490</v>
      </c>
    </row>
    <row r="4058" spans="1:6" x14ac:dyDescent="0.25">
      <c r="A4058" t="s">
        <v>4201</v>
      </c>
      <c r="B4058" t="s">
        <v>2460</v>
      </c>
      <c r="C4058" t="s">
        <v>2461</v>
      </c>
      <c r="D4058" t="str">
        <f>HYPERLINK("http://service.sap.com/sap/support/notes/1782154","1782154")</f>
        <v>1782154</v>
      </c>
      <c r="E4058">
        <v>1</v>
      </c>
      <c r="F4058" t="s">
        <v>5491</v>
      </c>
    </row>
    <row r="4059" spans="1:6" x14ac:dyDescent="0.25">
      <c r="A4059" t="s">
        <v>4201</v>
      </c>
      <c r="B4059" t="s">
        <v>2460</v>
      </c>
      <c r="C4059" t="s">
        <v>2461</v>
      </c>
      <c r="D4059" t="str">
        <f>HYPERLINK("http://service.sap.com/sap/support/notes/1786527","1786527")</f>
        <v>1786527</v>
      </c>
      <c r="E4059">
        <v>1</v>
      </c>
      <c r="F4059" t="s">
        <v>5492</v>
      </c>
    </row>
    <row r="4060" spans="1:6" x14ac:dyDescent="0.25">
      <c r="A4060" t="s">
        <v>4201</v>
      </c>
      <c r="B4060" t="s">
        <v>2460</v>
      </c>
      <c r="C4060" t="s">
        <v>2461</v>
      </c>
      <c r="D4060" t="str">
        <f>HYPERLINK("http://service.sap.com/sap/support/notes/1788098","1788098")</f>
        <v>1788098</v>
      </c>
      <c r="E4060">
        <v>3</v>
      </c>
      <c r="F4060" t="s">
        <v>5493</v>
      </c>
    </row>
    <row r="4061" spans="1:6" x14ac:dyDescent="0.25">
      <c r="A4061" t="s">
        <v>4201</v>
      </c>
      <c r="B4061" t="s">
        <v>2460</v>
      </c>
      <c r="C4061" t="s">
        <v>2461</v>
      </c>
      <c r="D4061" t="str">
        <f>HYPERLINK("http://service.sap.com/sap/support/notes/1789193","1789193")</f>
        <v>1789193</v>
      </c>
      <c r="E4061">
        <v>1</v>
      </c>
      <c r="F4061" t="s">
        <v>5494</v>
      </c>
    </row>
    <row r="4062" spans="1:6" x14ac:dyDescent="0.25">
      <c r="A4062" t="s">
        <v>4201</v>
      </c>
      <c r="B4062" t="s">
        <v>2465</v>
      </c>
      <c r="C4062" t="s">
        <v>2466</v>
      </c>
      <c r="D4062" t="str">
        <f>HYPERLINK("http://service.sap.com/sap/support/notes/1452716","1452716")</f>
        <v>1452716</v>
      </c>
      <c r="E4062">
        <v>3</v>
      </c>
      <c r="F4062" t="s">
        <v>5495</v>
      </c>
    </row>
    <row r="4063" spans="1:6" x14ac:dyDescent="0.25">
      <c r="A4063" t="s">
        <v>4201</v>
      </c>
      <c r="B4063" t="s">
        <v>2469</v>
      </c>
      <c r="C4063" t="s">
        <v>2470</v>
      </c>
      <c r="D4063" t="str">
        <f>HYPERLINK("http://service.sap.com/sap/support/notes/1763865","1763865")</f>
        <v>1763865</v>
      </c>
      <c r="E4063">
        <v>4</v>
      </c>
      <c r="F4063" t="s">
        <v>5496</v>
      </c>
    </row>
    <row r="4064" spans="1:6" x14ac:dyDescent="0.25">
      <c r="A4064" t="s">
        <v>4201</v>
      </c>
      <c r="B4064" t="s">
        <v>5497</v>
      </c>
      <c r="C4064" t="s">
        <v>5498</v>
      </c>
      <c r="D4064" t="str">
        <f>HYPERLINK("http://service.sap.com/sap/support/notes/1763099","1763099")</f>
        <v>1763099</v>
      </c>
      <c r="E4064">
        <v>5</v>
      </c>
      <c r="F4064" t="s">
        <v>5499</v>
      </c>
    </row>
    <row r="4065" spans="1:6" x14ac:dyDescent="0.25">
      <c r="A4065" t="s">
        <v>4201</v>
      </c>
      <c r="B4065" t="s">
        <v>5500</v>
      </c>
      <c r="C4065" t="s">
        <v>2233</v>
      </c>
      <c r="D4065" t="str">
        <f>HYPERLINK("http://service.sap.com/sap/support/notes/1793036","1793036")</f>
        <v>1793036</v>
      </c>
      <c r="E4065">
        <v>2</v>
      </c>
      <c r="F4065" t="s">
        <v>5501</v>
      </c>
    </row>
    <row r="4066" spans="1:6" x14ac:dyDescent="0.25">
      <c r="A4066" t="s">
        <v>4201</v>
      </c>
      <c r="B4066" t="s">
        <v>2472</v>
      </c>
      <c r="C4066" t="s">
        <v>2473</v>
      </c>
      <c r="D4066" t="str">
        <f>HYPERLINK("http://service.sap.com/sap/support/notes/1748441","1748441")</f>
        <v>1748441</v>
      </c>
      <c r="E4066">
        <v>4</v>
      </c>
      <c r="F4066" t="s">
        <v>5502</v>
      </c>
    </row>
    <row r="4067" spans="1:6" x14ac:dyDescent="0.25">
      <c r="A4067" t="s">
        <v>4201</v>
      </c>
      <c r="B4067" t="s">
        <v>2476</v>
      </c>
      <c r="C4067" t="s">
        <v>2477</v>
      </c>
      <c r="D4067" t="str">
        <f>HYPERLINK("http://service.sap.com/sap/support/notes/1791525","1791525")</f>
        <v>1791525</v>
      </c>
      <c r="E4067">
        <v>1</v>
      </c>
      <c r="F4067" t="s">
        <v>5503</v>
      </c>
    </row>
    <row r="4068" spans="1:6" x14ac:dyDescent="0.25">
      <c r="A4068" t="s">
        <v>4201</v>
      </c>
      <c r="B4068" t="s">
        <v>2483</v>
      </c>
      <c r="C4068" t="s">
        <v>2277</v>
      </c>
      <c r="D4068" t="str">
        <f>HYPERLINK("http://service.sap.com/sap/support/notes/1756558","1756558")</f>
        <v>1756558</v>
      </c>
      <c r="E4068">
        <v>2</v>
      </c>
      <c r="F4068" t="s">
        <v>5504</v>
      </c>
    </row>
    <row r="4069" spans="1:6" x14ac:dyDescent="0.25">
      <c r="A4069" t="s">
        <v>4201</v>
      </c>
      <c r="B4069" t="s">
        <v>2483</v>
      </c>
      <c r="C4069" t="s">
        <v>2277</v>
      </c>
      <c r="D4069" t="str">
        <f>HYPERLINK("http://service.sap.com/sap/support/notes/1781316","1781316")</f>
        <v>1781316</v>
      </c>
      <c r="E4069">
        <v>1</v>
      </c>
      <c r="F4069" t="s">
        <v>5505</v>
      </c>
    </row>
    <row r="4070" spans="1:6" x14ac:dyDescent="0.25">
      <c r="A4070" t="s">
        <v>4201</v>
      </c>
      <c r="B4070" t="s">
        <v>2493</v>
      </c>
      <c r="C4070" t="s">
        <v>2494</v>
      </c>
      <c r="D4070" t="str">
        <f>HYPERLINK("http://service.sap.com/sap/support/notes/1762074","1762074")</f>
        <v>1762074</v>
      </c>
      <c r="E4070">
        <v>2</v>
      </c>
      <c r="F4070" t="s">
        <v>5506</v>
      </c>
    </row>
    <row r="4071" spans="1:6" x14ac:dyDescent="0.25">
      <c r="A4071" t="s">
        <v>4201</v>
      </c>
      <c r="B4071" t="s">
        <v>2500</v>
      </c>
      <c r="C4071" t="s">
        <v>2501</v>
      </c>
      <c r="D4071" t="str">
        <f>HYPERLINK("http://service.sap.com/sap/support/notes/1612605","1612605")</f>
        <v>1612605</v>
      </c>
      <c r="E4071">
        <v>3</v>
      </c>
      <c r="F4071" t="s">
        <v>5507</v>
      </c>
    </row>
    <row r="4072" spans="1:6" x14ac:dyDescent="0.25">
      <c r="A4072" t="s">
        <v>4201</v>
      </c>
      <c r="B4072" t="s">
        <v>2500</v>
      </c>
      <c r="C4072" t="s">
        <v>2501</v>
      </c>
      <c r="D4072" t="str">
        <f>HYPERLINK("http://service.sap.com/sap/support/notes/1622056","1622056")</f>
        <v>1622056</v>
      </c>
      <c r="E4072">
        <v>2</v>
      </c>
      <c r="F4072" t="s">
        <v>5508</v>
      </c>
    </row>
    <row r="4073" spans="1:6" x14ac:dyDescent="0.25">
      <c r="A4073" t="s">
        <v>4201</v>
      </c>
      <c r="B4073" t="s">
        <v>2500</v>
      </c>
      <c r="C4073" t="s">
        <v>2501</v>
      </c>
      <c r="D4073" t="str">
        <f>HYPERLINK("http://service.sap.com/sap/support/notes/1705070","1705070")</f>
        <v>1705070</v>
      </c>
      <c r="E4073">
        <v>3</v>
      </c>
      <c r="F4073" t="s">
        <v>5509</v>
      </c>
    </row>
    <row r="4074" spans="1:6" x14ac:dyDescent="0.25">
      <c r="A4074" t="s">
        <v>4201</v>
      </c>
      <c r="B4074" t="s">
        <v>2500</v>
      </c>
      <c r="C4074" t="s">
        <v>2501</v>
      </c>
      <c r="D4074" t="str">
        <f>HYPERLINK("http://service.sap.com/sap/support/notes/1719910","1719910")</f>
        <v>1719910</v>
      </c>
      <c r="E4074">
        <v>2</v>
      </c>
      <c r="F4074" t="s">
        <v>5510</v>
      </c>
    </row>
    <row r="4075" spans="1:6" x14ac:dyDescent="0.25">
      <c r="A4075" t="s">
        <v>4201</v>
      </c>
      <c r="B4075" t="s">
        <v>2500</v>
      </c>
      <c r="C4075" t="s">
        <v>2501</v>
      </c>
      <c r="D4075" t="str">
        <f>HYPERLINK("http://service.sap.com/sap/support/notes/1737260","1737260")</f>
        <v>1737260</v>
      </c>
      <c r="E4075">
        <v>6</v>
      </c>
      <c r="F4075" t="s">
        <v>5511</v>
      </c>
    </row>
    <row r="4076" spans="1:6" x14ac:dyDescent="0.25">
      <c r="A4076" t="s">
        <v>4201</v>
      </c>
      <c r="B4076" t="s">
        <v>2500</v>
      </c>
      <c r="C4076" t="s">
        <v>2501</v>
      </c>
      <c r="D4076" t="str">
        <f>HYPERLINK("http://service.sap.com/sap/support/notes/1760607","1760607")</f>
        <v>1760607</v>
      </c>
      <c r="E4076">
        <v>2</v>
      </c>
      <c r="F4076" t="s">
        <v>5512</v>
      </c>
    </row>
    <row r="4077" spans="1:6" x14ac:dyDescent="0.25">
      <c r="A4077" t="s">
        <v>4201</v>
      </c>
      <c r="B4077" t="s">
        <v>2500</v>
      </c>
      <c r="C4077" t="s">
        <v>2501</v>
      </c>
      <c r="D4077" t="str">
        <f>HYPERLINK("http://service.sap.com/sap/support/notes/1767883","1767883")</f>
        <v>1767883</v>
      </c>
      <c r="E4077">
        <v>2</v>
      </c>
      <c r="F4077" t="s">
        <v>5513</v>
      </c>
    </row>
    <row r="4078" spans="1:6" x14ac:dyDescent="0.25">
      <c r="A4078" t="s">
        <v>4201</v>
      </c>
      <c r="B4078" t="s">
        <v>2500</v>
      </c>
      <c r="C4078" t="s">
        <v>2501</v>
      </c>
      <c r="D4078" t="str">
        <f>HYPERLINK("http://service.sap.com/sap/support/notes/1773793","1773793")</f>
        <v>1773793</v>
      </c>
      <c r="E4078">
        <v>4</v>
      </c>
      <c r="F4078" t="s">
        <v>5514</v>
      </c>
    </row>
    <row r="4079" spans="1:6" x14ac:dyDescent="0.25">
      <c r="A4079" t="s">
        <v>4201</v>
      </c>
      <c r="B4079" t="s">
        <v>2500</v>
      </c>
      <c r="C4079" t="s">
        <v>2501</v>
      </c>
      <c r="D4079" t="str">
        <f>HYPERLINK("http://service.sap.com/sap/support/notes/1774696","1774696")</f>
        <v>1774696</v>
      </c>
      <c r="E4079">
        <v>3</v>
      </c>
      <c r="F4079" t="s">
        <v>5515</v>
      </c>
    </row>
    <row r="4080" spans="1:6" x14ac:dyDescent="0.25">
      <c r="A4080" t="s">
        <v>4201</v>
      </c>
      <c r="B4080" t="s">
        <v>2500</v>
      </c>
      <c r="C4080" t="s">
        <v>2501</v>
      </c>
      <c r="D4080" t="str">
        <f>HYPERLINK("http://service.sap.com/sap/support/notes/1775162","1775162")</f>
        <v>1775162</v>
      </c>
      <c r="E4080">
        <v>2</v>
      </c>
      <c r="F4080" t="s">
        <v>5516</v>
      </c>
    </row>
    <row r="4081" spans="1:6" x14ac:dyDescent="0.25">
      <c r="A4081" t="s">
        <v>4201</v>
      </c>
      <c r="B4081" t="s">
        <v>2500</v>
      </c>
      <c r="C4081" t="s">
        <v>2501</v>
      </c>
      <c r="D4081" t="str">
        <f>HYPERLINK("http://service.sap.com/sap/support/notes/1778825","1778825")</f>
        <v>1778825</v>
      </c>
      <c r="E4081">
        <v>8</v>
      </c>
      <c r="F4081" t="s">
        <v>5517</v>
      </c>
    </row>
    <row r="4082" spans="1:6" x14ac:dyDescent="0.25">
      <c r="A4082" t="s">
        <v>4201</v>
      </c>
      <c r="B4082" t="s">
        <v>2500</v>
      </c>
      <c r="C4082" t="s">
        <v>2501</v>
      </c>
      <c r="D4082" t="str">
        <f>HYPERLINK("http://service.sap.com/sap/support/notes/1785919","1785919")</f>
        <v>1785919</v>
      </c>
      <c r="E4082">
        <v>1</v>
      </c>
      <c r="F4082" t="s">
        <v>5518</v>
      </c>
    </row>
    <row r="4083" spans="1:6" x14ac:dyDescent="0.25">
      <c r="A4083" t="s">
        <v>4201</v>
      </c>
      <c r="B4083" t="s">
        <v>2500</v>
      </c>
      <c r="C4083" t="s">
        <v>2501</v>
      </c>
      <c r="D4083" t="str">
        <f>HYPERLINK("http://service.sap.com/sap/support/notes/1790686","1790686")</f>
        <v>1790686</v>
      </c>
      <c r="E4083">
        <v>2</v>
      </c>
      <c r="F4083" t="s">
        <v>5519</v>
      </c>
    </row>
    <row r="4084" spans="1:6" x14ac:dyDescent="0.25">
      <c r="A4084" t="s">
        <v>4201</v>
      </c>
      <c r="B4084" t="s">
        <v>2500</v>
      </c>
      <c r="C4084" t="s">
        <v>2501</v>
      </c>
      <c r="D4084" t="str">
        <f>HYPERLINK("http://service.sap.com/sap/support/notes/1795477","1795477")</f>
        <v>1795477</v>
      </c>
      <c r="E4084">
        <v>1</v>
      </c>
      <c r="F4084" t="s">
        <v>5520</v>
      </c>
    </row>
    <row r="4085" spans="1:6" x14ac:dyDescent="0.25">
      <c r="A4085" t="s">
        <v>4201</v>
      </c>
      <c r="B4085" t="s">
        <v>2511</v>
      </c>
      <c r="C4085" t="s">
        <v>2512</v>
      </c>
      <c r="D4085" t="str">
        <f>HYPERLINK("http://service.sap.com/sap/support/notes/1750594","1750594")</f>
        <v>1750594</v>
      </c>
      <c r="E4085">
        <v>4</v>
      </c>
      <c r="F4085" t="s">
        <v>5521</v>
      </c>
    </row>
    <row r="4086" spans="1:6" x14ac:dyDescent="0.25">
      <c r="A4086" t="s">
        <v>4201</v>
      </c>
      <c r="B4086" t="s">
        <v>2511</v>
      </c>
      <c r="C4086" t="s">
        <v>2512</v>
      </c>
      <c r="D4086" t="str">
        <f>HYPERLINK("http://service.sap.com/sap/support/notes/1776141","1776141")</f>
        <v>1776141</v>
      </c>
      <c r="E4086">
        <v>3</v>
      </c>
      <c r="F4086" t="s">
        <v>5522</v>
      </c>
    </row>
    <row r="4087" spans="1:6" x14ac:dyDescent="0.25">
      <c r="A4087" t="s">
        <v>4201</v>
      </c>
      <c r="B4087" t="s">
        <v>2511</v>
      </c>
      <c r="C4087" t="s">
        <v>2512</v>
      </c>
      <c r="D4087" t="str">
        <f>HYPERLINK("http://service.sap.com/sap/support/notes/1783184","1783184")</f>
        <v>1783184</v>
      </c>
      <c r="E4087">
        <v>1</v>
      </c>
      <c r="F4087" t="s">
        <v>5523</v>
      </c>
    </row>
    <row r="4088" spans="1:6" x14ac:dyDescent="0.25">
      <c r="A4088" t="s">
        <v>4201</v>
      </c>
      <c r="B4088" t="s">
        <v>2515</v>
      </c>
      <c r="C4088" t="s">
        <v>2516</v>
      </c>
      <c r="D4088" t="str">
        <f>HYPERLINK("http://service.sap.com/sap/support/notes/1748013","1748013")</f>
        <v>1748013</v>
      </c>
      <c r="E4088">
        <v>3</v>
      </c>
      <c r="F4088" t="s">
        <v>5524</v>
      </c>
    </row>
    <row r="4089" spans="1:6" x14ac:dyDescent="0.25">
      <c r="A4089" t="s">
        <v>4201</v>
      </c>
      <c r="B4089" t="s">
        <v>2518</v>
      </c>
      <c r="C4089" t="s">
        <v>2519</v>
      </c>
      <c r="D4089" t="str">
        <f>HYPERLINK("http://service.sap.com/sap/support/notes/1683197","1683197")</f>
        <v>1683197</v>
      </c>
      <c r="E4089">
        <v>2</v>
      </c>
      <c r="F4089" t="s">
        <v>5525</v>
      </c>
    </row>
    <row r="4090" spans="1:6" x14ac:dyDescent="0.25">
      <c r="A4090" t="s">
        <v>4201</v>
      </c>
      <c r="B4090" t="s">
        <v>2518</v>
      </c>
      <c r="C4090" t="s">
        <v>2519</v>
      </c>
      <c r="D4090" t="str">
        <f>HYPERLINK("http://service.sap.com/sap/support/notes/1792734","1792734")</f>
        <v>1792734</v>
      </c>
      <c r="E4090">
        <v>1</v>
      </c>
      <c r="F4090" t="s">
        <v>5526</v>
      </c>
    </row>
    <row r="4091" spans="1:6" x14ac:dyDescent="0.25">
      <c r="A4091" t="s">
        <v>4201</v>
      </c>
      <c r="B4091" t="s">
        <v>2524</v>
      </c>
      <c r="C4091" t="s">
        <v>2525</v>
      </c>
      <c r="D4091" t="str">
        <f>HYPERLINK("http://service.sap.com/sap/support/notes/1516605","1516605")</f>
        <v>1516605</v>
      </c>
      <c r="E4091">
        <v>5</v>
      </c>
      <c r="F4091" t="s">
        <v>5527</v>
      </c>
    </row>
    <row r="4092" spans="1:6" x14ac:dyDescent="0.25">
      <c r="A4092" t="s">
        <v>4201</v>
      </c>
      <c r="B4092" t="s">
        <v>2524</v>
      </c>
      <c r="C4092" t="s">
        <v>2525</v>
      </c>
      <c r="D4092" t="str">
        <f>HYPERLINK("http://service.sap.com/sap/support/notes/1690822","1690822")</f>
        <v>1690822</v>
      </c>
      <c r="E4092">
        <v>4</v>
      </c>
      <c r="F4092" t="s">
        <v>5528</v>
      </c>
    </row>
    <row r="4093" spans="1:6" x14ac:dyDescent="0.25">
      <c r="A4093" t="s">
        <v>4201</v>
      </c>
      <c r="B4093" t="s">
        <v>2524</v>
      </c>
      <c r="C4093" t="s">
        <v>2525</v>
      </c>
      <c r="D4093" t="str">
        <f>HYPERLINK("http://service.sap.com/sap/support/notes/1748175","1748175")</f>
        <v>1748175</v>
      </c>
      <c r="E4093">
        <v>7</v>
      </c>
      <c r="F4093" t="s">
        <v>5529</v>
      </c>
    </row>
    <row r="4094" spans="1:6" x14ac:dyDescent="0.25">
      <c r="A4094" t="s">
        <v>4201</v>
      </c>
      <c r="B4094" t="s">
        <v>2524</v>
      </c>
      <c r="C4094" t="s">
        <v>2525</v>
      </c>
      <c r="D4094" t="str">
        <f>HYPERLINK("http://service.sap.com/sap/support/notes/1754782","1754782")</f>
        <v>1754782</v>
      </c>
      <c r="E4094">
        <v>3</v>
      </c>
      <c r="F4094" t="s">
        <v>5530</v>
      </c>
    </row>
    <row r="4095" spans="1:6" x14ac:dyDescent="0.25">
      <c r="A4095" t="s">
        <v>4201</v>
      </c>
      <c r="B4095" t="s">
        <v>2524</v>
      </c>
      <c r="C4095" t="s">
        <v>2525</v>
      </c>
      <c r="D4095" t="str">
        <f>HYPERLINK("http://service.sap.com/sap/support/notes/1755341","1755341")</f>
        <v>1755341</v>
      </c>
      <c r="E4095">
        <v>6</v>
      </c>
      <c r="F4095" t="s">
        <v>5531</v>
      </c>
    </row>
    <row r="4096" spans="1:6" x14ac:dyDescent="0.25">
      <c r="A4096" t="s">
        <v>4201</v>
      </c>
      <c r="B4096" t="s">
        <v>2524</v>
      </c>
      <c r="C4096" t="s">
        <v>2525</v>
      </c>
      <c r="D4096" t="str">
        <f>HYPERLINK("http://service.sap.com/sap/support/notes/1760280","1760280")</f>
        <v>1760280</v>
      </c>
      <c r="E4096">
        <v>4</v>
      </c>
      <c r="F4096" t="s">
        <v>5532</v>
      </c>
    </row>
    <row r="4097" spans="1:6" x14ac:dyDescent="0.25">
      <c r="A4097" t="s">
        <v>4201</v>
      </c>
      <c r="B4097" t="s">
        <v>2524</v>
      </c>
      <c r="C4097" t="s">
        <v>2525</v>
      </c>
      <c r="D4097" t="str">
        <f>HYPERLINK("http://service.sap.com/sap/support/notes/1760898","1760898")</f>
        <v>1760898</v>
      </c>
      <c r="E4097">
        <v>2</v>
      </c>
      <c r="F4097" t="s">
        <v>5533</v>
      </c>
    </row>
    <row r="4098" spans="1:6" x14ac:dyDescent="0.25">
      <c r="A4098" t="s">
        <v>4201</v>
      </c>
      <c r="B4098" t="s">
        <v>2524</v>
      </c>
      <c r="C4098" t="s">
        <v>2525</v>
      </c>
      <c r="D4098" t="str">
        <f>HYPERLINK("http://service.sap.com/sap/support/notes/1763034","1763034")</f>
        <v>1763034</v>
      </c>
      <c r="E4098">
        <v>2</v>
      </c>
      <c r="F4098" t="s">
        <v>5534</v>
      </c>
    </row>
    <row r="4099" spans="1:6" x14ac:dyDescent="0.25">
      <c r="A4099" t="s">
        <v>4201</v>
      </c>
      <c r="B4099" t="s">
        <v>2524</v>
      </c>
      <c r="C4099" t="s">
        <v>2525</v>
      </c>
      <c r="D4099" t="str">
        <f>HYPERLINK("http://service.sap.com/sap/support/notes/1765894","1765894")</f>
        <v>1765894</v>
      </c>
      <c r="E4099">
        <v>5</v>
      </c>
      <c r="F4099" t="s">
        <v>5535</v>
      </c>
    </row>
    <row r="4100" spans="1:6" x14ac:dyDescent="0.25">
      <c r="A4100" t="s">
        <v>4201</v>
      </c>
      <c r="B4100" t="s">
        <v>2524</v>
      </c>
      <c r="C4100" t="s">
        <v>2525</v>
      </c>
      <c r="D4100" t="str">
        <f>HYPERLINK("http://service.sap.com/sap/support/notes/1771088","1771088")</f>
        <v>1771088</v>
      </c>
      <c r="E4100">
        <v>3</v>
      </c>
      <c r="F4100" t="s">
        <v>5536</v>
      </c>
    </row>
    <row r="4101" spans="1:6" x14ac:dyDescent="0.25">
      <c r="A4101" t="s">
        <v>4201</v>
      </c>
      <c r="B4101" t="s">
        <v>2524</v>
      </c>
      <c r="C4101" t="s">
        <v>2525</v>
      </c>
      <c r="D4101" t="str">
        <f>HYPERLINK("http://service.sap.com/sap/support/notes/1779872","1779872")</f>
        <v>1779872</v>
      </c>
      <c r="E4101">
        <v>1</v>
      </c>
      <c r="F4101" t="s">
        <v>5537</v>
      </c>
    </row>
    <row r="4102" spans="1:6" x14ac:dyDescent="0.25">
      <c r="A4102" t="s">
        <v>4201</v>
      </c>
      <c r="B4102" t="s">
        <v>2524</v>
      </c>
      <c r="C4102" t="s">
        <v>2525</v>
      </c>
      <c r="D4102" t="str">
        <f>HYPERLINK("http://service.sap.com/sap/support/notes/1783285","1783285")</f>
        <v>1783285</v>
      </c>
      <c r="E4102">
        <v>3</v>
      </c>
      <c r="F4102" t="s">
        <v>5538</v>
      </c>
    </row>
    <row r="4103" spans="1:6" x14ac:dyDescent="0.25">
      <c r="A4103" t="s">
        <v>4201</v>
      </c>
      <c r="B4103" t="s">
        <v>2545</v>
      </c>
      <c r="C4103" t="s">
        <v>2546</v>
      </c>
      <c r="D4103" t="str">
        <f>HYPERLINK("http://service.sap.com/sap/support/notes/1764700","1764700")</f>
        <v>1764700</v>
      </c>
      <c r="E4103">
        <v>2</v>
      </c>
      <c r="F4103" t="s">
        <v>5539</v>
      </c>
    </row>
    <row r="4104" spans="1:6" x14ac:dyDescent="0.25">
      <c r="A4104" t="s">
        <v>4201</v>
      </c>
      <c r="B4104" t="s">
        <v>2545</v>
      </c>
      <c r="C4104" t="s">
        <v>2546</v>
      </c>
      <c r="D4104" t="str">
        <f>HYPERLINK("http://service.sap.com/sap/support/notes/1769915","1769915")</f>
        <v>1769915</v>
      </c>
      <c r="E4104">
        <v>4</v>
      </c>
      <c r="F4104" t="s">
        <v>5540</v>
      </c>
    </row>
    <row r="4105" spans="1:6" x14ac:dyDescent="0.25">
      <c r="A4105" t="s">
        <v>4201</v>
      </c>
      <c r="B4105" t="s">
        <v>2545</v>
      </c>
      <c r="C4105" t="s">
        <v>2546</v>
      </c>
      <c r="D4105" t="str">
        <f>HYPERLINK("http://service.sap.com/sap/support/notes/1783356","1783356")</f>
        <v>1783356</v>
      </c>
      <c r="E4105">
        <v>1</v>
      </c>
      <c r="F4105" t="s">
        <v>5541</v>
      </c>
    </row>
    <row r="4106" spans="1:6" x14ac:dyDescent="0.25">
      <c r="A4106" t="s">
        <v>4201</v>
      </c>
      <c r="B4106" t="s">
        <v>2553</v>
      </c>
      <c r="C4106" t="s">
        <v>5542</v>
      </c>
      <c r="D4106" t="str">
        <f>HYPERLINK("http://service.sap.com/sap/support/notes/1670667","1670667")</f>
        <v>1670667</v>
      </c>
      <c r="E4106">
        <v>3</v>
      </c>
      <c r="F4106" t="s">
        <v>5543</v>
      </c>
    </row>
    <row r="4107" spans="1:6" x14ac:dyDescent="0.25">
      <c r="A4107" t="s">
        <v>4201</v>
      </c>
      <c r="B4107" t="s">
        <v>2555</v>
      </c>
      <c r="C4107" t="s">
        <v>2556</v>
      </c>
      <c r="D4107" t="str">
        <f>HYPERLINK("http://service.sap.com/sap/support/notes/1777106","1777106")</f>
        <v>1777106</v>
      </c>
      <c r="E4107">
        <v>2</v>
      </c>
      <c r="F4107" t="s">
        <v>5544</v>
      </c>
    </row>
    <row r="4108" spans="1:6" x14ac:dyDescent="0.25">
      <c r="A4108" t="s">
        <v>4201</v>
      </c>
      <c r="B4108" t="s">
        <v>2555</v>
      </c>
      <c r="C4108" t="s">
        <v>2556</v>
      </c>
      <c r="D4108" t="str">
        <f>HYPERLINK("http://service.sap.com/sap/support/notes/1786560","1786560")</f>
        <v>1786560</v>
      </c>
      <c r="E4108">
        <v>4</v>
      </c>
      <c r="F4108" t="s">
        <v>5545</v>
      </c>
    </row>
    <row r="4109" spans="1:6" x14ac:dyDescent="0.25">
      <c r="A4109" t="s">
        <v>4201</v>
      </c>
      <c r="B4109" t="s">
        <v>2555</v>
      </c>
      <c r="C4109" t="s">
        <v>2556</v>
      </c>
      <c r="D4109" t="str">
        <f>HYPERLINK("http://service.sap.com/sap/support/notes/1789959","1789959")</f>
        <v>1789959</v>
      </c>
      <c r="E4109">
        <v>1</v>
      </c>
      <c r="F4109" t="s">
        <v>5546</v>
      </c>
    </row>
    <row r="4110" spans="1:6" x14ac:dyDescent="0.25">
      <c r="A4110" t="s">
        <v>4201</v>
      </c>
      <c r="B4110" t="s">
        <v>5547</v>
      </c>
      <c r="C4110" t="s">
        <v>3286</v>
      </c>
      <c r="D4110" t="str">
        <f>HYPERLINK("http://service.sap.com/sap/support/notes/1758749","1758749")</f>
        <v>1758749</v>
      </c>
      <c r="E4110">
        <v>2</v>
      </c>
      <c r="F4110" t="s">
        <v>5548</v>
      </c>
    </row>
    <row r="4111" spans="1:6" x14ac:dyDescent="0.25">
      <c r="A4111" t="s">
        <v>4201</v>
      </c>
      <c r="B4111" t="s">
        <v>2573</v>
      </c>
      <c r="C4111" t="s">
        <v>2574</v>
      </c>
      <c r="D4111" t="str">
        <f>HYPERLINK("http://service.sap.com/sap/support/notes/1640142","1640142")</f>
        <v>1640142</v>
      </c>
      <c r="E4111">
        <v>1</v>
      </c>
      <c r="F4111" t="s">
        <v>5549</v>
      </c>
    </row>
    <row r="4112" spans="1:6" x14ac:dyDescent="0.25">
      <c r="A4112" t="s">
        <v>4201</v>
      </c>
      <c r="B4112" t="s">
        <v>2573</v>
      </c>
      <c r="C4112" t="s">
        <v>2574</v>
      </c>
      <c r="D4112" t="str">
        <f>HYPERLINK("http://service.sap.com/sap/support/notes/1716700","1716700")</f>
        <v>1716700</v>
      </c>
      <c r="E4112">
        <v>3</v>
      </c>
      <c r="F4112" t="s">
        <v>5550</v>
      </c>
    </row>
    <row r="4113" spans="1:6" x14ac:dyDescent="0.25">
      <c r="A4113" t="s">
        <v>4201</v>
      </c>
      <c r="B4113" t="s">
        <v>2573</v>
      </c>
      <c r="C4113" t="s">
        <v>2574</v>
      </c>
      <c r="D4113" t="str">
        <f>HYPERLINK("http://service.sap.com/sap/support/notes/1746672","1746672")</f>
        <v>1746672</v>
      </c>
      <c r="E4113">
        <v>2</v>
      </c>
      <c r="F4113" t="s">
        <v>5551</v>
      </c>
    </row>
    <row r="4114" spans="1:6" x14ac:dyDescent="0.25">
      <c r="A4114" t="s">
        <v>4201</v>
      </c>
      <c r="B4114" t="s">
        <v>2573</v>
      </c>
      <c r="C4114" t="s">
        <v>2574</v>
      </c>
      <c r="D4114" t="str">
        <f>HYPERLINK("http://service.sap.com/sap/support/notes/1779990","1779990")</f>
        <v>1779990</v>
      </c>
      <c r="E4114">
        <v>1</v>
      </c>
      <c r="F4114" t="s">
        <v>5552</v>
      </c>
    </row>
    <row r="4115" spans="1:6" x14ac:dyDescent="0.25">
      <c r="A4115" t="s">
        <v>4201</v>
      </c>
      <c r="B4115" t="s">
        <v>2573</v>
      </c>
      <c r="C4115" t="s">
        <v>2574</v>
      </c>
      <c r="D4115" t="str">
        <f>HYPERLINK("http://service.sap.com/sap/support/notes/1783175","1783175")</f>
        <v>1783175</v>
      </c>
      <c r="E4115">
        <v>1</v>
      </c>
      <c r="F4115" t="s">
        <v>5553</v>
      </c>
    </row>
    <row r="4116" spans="1:6" x14ac:dyDescent="0.25">
      <c r="A4116" t="s">
        <v>4201</v>
      </c>
      <c r="B4116" t="s">
        <v>2576</v>
      </c>
      <c r="C4116" t="s">
        <v>2577</v>
      </c>
    </row>
    <row r="4117" spans="1:6" x14ac:dyDescent="0.25">
      <c r="A4117" t="s">
        <v>4201</v>
      </c>
      <c r="B4117" t="s">
        <v>2578</v>
      </c>
      <c r="C4117" t="s">
        <v>2579</v>
      </c>
      <c r="D4117" t="str">
        <f>HYPERLINK("http://service.sap.com/sap/support/notes/1387913","1387913")</f>
        <v>1387913</v>
      </c>
      <c r="E4117">
        <v>7</v>
      </c>
      <c r="F4117" t="s">
        <v>5554</v>
      </c>
    </row>
    <row r="4118" spans="1:6" x14ac:dyDescent="0.25">
      <c r="A4118" t="s">
        <v>4201</v>
      </c>
      <c r="B4118" t="s">
        <v>2578</v>
      </c>
      <c r="C4118" t="s">
        <v>2579</v>
      </c>
      <c r="D4118" t="str">
        <f>HYPERLINK("http://service.sap.com/sap/support/notes/1740917","1740917")</f>
        <v>1740917</v>
      </c>
      <c r="E4118">
        <v>3</v>
      </c>
      <c r="F4118" t="s">
        <v>5555</v>
      </c>
    </row>
    <row r="4119" spans="1:6" x14ac:dyDescent="0.25">
      <c r="A4119" t="s">
        <v>4201</v>
      </c>
      <c r="B4119" t="s">
        <v>5556</v>
      </c>
      <c r="C4119" t="s">
        <v>5557</v>
      </c>
      <c r="D4119" t="str">
        <f>HYPERLINK("http://service.sap.com/sap/support/notes/1766816","1766816")</f>
        <v>1766816</v>
      </c>
      <c r="E4119">
        <v>2</v>
      </c>
      <c r="F4119" t="s">
        <v>5558</v>
      </c>
    </row>
    <row r="4120" spans="1:6" x14ac:dyDescent="0.25">
      <c r="A4120" t="s">
        <v>4201</v>
      </c>
      <c r="B4120" t="s">
        <v>2583</v>
      </c>
      <c r="C4120" t="s">
        <v>2584</v>
      </c>
      <c r="D4120" t="str">
        <f>HYPERLINK("http://service.sap.com/sap/support/notes/1740485","1740485")</f>
        <v>1740485</v>
      </c>
      <c r="E4120">
        <v>3</v>
      </c>
      <c r="F4120" t="s">
        <v>5559</v>
      </c>
    </row>
    <row r="4121" spans="1:6" x14ac:dyDescent="0.25">
      <c r="A4121" t="s">
        <v>4201</v>
      </c>
      <c r="B4121" t="s">
        <v>2583</v>
      </c>
      <c r="C4121" t="s">
        <v>2584</v>
      </c>
      <c r="D4121" t="str">
        <f>HYPERLINK("http://service.sap.com/sap/support/notes/1767381","1767381")</f>
        <v>1767381</v>
      </c>
      <c r="E4121">
        <v>2</v>
      </c>
      <c r="F4121" t="s">
        <v>5560</v>
      </c>
    </row>
    <row r="4122" spans="1:6" x14ac:dyDescent="0.25">
      <c r="A4122" t="s">
        <v>4201</v>
      </c>
      <c r="B4122" t="s">
        <v>2594</v>
      </c>
      <c r="C4122" t="s">
        <v>1743</v>
      </c>
      <c r="D4122" t="str">
        <f>HYPERLINK("http://service.sap.com/sap/support/notes/1650793","1650793")</f>
        <v>1650793</v>
      </c>
      <c r="E4122">
        <v>8</v>
      </c>
      <c r="F4122" t="s">
        <v>5561</v>
      </c>
    </row>
    <row r="4123" spans="1:6" x14ac:dyDescent="0.25">
      <c r="A4123" t="s">
        <v>4201</v>
      </c>
      <c r="B4123" t="s">
        <v>2594</v>
      </c>
      <c r="C4123" t="s">
        <v>1743</v>
      </c>
      <c r="D4123" t="str">
        <f>HYPERLINK("http://service.sap.com/sap/support/notes/1722053","1722053")</f>
        <v>1722053</v>
      </c>
      <c r="E4123">
        <v>2</v>
      </c>
      <c r="F4123" t="s">
        <v>5562</v>
      </c>
    </row>
    <row r="4124" spans="1:6" x14ac:dyDescent="0.25">
      <c r="A4124" t="s">
        <v>4201</v>
      </c>
      <c r="B4124" t="s">
        <v>2594</v>
      </c>
      <c r="C4124" t="s">
        <v>1743</v>
      </c>
      <c r="D4124" t="str">
        <f>HYPERLINK("http://service.sap.com/sap/support/notes/1762006","1762006")</f>
        <v>1762006</v>
      </c>
      <c r="E4124">
        <v>2</v>
      </c>
      <c r="F4124" t="s">
        <v>5563</v>
      </c>
    </row>
    <row r="4125" spans="1:6" x14ac:dyDescent="0.25">
      <c r="A4125" t="s">
        <v>4201</v>
      </c>
      <c r="B4125" t="s">
        <v>2594</v>
      </c>
      <c r="C4125" t="s">
        <v>1743</v>
      </c>
      <c r="D4125" t="str">
        <f>HYPERLINK("http://service.sap.com/sap/support/notes/1766698","1766698")</f>
        <v>1766698</v>
      </c>
      <c r="E4125">
        <v>1</v>
      </c>
      <c r="F4125" t="s">
        <v>5564</v>
      </c>
    </row>
    <row r="4126" spans="1:6" x14ac:dyDescent="0.25">
      <c r="A4126" t="s">
        <v>4201</v>
      </c>
      <c r="B4126" t="s">
        <v>2594</v>
      </c>
      <c r="C4126" t="s">
        <v>1743</v>
      </c>
      <c r="D4126" t="str">
        <f>HYPERLINK("http://service.sap.com/sap/support/notes/1768975","1768975")</f>
        <v>1768975</v>
      </c>
      <c r="E4126">
        <v>2</v>
      </c>
      <c r="F4126" t="s">
        <v>5565</v>
      </c>
    </row>
    <row r="4127" spans="1:6" x14ac:dyDescent="0.25">
      <c r="A4127" t="s">
        <v>4201</v>
      </c>
      <c r="B4127" t="s">
        <v>2594</v>
      </c>
      <c r="C4127" t="s">
        <v>1743</v>
      </c>
      <c r="D4127" t="str">
        <f>HYPERLINK("http://service.sap.com/sap/support/notes/1769519","1769519")</f>
        <v>1769519</v>
      </c>
      <c r="E4127">
        <v>1</v>
      </c>
      <c r="F4127" t="s">
        <v>5566</v>
      </c>
    </row>
    <row r="4128" spans="1:6" x14ac:dyDescent="0.25">
      <c r="A4128" t="s">
        <v>4201</v>
      </c>
      <c r="B4128" t="s">
        <v>2594</v>
      </c>
      <c r="C4128" t="s">
        <v>1743</v>
      </c>
      <c r="D4128" t="str">
        <f>HYPERLINK("http://service.sap.com/sap/support/notes/1794228","1794228")</f>
        <v>1794228</v>
      </c>
      <c r="E4128">
        <v>1</v>
      </c>
      <c r="F4128" t="s">
        <v>5567</v>
      </c>
    </row>
    <row r="4129" spans="1:6" x14ac:dyDescent="0.25">
      <c r="A4129" t="s">
        <v>4201</v>
      </c>
      <c r="B4129" t="s">
        <v>2601</v>
      </c>
      <c r="C4129" t="s">
        <v>151</v>
      </c>
      <c r="D4129" t="str">
        <f>HYPERLINK("http://service.sap.com/sap/support/notes/1779814","1779814")</f>
        <v>1779814</v>
      </c>
      <c r="E4129">
        <v>5</v>
      </c>
      <c r="F4129" t="s">
        <v>5568</v>
      </c>
    </row>
    <row r="4130" spans="1:6" x14ac:dyDescent="0.25">
      <c r="A4130" t="s">
        <v>4201</v>
      </c>
      <c r="B4130" t="s">
        <v>5569</v>
      </c>
      <c r="C4130" t="s">
        <v>5570</v>
      </c>
      <c r="D4130" t="str">
        <f>HYPERLINK("http://service.sap.com/sap/support/notes/1765831","1765831")</f>
        <v>1765831</v>
      </c>
      <c r="E4130">
        <v>2</v>
      </c>
      <c r="F4130" t="s">
        <v>5571</v>
      </c>
    </row>
    <row r="4131" spans="1:6" x14ac:dyDescent="0.25">
      <c r="A4131" t="s">
        <v>4201</v>
      </c>
      <c r="B4131" t="s">
        <v>5572</v>
      </c>
      <c r="C4131" t="s">
        <v>5573</v>
      </c>
    </row>
    <row r="4132" spans="1:6" x14ac:dyDescent="0.25">
      <c r="A4132" t="s">
        <v>4201</v>
      </c>
      <c r="B4132" t="s">
        <v>5574</v>
      </c>
      <c r="C4132" t="s">
        <v>5575</v>
      </c>
    </row>
    <row r="4133" spans="1:6" x14ac:dyDescent="0.25">
      <c r="A4133" t="s">
        <v>4201</v>
      </c>
      <c r="B4133" t="s">
        <v>5576</v>
      </c>
      <c r="C4133" t="s">
        <v>5577</v>
      </c>
      <c r="D4133" t="str">
        <f>HYPERLINK("http://service.sap.com/sap/support/notes/1787067","1787067")</f>
        <v>1787067</v>
      </c>
      <c r="E4133">
        <v>1</v>
      </c>
      <c r="F4133" t="s">
        <v>5578</v>
      </c>
    </row>
    <row r="4134" spans="1:6" x14ac:dyDescent="0.25">
      <c r="A4134" t="s">
        <v>4201</v>
      </c>
      <c r="B4134" t="s">
        <v>5579</v>
      </c>
      <c r="C4134" t="s">
        <v>5580</v>
      </c>
    </row>
    <row r="4135" spans="1:6" x14ac:dyDescent="0.25">
      <c r="A4135" t="s">
        <v>4201</v>
      </c>
      <c r="B4135" t="s">
        <v>5581</v>
      </c>
      <c r="C4135" t="s">
        <v>5582</v>
      </c>
    </row>
    <row r="4136" spans="1:6" x14ac:dyDescent="0.25">
      <c r="A4136" t="s">
        <v>4201</v>
      </c>
      <c r="B4136" t="s">
        <v>5583</v>
      </c>
      <c r="C4136" t="s">
        <v>5584</v>
      </c>
    </row>
    <row r="4137" spans="1:6" x14ac:dyDescent="0.25">
      <c r="A4137" t="s">
        <v>4201</v>
      </c>
      <c r="B4137" t="s">
        <v>5585</v>
      </c>
      <c r="C4137" t="s">
        <v>5586</v>
      </c>
      <c r="D4137" t="str">
        <f>HYPERLINK("http://service.sap.com/sap/support/notes/1796972","1796972")</f>
        <v>1796972</v>
      </c>
      <c r="E4137">
        <v>2</v>
      </c>
      <c r="F4137" t="s">
        <v>5587</v>
      </c>
    </row>
    <row r="4138" spans="1:6" x14ac:dyDescent="0.25">
      <c r="A4138" t="s">
        <v>4201</v>
      </c>
      <c r="B4138" t="s">
        <v>2603</v>
      </c>
      <c r="C4138" t="s">
        <v>233</v>
      </c>
    </row>
    <row r="4139" spans="1:6" x14ac:dyDescent="0.25">
      <c r="A4139" t="s">
        <v>4201</v>
      </c>
      <c r="B4139" t="s">
        <v>2607</v>
      </c>
      <c r="C4139" t="s">
        <v>5588</v>
      </c>
    </row>
    <row r="4140" spans="1:6" x14ac:dyDescent="0.25">
      <c r="A4140" t="s">
        <v>4201</v>
      </c>
      <c r="B4140" t="s">
        <v>2610</v>
      </c>
      <c r="C4140" t="s">
        <v>2611</v>
      </c>
      <c r="D4140" t="str">
        <f>HYPERLINK("http://service.sap.com/sap/support/notes/1771154","1771154")</f>
        <v>1771154</v>
      </c>
      <c r="E4140">
        <v>2</v>
      </c>
      <c r="F4140" t="s">
        <v>5589</v>
      </c>
    </row>
    <row r="4141" spans="1:6" x14ac:dyDescent="0.25">
      <c r="A4141" t="s">
        <v>4201</v>
      </c>
      <c r="B4141" t="s">
        <v>5590</v>
      </c>
      <c r="C4141" t="s">
        <v>2659</v>
      </c>
      <c r="D4141" t="str">
        <f>HYPERLINK("http://service.sap.com/sap/support/notes/1770664","1770664")</f>
        <v>1770664</v>
      </c>
      <c r="E4141">
        <v>2</v>
      </c>
      <c r="F4141" t="s">
        <v>5591</v>
      </c>
    </row>
    <row r="4142" spans="1:6" x14ac:dyDescent="0.25">
      <c r="A4142" t="s">
        <v>4201</v>
      </c>
      <c r="B4142" t="s">
        <v>5590</v>
      </c>
      <c r="C4142" t="s">
        <v>2659</v>
      </c>
      <c r="D4142" t="str">
        <f>HYPERLINK("http://service.sap.com/sap/support/notes/1779114","1779114")</f>
        <v>1779114</v>
      </c>
      <c r="E4142">
        <v>2</v>
      </c>
      <c r="F4142" t="s">
        <v>5592</v>
      </c>
    </row>
    <row r="4143" spans="1:6" x14ac:dyDescent="0.25">
      <c r="A4143" t="s">
        <v>4201</v>
      </c>
      <c r="B4143" t="s">
        <v>5590</v>
      </c>
      <c r="C4143" t="s">
        <v>2659</v>
      </c>
      <c r="D4143" t="str">
        <f>HYPERLINK("http://service.sap.com/sap/support/notes/1785887","1785887")</f>
        <v>1785887</v>
      </c>
      <c r="E4143">
        <v>1</v>
      </c>
      <c r="F4143" t="s">
        <v>5593</v>
      </c>
    </row>
    <row r="4144" spans="1:6" x14ac:dyDescent="0.25">
      <c r="A4144" t="s">
        <v>4201</v>
      </c>
      <c r="B4144" t="s">
        <v>5590</v>
      </c>
      <c r="C4144" t="s">
        <v>2659</v>
      </c>
      <c r="D4144" t="str">
        <f>HYPERLINK("http://service.sap.com/sap/support/notes/1791460","1791460")</f>
        <v>1791460</v>
      </c>
      <c r="E4144">
        <v>1</v>
      </c>
      <c r="F4144" t="s">
        <v>5594</v>
      </c>
    </row>
    <row r="4145" spans="1:6" x14ac:dyDescent="0.25">
      <c r="A4145" t="s">
        <v>4201</v>
      </c>
      <c r="B4145" t="s">
        <v>2622</v>
      </c>
      <c r="C4145" t="s">
        <v>2623</v>
      </c>
    </row>
    <row r="4146" spans="1:6" x14ac:dyDescent="0.25">
      <c r="A4146" t="s">
        <v>4201</v>
      </c>
      <c r="B4146" t="s">
        <v>5595</v>
      </c>
      <c r="C4146" t="s">
        <v>5596</v>
      </c>
      <c r="D4146" t="str">
        <f>HYPERLINK("http://service.sap.com/sap/support/notes/1779637","1779637")</f>
        <v>1779637</v>
      </c>
      <c r="E4146">
        <v>2</v>
      </c>
      <c r="F4146" t="s">
        <v>5597</v>
      </c>
    </row>
    <row r="4147" spans="1:6" x14ac:dyDescent="0.25">
      <c r="A4147" t="s">
        <v>4201</v>
      </c>
      <c r="B4147" t="s">
        <v>2634</v>
      </c>
      <c r="C4147" t="s">
        <v>5598</v>
      </c>
      <c r="D4147" t="str">
        <f>HYPERLINK("http://service.sap.com/sap/support/notes/1787915","1787915")</f>
        <v>1787915</v>
      </c>
      <c r="E4147">
        <v>1</v>
      </c>
      <c r="F4147" t="s">
        <v>5599</v>
      </c>
    </row>
    <row r="4148" spans="1:6" x14ac:dyDescent="0.25">
      <c r="A4148" t="s">
        <v>4201</v>
      </c>
      <c r="B4148" t="s">
        <v>2636</v>
      </c>
      <c r="C4148" t="s">
        <v>2637</v>
      </c>
      <c r="D4148" t="str">
        <f>HYPERLINK("http://service.sap.com/sap/support/notes/1695211","1695211")</f>
        <v>1695211</v>
      </c>
      <c r="E4148">
        <v>2</v>
      </c>
      <c r="F4148" t="s">
        <v>5600</v>
      </c>
    </row>
    <row r="4149" spans="1:6" x14ac:dyDescent="0.25">
      <c r="A4149" t="s">
        <v>4201</v>
      </c>
      <c r="B4149" t="s">
        <v>2636</v>
      </c>
      <c r="C4149" t="s">
        <v>2637</v>
      </c>
      <c r="D4149" t="str">
        <f>HYPERLINK("http://service.sap.com/sap/support/notes/1710958","1710958")</f>
        <v>1710958</v>
      </c>
      <c r="E4149">
        <v>3</v>
      </c>
      <c r="F4149" t="s">
        <v>5601</v>
      </c>
    </row>
    <row r="4150" spans="1:6" x14ac:dyDescent="0.25">
      <c r="A4150" t="s">
        <v>4201</v>
      </c>
      <c r="B4150" t="s">
        <v>2636</v>
      </c>
      <c r="C4150" t="s">
        <v>2637</v>
      </c>
      <c r="D4150" t="str">
        <f>HYPERLINK("http://service.sap.com/sap/support/notes/1750107","1750107")</f>
        <v>1750107</v>
      </c>
      <c r="E4150">
        <v>2</v>
      </c>
      <c r="F4150" t="s">
        <v>5602</v>
      </c>
    </row>
    <row r="4151" spans="1:6" x14ac:dyDescent="0.25">
      <c r="A4151" t="s">
        <v>4201</v>
      </c>
      <c r="B4151" t="s">
        <v>2636</v>
      </c>
      <c r="C4151" t="s">
        <v>2637</v>
      </c>
      <c r="D4151" t="str">
        <f>HYPERLINK("http://service.sap.com/sap/support/notes/1757087","1757087")</f>
        <v>1757087</v>
      </c>
      <c r="E4151">
        <v>3</v>
      </c>
      <c r="F4151" t="s">
        <v>2641</v>
      </c>
    </row>
    <row r="4152" spans="1:6" x14ac:dyDescent="0.25">
      <c r="A4152" t="s">
        <v>4201</v>
      </c>
      <c r="B4152" t="s">
        <v>2636</v>
      </c>
      <c r="C4152" t="s">
        <v>2637</v>
      </c>
      <c r="D4152" t="str">
        <f>HYPERLINK("http://service.sap.com/sap/support/notes/1766528","1766528")</f>
        <v>1766528</v>
      </c>
      <c r="E4152">
        <v>2</v>
      </c>
      <c r="F4152" t="s">
        <v>5603</v>
      </c>
    </row>
    <row r="4153" spans="1:6" x14ac:dyDescent="0.25">
      <c r="A4153" t="s">
        <v>4201</v>
      </c>
      <c r="B4153" t="s">
        <v>2636</v>
      </c>
      <c r="C4153" t="s">
        <v>2637</v>
      </c>
      <c r="D4153" t="str">
        <f>HYPERLINK("http://service.sap.com/sap/support/notes/1767838","1767838")</f>
        <v>1767838</v>
      </c>
      <c r="E4153">
        <v>6</v>
      </c>
      <c r="F4153" t="s">
        <v>5604</v>
      </c>
    </row>
    <row r="4154" spans="1:6" x14ac:dyDescent="0.25">
      <c r="A4154" t="s">
        <v>4201</v>
      </c>
      <c r="B4154" t="s">
        <v>2636</v>
      </c>
      <c r="C4154" t="s">
        <v>2637</v>
      </c>
      <c r="D4154" t="str">
        <f>HYPERLINK("http://service.sap.com/sap/support/notes/1768168","1768168")</f>
        <v>1768168</v>
      </c>
      <c r="E4154">
        <v>2</v>
      </c>
      <c r="F4154" t="s">
        <v>5605</v>
      </c>
    </row>
    <row r="4155" spans="1:6" x14ac:dyDescent="0.25">
      <c r="A4155" t="s">
        <v>4201</v>
      </c>
      <c r="B4155" t="s">
        <v>2636</v>
      </c>
      <c r="C4155" t="s">
        <v>2637</v>
      </c>
      <c r="D4155" t="str">
        <f>HYPERLINK("http://service.sap.com/sap/support/notes/1768617","1768617")</f>
        <v>1768617</v>
      </c>
      <c r="E4155">
        <v>5</v>
      </c>
      <c r="F4155" t="s">
        <v>5606</v>
      </c>
    </row>
    <row r="4156" spans="1:6" x14ac:dyDescent="0.25">
      <c r="A4156" t="s">
        <v>4201</v>
      </c>
      <c r="B4156" t="s">
        <v>2636</v>
      </c>
      <c r="C4156" t="s">
        <v>2637</v>
      </c>
      <c r="D4156" t="str">
        <f>HYPERLINK("http://service.sap.com/sap/support/notes/1770551","1770551")</f>
        <v>1770551</v>
      </c>
      <c r="E4156">
        <v>3</v>
      </c>
      <c r="F4156" t="s">
        <v>5607</v>
      </c>
    </row>
    <row r="4157" spans="1:6" x14ac:dyDescent="0.25">
      <c r="A4157" t="s">
        <v>4201</v>
      </c>
      <c r="B4157" t="s">
        <v>2636</v>
      </c>
      <c r="C4157" t="s">
        <v>2637</v>
      </c>
      <c r="D4157" t="str">
        <f>HYPERLINK("http://service.sap.com/sap/support/notes/1777229","1777229")</f>
        <v>1777229</v>
      </c>
      <c r="E4157">
        <v>1</v>
      </c>
      <c r="F4157" t="s">
        <v>5608</v>
      </c>
    </row>
    <row r="4158" spans="1:6" x14ac:dyDescent="0.25">
      <c r="A4158" t="s">
        <v>4201</v>
      </c>
      <c r="B4158" t="s">
        <v>2636</v>
      </c>
      <c r="C4158" t="s">
        <v>2637</v>
      </c>
      <c r="D4158" t="str">
        <f>HYPERLINK("http://service.sap.com/sap/support/notes/1779494","1779494")</f>
        <v>1779494</v>
      </c>
      <c r="E4158">
        <v>2</v>
      </c>
      <c r="F4158" t="s">
        <v>5609</v>
      </c>
    </row>
    <row r="4159" spans="1:6" x14ac:dyDescent="0.25">
      <c r="A4159" t="s">
        <v>4201</v>
      </c>
      <c r="B4159" t="s">
        <v>2636</v>
      </c>
      <c r="C4159" t="s">
        <v>2637</v>
      </c>
      <c r="D4159" t="str">
        <f>HYPERLINK("http://service.sap.com/sap/support/notes/1789684","1789684")</f>
        <v>1789684</v>
      </c>
      <c r="E4159">
        <v>1</v>
      </c>
      <c r="F4159" t="s">
        <v>5610</v>
      </c>
    </row>
    <row r="4160" spans="1:6" x14ac:dyDescent="0.25">
      <c r="A4160" t="s">
        <v>4201</v>
      </c>
      <c r="B4160" t="s">
        <v>2643</v>
      </c>
      <c r="C4160" t="s">
        <v>2644</v>
      </c>
      <c r="D4160" t="str">
        <f>HYPERLINK("http://service.sap.com/sap/support/notes/1740413","1740413")</f>
        <v>1740413</v>
      </c>
      <c r="E4160">
        <v>2</v>
      </c>
      <c r="F4160" t="s">
        <v>5611</v>
      </c>
    </row>
    <row r="4161" spans="1:6" x14ac:dyDescent="0.25">
      <c r="A4161" t="s">
        <v>4201</v>
      </c>
      <c r="B4161" t="s">
        <v>2643</v>
      </c>
      <c r="C4161" t="s">
        <v>2644</v>
      </c>
      <c r="D4161" t="str">
        <f>HYPERLINK("http://service.sap.com/sap/support/notes/1777960","1777960")</f>
        <v>1777960</v>
      </c>
      <c r="E4161">
        <v>1</v>
      </c>
      <c r="F4161" t="s">
        <v>5612</v>
      </c>
    </row>
    <row r="4162" spans="1:6" x14ac:dyDescent="0.25">
      <c r="A4162" t="s">
        <v>4201</v>
      </c>
      <c r="B4162" t="s">
        <v>5613</v>
      </c>
      <c r="C4162" t="s">
        <v>5614</v>
      </c>
      <c r="D4162" t="str">
        <f>HYPERLINK("http://service.sap.com/sap/support/notes/1793472","1793472")</f>
        <v>1793472</v>
      </c>
      <c r="E4162">
        <v>1</v>
      </c>
      <c r="F4162" t="s">
        <v>5615</v>
      </c>
    </row>
    <row r="4163" spans="1:6" x14ac:dyDescent="0.25">
      <c r="A4163" t="s">
        <v>4201</v>
      </c>
      <c r="B4163" t="s">
        <v>2647</v>
      </c>
      <c r="C4163" t="s">
        <v>2648</v>
      </c>
      <c r="D4163" t="str">
        <f>HYPERLINK("http://service.sap.com/sap/support/notes/1786568","1786568")</f>
        <v>1786568</v>
      </c>
      <c r="E4163">
        <v>1</v>
      </c>
      <c r="F4163" t="s">
        <v>5616</v>
      </c>
    </row>
    <row r="4164" spans="1:6" x14ac:dyDescent="0.25">
      <c r="A4164" t="s">
        <v>4201</v>
      </c>
      <c r="B4164" t="s">
        <v>2647</v>
      </c>
      <c r="C4164" t="s">
        <v>2648</v>
      </c>
      <c r="D4164" t="str">
        <f>HYPERLINK("http://service.sap.com/sap/support/notes/1795536","1795536")</f>
        <v>1795536</v>
      </c>
      <c r="E4164">
        <v>1</v>
      </c>
      <c r="F4164" t="s">
        <v>5617</v>
      </c>
    </row>
    <row r="4165" spans="1:6" x14ac:dyDescent="0.25">
      <c r="A4165" t="s">
        <v>4201</v>
      </c>
      <c r="B4165" t="s">
        <v>2669</v>
      </c>
      <c r="C4165" t="s">
        <v>2670</v>
      </c>
      <c r="D4165" t="str">
        <f>HYPERLINK("http://service.sap.com/sap/support/notes/1775179","1775179")</f>
        <v>1775179</v>
      </c>
      <c r="E4165">
        <v>2</v>
      </c>
      <c r="F4165" t="s">
        <v>5618</v>
      </c>
    </row>
    <row r="4166" spans="1:6" x14ac:dyDescent="0.25">
      <c r="A4166" t="s">
        <v>4201</v>
      </c>
      <c r="B4166" t="s">
        <v>2680</v>
      </c>
      <c r="C4166" t="s">
        <v>2681</v>
      </c>
      <c r="D4166" t="str">
        <f>HYPERLINK("http://service.sap.com/sap/support/notes/1790771","1790771")</f>
        <v>1790771</v>
      </c>
      <c r="E4166">
        <v>2</v>
      </c>
      <c r="F4166" t="s">
        <v>5619</v>
      </c>
    </row>
    <row r="4167" spans="1:6" x14ac:dyDescent="0.25">
      <c r="A4167" t="s">
        <v>4201</v>
      </c>
      <c r="B4167" t="s">
        <v>2684</v>
      </c>
      <c r="C4167" t="s">
        <v>2685</v>
      </c>
      <c r="D4167" t="str">
        <f>HYPERLINK("http://service.sap.com/sap/support/notes/1729520","1729520")</f>
        <v>1729520</v>
      </c>
      <c r="E4167">
        <v>5</v>
      </c>
      <c r="F4167" t="s">
        <v>5620</v>
      </c>
    </row>
    <row r="4168" spans="1:6" x14ac:dyDescent="0.25">
      <c r="A4168" t="s">
        <v>4201</v>
      </c>
      <c r="B4168" t="s">
        <v>2684</v>
      </c>
      <c r="C4168" t="s">
        <v>2685</v>
      </c>
      <c r="D4168" t="str">
        <f>HYPERLINK("http://service.sap.com/sap/support/notes/1750378","1750378")</f>
        <v>1750378</v>
      </c>
      <c r="E4168">
        <v>1</v>
      </c>
      <c r="F4168" t="s">
        <v>2702</v>
      </c>
    </row>
    <row r="4169" spans="1:6" x14ac:dyDescent="0.25">
      <c r="A4169" t="s">
        <v>4201</v>
      </c>
      <c r="B4169" t="s">
        <v>2684</v>
      </c>
      <c r="C4169" t="s">
        <v>2685</v>
      </c>
      <c r="D4169" t="str">
        <f>HYPERLINK("http://service.sap.com/sap/support/notes/1756364","1756364")</f>
        <v>1756364</v>
      </c>
      <c r="E4169">
        <v>3</v>
      </c>
      <c r="F4169" t="s">
        <v>5621</v>
      </c>
    </row>
    <row r="4170" spans="1:6" x14ac:dyDescent="0.25">
      <c r="A4170" t="s">
        <v>4201</v>
      </c>
      <c r="B4170" t="s">
        <v>2684</v>
      </c>
      <c r="C4170" t="s">
        <v>2685</v>
      </c>
      <c r="D4170" t="str">
        <f>HYPERLINK("http://service.sap.com/sap/support/notes/1770373","1770373")</f>
        <v>1770373</v>
      </c>
      <c r="E4170">
        <v>3</v>
      </c>
      <c r="F4170" t="s">
        <v>5622</v>
      </c>
    </row>
    <row r="4171" spans="1:6" x14ac:dyDescent="0.25">
      <c r="A4171" t="s">
        <v>4201</v>
      </c>
      <c r="B4171" t="s">
        <v>2684</v>
      </c>
      <c r="C4171" t="s">
        <v>2685</v>
      </c>
      <c r="D4171" t="str">
        <f>HYPERLINK("http://service.sap.com/sap/support/notes/1771336","1771336")</f>
        <v>1771336</v>
      </c>
      <c r="E4171">
        <v>2</v>
      </c>
      <c r="F4171" t="s">
        <v>5623</v>
      </c>
    </row>
    <row r="4172" spans="1:6" x14ac:dyDescent="0.25">
      <c r="A4172" t="s">
        <v>4201</v>
      </c>
      <c r="B4172" t="s">
        <v>2684</v>
      </c>
      <c r="C4172" t="s">
        <v>2685</v>
      </c>
      <c r="D4172" t="str">
        <f>HYPERLINK("http://service.sap.com/sap/support/notes/1772117","1772117")</f>
        <v>1772117</v>
      </c>
      <c r="E4172">
        <v>1</v>
      </c>
      <c r="F4172" t="s">
        <v>5624</v>
      </c>
    </row>
    <row r="4173" spans="1:6" x14ac:dyDescent="0.25">
      <c r="A4173" t="s">
        <v>4201</v>
      </c>
      <c r="B4173" t="s">
        <v>2684</v>
      </c>
      <c r="C4173" t="s">
        <v>2685</v>
      </c>
      <c r="D4173" t="str">
        <f>HYPERLINK("http://service.sap.com/sap/support/notes/1772134","1772134")</f>
        <v>1772134</v>
      </c>
      <c r="E4173">
        <v>2</v>
      </c>
      <c r="F4173" t="s">
        <v>5625</v>
      </c>
    </row>
    <row r="4174" spans="1:6" x14ac:dyDescent="0.25">
      <c r="A4174" t="s">
        <v>4201</v>
      </c>
      <c r="B4174" t="s">
        <v>2684</v>
      </c>
      <c r="C4174" t="s">
        <v>2685</v>
      </c>
      <c r="D4174" t="str">
        <f>HYPERLINK("http://service.sap.com/sap/support/notes/1772840","1772840")</f>
        <v>1772840</v>
      </c>
      <c r="E4174">
        <v>3</v>
      </c>
      <c r="F4174" t="s">
        <v>5626</v>
      </c>
    </row>
    <row r="4175" spans="1:6" x14ac:dyDescent="0.25">
      <c r="A4175" t="s">
        <v>4201</v>
      </c>
      <c r="B4175" t="s">
        <v>2684</v>
      </c>
      <c r="C4175" t="s">
        <v>2685</v>
      </c>
      <c r="D4175" t="str">
        <f>HYPERLINK("http://service.sap.com/sap/support/notes/1774645","1774645")</f>
        <v>1774645</v>
      </c>
      <c r="E4175">
        <v>3</v>
      </c>
      <c r="F4175" t="s">
        <v>5627</v>
      </c>
    </row>
    <row r="4176" spans="1:6" x14ac:dyDescent="0.25">
      <c r="A4176" t="s">
        <v>4201</v>
      </c>
      <c r="B4176" t="s">
        <v>2684</v>
      </c>
      <c r="C4176" t="s">
        <v>2685</v>
      </c>
      <c r="D4176" t="str">
        <f>HYPERLINK("http://service.sap.com/sap/support/notes/1775663","1775663")</f>
        <v>1775663</v>
      </c>
      <c r="E4176">
        <v>2</v>
      </c>
      <c r="F4176" t="s">
        <v>5628</v>
      </c>
    </row>
    <row r="4177" spans="1:6" x14ac:dyDescent="0.25">
      <c r="A4177" t="s">
        <v>4201</v>
      </c>
      <c r="B4177" t="s">
        <v>2684</v>
      </c>
      <c r="C4177" t="s">
        <v>2685</v>
      </c>
      <c r="D4177" t="str">
        <f>HYPERLINK("http://service.sap.com/sap/support/notes/1776206","1776206")</f>
        <v>1776206</v>
      </c>
      <c r="E4177">
        <v>1</v>
      </c>
      <c r="F4177" t="s">
        <v>5629</v>
      </c>
    </row>
    <row r="4178" spans="1:6" x14ac:dyDescent="0.25">
      <c r="A4178" t="s">
        <v>4201</v>
      </c>
      <c r="B4178" t="s">
        <v>2684</v>
      </c>
      <c r="C4178" t="s">
        <v>2685</v>
      </c>
      <c r="D4178" t="str">
        <f>HYPERLINK("http://service.sap.com/sap/support/notes/1777921","1777921")</f>
        <v>1777921</v>
      </c>
      <c r="E4178">
        <v>3</v>
      </c>
      <c r="F4178" t="s">
        <v>5630</v>
      </c>
    </row>
    <row r="4179" spans="1:6" x14ac:dyDescent="0.25">
      <c r="A4179" t="s">
        <v>4201</v>
      </c>
      <c r="B4179" t="s">
        <v>2684</v>
      </c>
      <c r="C4179" t="s">
        <v>2685</v>
      </c>
      <c r="D4179" t="str">
        <f>HYPERLINK("http://service.sap.com/sap/support/notes/1778378","1778378")</f>
        <v>1778378</v>
      </c>
      <c r="E4179">
        <v>3</v>
      </c>
      <c r="F4179" t="s">
        <v>5631</v>
      </c>
    </row>
    <row r="4180" spans="1:6" x14ac:dyDescent="0.25">
      <c r="A4180" t="s">
        <v>4201</v>
      </c>
      <c r="B4180" t="s">
        <v>2684</v>
      </c>
      <c r="C4180" t="s">
        <v>2685</v>
      </c>
      <c r="D4180" t="str">
        <f>HYPERLINK("http://service.sap.com/sap/support/notes/1778970","1778970")</f>
        <v>1778970</v>
      </c>
      <c r="E4180">
        <v>1</v>
      </c>
      <c r="F4180" t="s">
        <v>5632</v>
      </c>
    </row>
    <row r="4181" spans="1:6" x14ac:dyDescent="0.25">
      <c r="A4181" t="s">
        <v>4201</v>
      </c>
      <c r="B4181" t="s">
        <v>2684</v>
      </c>
      <c r="C4181" t="s">
        <v>2685</v>
      </c>
      <c r="D4181" t="str">
        <f>HYPERLINK("http://service.sap.com/sap/support/notes/1781174","1781174")</f>
        <v>1781174</v>
      </c>
      <c r="E4181">
        <v>1</v>
      </c>
      <c r="F4181" t="s">
        <v>5633</v>
      </c>
    </row>
    <row r="4182" spans="1:6" x14ac:dyDescent="0.25">
      <c r="A4182" t="s">
        <v>4201</v>
      </c>
      <c r="B4182" t="s">
        <v>2684</v>
      </c>
      <c r="C4182" t="s">
        <v>2685</v>
      </c>
      <c r="D4182" t="str">
        <f>HYPERLINK("http://service.sap.com/sap/support/notes/1782639","1782639")</f>
        <v>1782639</v>
      </c>
      <c r="E4182">
        <v>1</v>
      </c>
      <c r="F4182" t="s">
        <v>5634</v>
      </c>
    </row>
    <row r="4183" spans="1:6" x14ac:dyDescent="0.25">
      <c r="A4183" t="s">
        <v>4201</v>
      </c>
      <c r="B4183" t="s">
        <v>2684</v>
      </c>
      <c r="C4183" t="s">
        <v>2685</v>
      </c>
      <c r="D4183" t="str">
        <f>HYPERLINK("http://service.sap.com/sap/support/notes/1782670","1782670")</f>
        <v>1782670</v>
      </c>
      <c r="E4183">
        <v>3</v>
      </c>
      <c r="F4183" t="s">
        <v>5635</v>
      </c>
    </row>
    <row r="4184" spans="1:6" x14ac:dyDescent="0.25">
      <c r="A4184" t="s">
        <v>4201</v>
      </c>
      <c r="B4184" t="s">
        <v>2684</v>
      </c>
      <c r="C4184" t="s">
        <v>2685</v>
      </c>
      <c r="D4184" t="str">
        <f>HYPERLINK("http://service.sap.com/sap/support/notes/1782814","1782814")</f>
        <v>1782814</v>
      </c>
      <c r="E4184">
        <v>1</v>
      </c>
      <c r="F4184" t="s">
        <v>5636</v>
      </c>
    </row>
    <row r="4185" spans="1:6" x14ac:dyDescent="0.25">
      <c r="A4185" t="s">
        <v>4201</v>
      </c>
      <c r="B4185" t="s">
        <v>2684</v>
      </c>
      <c r="C4185" t="s">
        <v>2685</v>
      </c>
      <c r="D4185" t="str">
        <f>HYPERLINK("http://service.sap.com/sap/support/notes/1785874","1785874")</f>
        <v>1785874</v>
      </c>
      <c r="E4185">
        <v>1</v>
      </c>
      <c r="F4185" t="s">
        <v>5637</v>
      </c>
    </row>
    <row r="4186" spans="1:6" x14ac:dyDescent="0.25">
      <c r="A4186" t="s">
        <v>4201</v>
      </c>
      <c r="B4186" t="s">
        <v>2684</v>
      </c>
      <c r="C4186" t="s">
        <v>2685</v>
      </c>
      <c r="D4186" t="str">
        <f>HYPERLINK("http://service.sap.com/sap/support/notes/1788851","1788851")</f>
        <v>1788851</v>
      </c>
      <c r="E4186">
        <v>2</v>
      </c>
      <c r="F4186" t="s">
        <v>5638</v>
      </c>
    </row>
    <row r="4187" spans="1:6" x14ac:dyDescent="0.25">
      <c r="A4187" t="s">
        <v>4201</v>
      </c>
      <c r="B4187" t="s">
        <v>2684</v>
      </c>
      <c r="C4187" t="s">
        <v>2685</v>
      </c>
      <c r="D4187" t="str">
        <f>HYPERLINK("http://service.sap.com/sap/support/notes/1789002","1789002")</f>
        <v>1789002</v>
      </c>
      <c r="E4187">
        <v>1</v>
      </c>
      <c r="F4187" t="s">
        <v>5639</v>
      </c>
    </row>
    <row r="4188" spans="1:6" x14ac:dyDescent="0.25">
      <c r="A4188" t="s">
        <v>4201</v>
      </c>
      <c r="B4188" t="s">
        <v>2684</v>
      </c>
      <c r="C4188" t="s">
        <v>2685</v>
      </c>
      <c r="D4188" t="str">
        <f>HYPERLINK("http://service.sap.com/sap/support/notes/1789042","1789042")</f>
        <v>1789042</v>
      </c>
      <c r="E4188">
        <v>2</v>
      </c>
      <c r="F4188" t="s">
        <v>5640</v>
      </c>
    </row>
    <row r="4189" spans="1:6" x14ac:dyDescent="0.25">
      <c r="A4189" t="s">
        <v>4201</v>
      </c>
      <c r="B4189" t="s">
        <v>2716</v>
      </c>
      <c r="C4189" t="s">
        <v>183</v>
      </c>
      <c r="D4189" t="str">
        <f>HYPERLINK("http://service.sap.com/sap/support/notes/1790968","1790968")</f>
        <v>1790968</v>
      </c>
      <c r="E4189">
        <v>1</v>
      </c>
      <c r="F4189" t="s">
        <v>5641</v>
      </c>
    </row>
    <row r="4190" spans="1:6" x14ac:dyDescent="0.25">
      <c r="A4190" t="s">
        <v>4201</v>
      </c>
      <c r="B4190" t="s">
        <v>2719</v>
      </c>
      <c r="C4190" t="s">
        <v>978</v>
      </c>
      <c r="D4190" t="str">
        <f>HYPERLINK("http://service.sap.com/sap/support/notes/1781134","1781134")</f>
        <v>1781134</v>
      </c>
      <c r="E4190">
        <v>1</v>
      </c>
      <c r="F4190" t="s">
        <v>5642</v>
      </c>
    </row>
    <row r="4191" spans="1:6" x14ac:dyDescent="0.25">
      <c r="A4191" t="s">
        <v>4201</v>
      </c>
      <c r="B4191" t="s">
        <v>5643</v>
      </c>
      <c r="C4191" t="s">
        <v>5644</v>
      </c>
      <c r="D4191" t="str">
        <f>HYPERLINK("http://service.sap.com/sap/support/notes/1783619","1783619")</f>
        <v>1783619</v>
      </c>
      <c r="E4191">
        <v>7</v>
      </c>
      <c r="F4191" t="s">
        <v>5645</v>
      </c>
    </row>
    <row r="4192" spans="1:6" x14ac:dyDescent="0.25">
      <c r="A4192" t="s">
        <v>4201</v>
      </c>
      <c r="B4192" t="s">
        <v>2725</v>
      </c>
      <c r="C4192" t="s">
        <v>2726</v>
      </c>
      <c r="D4192" t="str">
        <f>HYPERLINK("http://service.sap.com/sap/support/notes/1466880","1466880")</f>
        <v>1466880</v>
      </c>
      <c r="E4192">
        <v>2</v>
      </c>
      <c r="F4192" t="s">
        <v>5646</v>
      </c>
    </row>
    <row r="4193" spans="1:6" x14ac:dyDescent="0.25">
      <c r="A4193" t="s">
        <v>4201</v>
      </c>
      <c r="B4193" t="s">
        <v>2725</v>
      </c>
      <c r="C4193" t="s">
        <v>2726</v>
      </c>
      <c r="D4193" t="str">
        <f>HYPERLINK("http://service.sap.com/sap/support/notes/1792729","1792729")</f>
        <v>1792729</v>
      </c>
      <c r="E4193">
        <v>2</v>
      </c>
      <c r="F4193" t="s">
        <v>5647</v>
      </c>
    </row>
    <row r="4194" spans="1:6" x14ac:dyDescent="0.25">
      <c r="A4194" t="s">
        <v>4201</v>
      </c>
      <c r="B4194" t="s">
        <v>2728</v>
      </c>
      <c r="C4194" t="s">
        <v>2729</v>
      </c>
      <c r="D4194" t="str">
        <f>HYPERLINK("http://service.sap.com/sap/support/notes/1768539","1768539")</f>
        <v>1768539</v>
      </c>
      <c r="E4194">
        <v>3</v>
      </c>
      <c r="F4194" t="s">
        <v>2736</v>
      </c>
    </row>
    <row r="4195" spans="1:6" x14ac:dyDescent="0.25">
      <c r="A4195" t="s">
        <v>4201</v>
      </c>
      <c r="B4195" t="s">
        <v>2737</v>
      </c>
      <c r="C4195" t="s">
        <v>2738</v>
      </c>
      <c r="D4195" t="str">
        <f>HYPERLINK("http://service.sap.com/sap/support/notes/1774225","1774225")</f>
        <v>1774225</v>
      </c>
      <c r="E4195">
        <v>2</v>
      </c>
      <c r="F4195" t="s">
        <v>5648</v>
      </c>
    </row>
    <row r="4196" spans="1:6" x14ac:dyDescent="0.25">
      <c r="A4196" t="s">
        <v>4201</v>
      </c>
      <c r="B4196" t="s">
        <v>2743</v>
      </c>
      <c r="C4196" t="s">
        <v>2744</v>
      </c>
      <c r="D4196" t="str">
        <f>HYPERLINK("http://service.sap.com/sap/support/notes/1778583","1778583")</f>
        <v>1778583</v>
      </c>
      <c r="E4196">
        <v>2</v>
      </c>
      <c r="F4196" t="s">
        <v>5649</v>
      </c>
    </row>
    <row r="4197" spans="1:6" x14ac:dyDescent="0.25">
      <c r="A4197" t="s">
        <v>4201</v>
      </c>
      <c r="B4197" t="s">
        <v>2743</v>
      </c>
      <c r="C4197" t="s">
        <v>2744</v>
      </c>
      <c r="D4197" t="str">
        <f>HYPERLINK("http://service.sap.com/sap/support/notes/1786864","1786864")</f>
        <v>1786864</v>
      </c>
      <c r="E4197">
        <v>1</v>
      </c>
      <c r="F4197" t="s">
        <v>5650</v>
      </c>
    </row>
    <row r="4198" spans="1:6" x14ac:dyDescent="0.25">
      <c r="A4198" t="s">
        <v>4201</v>
      </c>
      <c r="B4198" t="s">
        <v>2748</v>
      </c>
      <c r="C4198" t="s">
        <v>238</v>
      </c>
    </row>
    <row r="4199" spans="1:6" x14ac:dyDescent="0.25">
      <c r="A4199" t="s">
        <v>4201</v>
      </c>
      <c r="B4199" t="s">
        <v>2749</v>
      </c>
      <c r="C4199" t="s">
        <v>1588</v>
      </c>
    </row>
    <row r="4200" spans="1:6" x14ac:dyDescent="0.25">
      <c r="A4200" t="s">
        <v>4201</v>
      </c>
      <c r="B4200" t="s">
        <v>2750</v>
      </c>
      <c r="C4200" t="s">
        <v>2751</v>
      </c>
      <c r="D4200" t="str">
        <f>HYPERLINK("http://service.sap.com/sap/support/notes/1783762","1783762")</f>
        <v>1783762</v>
      </c>
      <c r="E4200">
        <v>2</v>
      </c>
      <c r="F4200" t="s">
        <v>5651</v>
      </c>
    </row>
    <row r="4201" spans="1:6" x14ac:dyDescent="0.25">
      <c r="A4201" t="s">
        <v>4201</v>
      </c>
      <c r="B4201" t="s">
        <v>2750</v>
      </c>
      <c r="C4201" t="s">
        <v>2751</v>
      </c>
      <c r="D4201" t="str">
        <f>HYPERLINK("http://service.sap.com/sap/support/notes/1796578","1796578")</f>
        <v>1796578</v>
      </c>
      <c r="E4201">
        <v>1</v>
      </c>
      <c r="F4201" t="s">
        <v>5652</v>
      </c>
    </row>
    <row r="4202" spans="1:6" x14ac:dyDescent="0.25">
      <c r="A4202" t="s">
        <v>4201</v>
      </c>
      <c r="B4202" t="s">
        <v>2755</v>
      </c>
      <c r="C4202" t="s">
        <v>2756</v>
      </c>
      <c r="D4202" t="str">
        <f>HYPERLINK("http://service.sap.com/sap/support/notes/1776031","1776031")</f>
        <v>1776031</v>
      </c>
      <c r="E4202">
        <v>1</v>
      </c>
      <c r="F4202" t="s">
        <v>5653</v>
      </c>
    </row>
    <row r="4203" spans="1:6" x14ac:dyDescent="0.25">
      <c r="A4203" t="s">
        <v>4201</v>
      </c>
      <c r="B4203" t="s">
        <v>2755</v>
      </c>
      <c r="C4203" t="s">
        <v>2756</v>
      </c>
      <c r="D4203" t="str">
        <f>HYPERLINK("http://service.sap.com/sap/support/notes/1778425","1778425")</f>
        <v>1778425</v>
      </c>
      <c r="E4203">
        <v>1</v>
      </c>
      <c r="F4203" t="s">
        <v>5654</v>
      </c>
    </row>
    <row r="4204" spans="1:6" x14ac:dyDescent="0.25">
      <c r="A4204" t="s">
        <v>4201</v>
      </c>
      <c r="B4204" t="s">
        <v>2755</v>
      </c>
      <c r="C4204" t="s">
        <v>2756</v>
      </c>
      <c r="D4204" t="str">
        <f>HYPERLINK("http://service.sap.com/sap/support/notes/1782672","1782672")</f>
        <v>1782672</v>
      </c>
      <c r="E4204">
        <v>1</v>
      </c>
      <c r="F4204" t="s">
        <v>5655</v>
      </c>
    </row>
    <row r="4205" spans="1:6" x14ac:dyDescent="0.25">
      <c r="A4205" t="s">
        <v>4201</v>
      </c>
      <c r="B4205" t="s">
        <v>2758</v>
      </c>
      <c r="C4205" t="s">
        <v>2759</v>
      </c>
    </row>
    <row r="4206" spans="1:6" x14ac:dyDescent="0.25">
      <c r="A4206" t="s">
        <v>4201</v>
      </c>
      <c r="B4206" t="s">
        <v>2760</v>
      </c>
      <c r="C4206" t="s">
        <v>2761</v>
      </c>
      <c r="D4206" t="str">
        <f>HYPERLINK("http://service.sap.com/sap/support/notes/1789569","1789569")</f>
        <v>1789569</v>
      </c>
      <c r="E4206">
        <v>3</v>
      </c>
      <c r="F4206" t="s">
        <v>5656</v>
      </c>
    </row>
    <row r="4207" spans="1:6" x14ac:dyDescent="0.25">
      <c r="A4207" t="s">
        <v>4201</v>
      </c>
      <c r="B4207" t="s">
        <v>2767</v>
      </c>
      <c r="C4207" t="s">
        <v>2768</v>
      </c>
    </row>
    <row r="4208" spans="1:6" x14ac:dyDescent="0.25">
      <c r="A4208" t="s">
        <v>4201</v>
      </c>
      <c r="B4208" t="s">
        <v>2770</v>
      </c>
      <c r="C4208" t="s">
        <v>2771</v>
      </c>
      <c r="D4208" t="str">
        <f>HYPERLINK("http://service.sap.com/sap/support/notes/1752363","1752363")</f>
        <v>1752363</v>
      </c>
      <c r="E4208">
        <v>2</v>
      </c>
      <c r="F4208" t="s">
        <v>5657</v>
      </c>
    </row>
    <row r="4209" spans="1:6" x14ac:dyDescent="0.25">
      <c r="A4209" t="s">
        <v>4201</v>
      </c>
      <c r="B4209" t="s">
        <v>2773</v>
      </c>
      <c r="C4209" t="s">
        <v>2774</v>
      </c>
      <c r="D4209" t="str">
        <f>HYPERLINK("http://service.sap.com/sap/support/notes/1741297","1741297")</f>
        <v>1741297</v>
      </c>
      <c r="E4209">
        <v>3</v>
      </c>
      <c r="F4209" t="s">
        <v>5658</v>
      </c>
    </row>
    <row r="4210" spans="1:6" x14ac:dyDescent="0.25">
      <c r="A4210" t="s">
        <v>4201</v>
      </c>
      <c r="B4210" t="s">
        <v>2773</v>
      </c>
      <c r="C4210" t="s">
        <v>2774</v>
      </c>
      <c r="D4210" t="str">
        <f>HYPERLINK("http://service.sap.com/sap/support/notes/1747922","1747922")</f>
        <v>1747922</v>
      </c>
      <c r="E4210">
        <v>2</v>
      </c>
      <c r="F4210" t="s">
        <v>5659</v>
      </c>
    </row>
    <row r="4211" spans="1:6" x14ac:dyDescent="0.25">
      <c r="A4211" t="s">
        <v>4201</v>
      </c>
      <c r="B4211" t="s">
        <v>2773</v>
      </c>
      <c r="C4211" t="s">
        <v>2774</v>
      </c>
      <c r="D4211" t="str">
        <f>HYPERLINK("http://service.sap.com/sap/support/notes/1796858","1796858")</f>
        <v>1796858</v>
      </c>
      <c r="E4211">
        <v>1</v>
      </c>
      <c r="F4211" t="s">
        <v>5660</v>
      </c>
    </row>
    <row r="4212" spans="1:6" x14ac:dyDescent="0.25">
      <c r="A4212" t="s">
        <v>4201</v>
      </c>
      <c r="B4212" t="s">
        <v>2779</v>
      </c>
      <c r="C4212" t="s">
        <v>2780</v>
      </c>
      <c r="D4212" t="str">
        <f>HYPERLINK("http://service.sap.com/sap/support/notes/1781836","1781836")</f>
        <v>1781836</v>
      </c>
      <c r="E4212">
        <v>3</v>
      </c>
      <c r="F4212" t="s">
        <v>5661</v>
      </c>
    </row>
    <row r="4213" spans="1:6" x14ac:dyDescent="0.25">
      <c r="A4213" t="s">
        <v>4201</v>
      </c>
      <c r="B4213" t="s">
        <v>2779</v>
      </c>
      <c r="C4213" t="s">
        <v>2780</v>
      </c>
      <c r="D4213" t="str">
        <f>HYPERLINK("http://service.sap.com/sap/support/notes/1786076","1786076")</f>
        <v>1786076</v>
      </c>
      <c r="E4213">
        <v>2</v>
      </c>
      <c r="F4213" t="s">
        <v>5662</v>
      </c>
    </row>
    <row r="4214" spans="1:6" x14ac:dyDescent="0.25">
      <c r="A4214" t="s">
        <v>4201</v>
      </c>
      <c r="B4214" t="s">
        <v>2779</v>
      </c>
      <c r="C4214" t="s">
        <v>2780</v>
      </c>
      <c r="D4214" t="str">
        <f>HYPERLINK("http://service.sap.com/sap/support/notes/1786275","1786275")</f>
        <v>1786275</v>
      </c>
      <c r="E4214">
        <v>1</v>
      </c>
      <c r="F4214" t="s">
        <v>5663</v>
      </c>
    </row>
    <row r="4215" spans="1:6" x14ac:dyDescent="0.25">
      <c r="A4215" t="s">
        <v>4201</v>
      </c>
      <c r="B4215" t="s">
        <v>2789</v>
      </c>
      <c r="C4215" t="s">
        <v>2790</v>
      </c>
    </row>
    <row r="4216" spans="1:6" x14ac:dyDescent="0.25">
      <c r="A4216" t="s">
        <v>4201</v>
      </c>
      <c r="B4216" t="s">
        <v>2791</v>
      </c>
      <c r="C4216" t="s">
        <v>2792</v>
      </c>
      <c r="D4216" t="str">
        <f>HYPERLINK("http://service.sap.com/sap/support/notes/1777399","1777399")</f>
        <v>1777399</v>
      </c>
      <c r="E4216">
        <v>1</v>
      </c>
      <c r="F4216" t="s">
        <v>5664</v>
      </c>
    </row>
    <row r="4217" spans="1:6" x14ac:dyDescent="0.25">
      <c r="A4217" t="s">
        <v>4201</v>
      </c>
      <c r="B4217" t="s">
        <v>2800</v>
      </c>
      <c r="C4217" t="s">
        <v>2801</v>
      </c>
      <c r="D4217" t="str">
        <f>HYPERLINK("http://service.sap.com/sap/support/notes/1755630","1755630")</f>
        <v>1755630</v>
      </c>
      <c r="E4217">
        <v>2</v>
      </c>
      <c r="F4217" t="s">
        <v>5665</v>
      </c>
    </row>
    <row r="4218" spans="1:6" x14ac:dyDescent="0.25">
      <c r="A4218" t="s">
        <v>4201</v>
      </c>
      <c r="B4218" t="s">
        <v>2800</v>
      </c>
      <c r="C4218" t="s">
        <v>2801</v>
      </c>
      <c r="D4218" t="str">
        <f>HYPERLINK("http://service.sap.com/sap/support/notes/1780823","1780823")</f>
        <v>1780823</v>
      </c>
      <c r="E4218">
        <v>3</v>
      </c>
      <c r="F4218" t="s">
        <v>5666</v>
      </c>
    </row>
    <row r="4219" spans="1:6" x14ac:dyDescent="0.25">
      <c r="A4219" t="s">
        <v>4201</v>
      </c>
      <c r="B4219" t="s">
        <v>2800</v>
      </c>
      <c r="C4219" t="s">
        <v>2801</v>
      </c>
      <c r="D4219" t="str">
        <f>HYPERLINK("http://service.sap.com/sap/support/notes/1781324","1781324")</f>
        <v>1781324</v>
      </c>
      <c r="E4219">
        <v>2</v>
      </c>
      <c r="F4219" t="s">
        <v>5667</v>
      </c>
    </row>
    <row r="4220" spans="1:6" x14ac:dyDescent="0.25">
      <c r="A4220" t="s">
        <v>4201</v>
      </c>
      <c r="B4220" t="s">
        <v>2800</v>
      </c>
      <c r="C4220" t="s">
        <v>2801</v>
      </c>
      <c r="D4220" t="str">
        <f>HYPERLINK("http://service.sap.com/sap/support/notes/1782619","1782619")</f>
        <v>1782619</v>
      </c>
      <c r="E4220">
        <v>1</v>
      </c>
      <c r="F4220" t="s">
        <v>5668</v>
      </c>
    </row>
    <row r="4221" spans="1:6" x14ac:dyDescent="0.25">
      <c r="A4221" t="s">
        <v>4201</v>
      </c>
      <c r="B4221" t="s">
        <v>2800</v>
      </c>
      <c r="C4221" t="s">
        <v>2801</v>
      </c>
      <c r="D4221" t="str">
        <f>HYPERLINK("http://service.sap.com/sap/support/notes/1791009","1791009")</f>
        <v>1791009</v>
      </c>
      <c r="E4221">
        <v>3</v>
      </c>
      <c r="F4221" t="s">
        <v>5669</v>
      </c>
    </row>
    <row r="4222" spans="1:6" x14ac:dyDescent="0.25">
      <c r="A4222" t="s">
        <v>4201</v>
      </c>
      <c r="B4222" t="s">
        <v>2810</v>
      </c>
      <c r="C4222" t="s">
        <v>2811</v>
      </c>
      <c r="D4222" t="str">
        <f>HYPERLINK("http://service.sap.com/sap/support/notes/1730914","1730914")</f>
        <v>1730914</v>
      </c>
      <c r="E4222">
        <v>1</v>
      </c>
      <c r="F4222" t="s">
        <v>5670</v>
      </c>
    </row>
    <row r="4223" spans="1:6" x14ac:dyDescent="0.25">
      <c r="A4223" t="s">
        <v>4201</v>
      </c>
      <c r="B4223" t="s">
        <v>2810</v>
      </c>
      <c r="C4223" t="s">
        <v>2811</v>
      </c>
      <c r="D4223" t="str">
        <f>HYPERLINK("http://service.sap.com/sap/support/notes/1735861","1735861")</f>
        <v>1735861</v>
      </c>
      <c r="E4223">
        <v>6</v>
      </c>
      <c r="F4223" t="s">
        <v>5671</v>
      </c>
    </row>
    <row r="4224" spans="1:6" x14ac:dyDescent="0.25">
      <c r="A4224" t="s">
        <v>4201</v>
      </c>
      <c r="B4224" t="s">
        <v>2810</v>
      </c>
      <c r="C4224" t="s">
        <v>2811</v>
      </c>
      <c r="D4224" t="str">
        <f>HYPERLINK("http://service.sap.com/sap/support/notes/1741966","1741966")</f>
        <v>1741966</v>
      </c>
      <c r="E4224">
        <v>2</v>
      </c>
      <c r="F4224" t="s">
        <v>5672</v>
      </c>
    </row>
    <row r="4225" spans="1:6" x14ac:dyDescent="0.25">
      <c r="A4225" t="s">
        <v>4201</v>
      </c>
      <c r="B4225" t="s">
        <v>2810</v>
      </c>
      <c r="C4225" t="s">
        <v>2811</v>
      </c>
      <c r="D4225" t="str">
        <f>HYPERLINK("http://service.sap.com/sap/support/notes/1770254","1770254")</f>
        <v>1770254</v>
      </c>
      <c r="E4225">
        <v>2</v>
      </c>
      <c r="F4225" t="s">
        <v>5673</v>
      </c>
    </row>
    <row r="4226" spans="1:6" x14ac:dyDescent="0.25">
      <c r="A4226" t="s">
        <v>4201</v>
      </c>
      <c r="B4226" t="s">
        <v>2818</v>
      </c>
      <c r="C4226" t="s">
        <v>2819</v>
      </c>
      <c r="D4226" t="str">
        <f>HYPERLINK("http://service.sap.com/sap/support/notes/1788107","1788107")</f>
        <v>1788107</v>
      </c>
      <c r="E4226">
        <v>1</v>
      </c>
      <c r="F4226" t="s">
        <v>5674</v>
      </c>
    </row>
    <row r="4227" spans="1:6" x14ac:dyDescent="0.25">
      <c r="A4227" t="s">
        <v>4201</v>
      </c>
      <c r="B4227" t="s">
        <v>2821</v>
      </c>
      <c r="C4227" t="s">
        <v>2822</v>
      </c>
      <c r="D4227" t="str">
        <f>HYPERLINK("http://service.sap.com/sap/support/notes/1770916","1770916")</f>
        <v>1770916</v>
      </c>
      <c r="E4227">
        <v>1</v>
      </c>
      <c r="F4227" t="s">
        <v>5675</v>
      </c>
    </row>
    <row r="4228" spans="1:6" x14ac:dyDescent="0.25">
      <c r="A4228" t="s">
        <v>4201</v>
      </c>
      <c r="B4228" t="s">
        <v>5676</v>
      </c>
      <c r="C4228" t="s">
        <v>5677</v>
      </c>
      <c r="D4228" t="str">
        <f>HYPERLINK("http://service.sap.com/sap/support/notes/1075585","1075585")</f>
        <v>1075585</v>
      </c>
      <c r="E4228">
        <v>5</v>
      </c>
      <c r="F4228" t="s">
        <v>5678</v>
      </c>
    </row>
    <row r="4229" spans="1:6" x14ac:dyDescent="0.25">
      <c r="A4229" t="s">
        <v>4201</v>
      </c>
      <c r="B4229" t="s">
        <v>2824</v>
      </c>
      <c r="C4229" t="s">
        <v>2825</v>
      </c>
    </row>
    <row r="4230" spans="1:6" x14ac:dyDescent="0.25">
      <c r="A4230" t="s">
        <v>4201</v>
      </c>
      <c r="B4230" t="s">
        <v>2826</v>
      </c>
      <c r="C4230" t="s">
        <v>2827</v>
      </c>
      <c r="D4230" t="str">
        <f>HYPERLINK("http://service.sap.com/sap/support/notes/1786513","1786513")</f>
        <v>1786513</v>
      </c>
      <c r="E4230">
        <v>1</v>
      </c>
      <c r="F4230" t="s">
        <v>5679</v>
      </c>
    </row>
    <row r="4231" spans="1:6" x14ac:dyDescent="0.25">
      <c r="A4231" t="s">
        <v>4201</v>
      </c>
      <c r="B4231" t="s">
        <v>2832</v>
      </c>
      <c r="C4231" t="s">
        <v>1588</v>
      </c>
      <c r="D4231" t="str">
        <f>HYPERLINK("http://service.sap.com/sap/support/notes/421571","421571")</f>
        <v>421571</v>
      </c>
      <c r="E4231">
        <v>10</v>
      </c>
      <c r="F4231" t="s">
        <v>5680</v>
      </c>
    </row>
    <row r="4232" spans="1:6" x14ac:dyDescent="0.25">
      <c r="A4232" t="s">
        <v>4201</v>
      </c>
      <c r="B4232" t="s">
        <v>2833</v>
      </c>
      <c r="C4232" t="s">
        <v>2834</v>
      </c>
      <c r="D4232" t="str">
        <f>HYPERLINK("http://service.sap.com/sap/support/notes/1740725","1740725")</f>
        <v>1740725</v>
      </c>
      <c r="E4232">
        <v>2</v>
      </c>
      <c r="F4232" t="s">
        <v>5681</v>
      </c>
    </row>
    <row r="4233" spans="1:6" x14ac:dyDescent="0.25">
      <c r="A4233" t="s">
        <v>4201</v>
      </c>
      <c r="B4233" t="s">
        <v>5682</v>
      </c>
      <c r="C4233" t="s">
        <v>5683</v>
      </c>
      <c r="D4233" t="str">
        <f>HYPERLINK("http://service.sap.com/sap/support/notes/1122893","1122893")</f>
        <v>1122893</v>
      </c>
      <c r="E4233">
        <v>3</v>
      </c>
      <c r="F4233" t="s">
        <v>5684</v>
      </c>
    </row>
    <row r="4234" spans="1:6" x14ac:dyDescent="0.25">
      <c r="A4234" t="s">
        <v>4201</v>
      </c>
      <c r="B4234" t="s">
        <v>2843</v>
      </c>
      <c r="C4234" t="s">
        <v>2844</v>
      </c>
      <c r="D4234" t="str">
        <f>HYPERLINK("http://service.sap.com/sap/support/notes/1754417","1754417")</f>
        <v>1754417</v>
      </c>
      <c r="E4234">
        <v>2</v>
      </c>
      <c r="F4234" t="s">
        <v>5685</v>
      </c>
    </row>
    <row r="4235" spans="1:6" x14ac:dyDescent="0.25">
      <c r="A4235" t="s">
        <v>4201</v>
      </c>
      <c r="B4235" t="s">
        <v>2843</v>
      </c>
      <c r="C4235" t="s">
        <v>2844</v>
      </c>
      <c r="D4235" t="str">
        <f>HYPERLINK("http://service.sap.com/sap/support/notes/1776478","1776478")</f>
        <v>1776478</v>
      </c>
      <c r="E4235">
        <v>1</v>
      </c>
      <c r="F4235" t="s">
        <v>5686</v>
      </c>
    </row>
    <row r="4236" spans="1:6" x14ac:dyDescent="0.25">
      <c r="A4236" t="s">
        <v>4201</v>
      </c>
      <c r="B4236" t="s">
        <v>5687</v>
      </c>
      <c r="C4236" t="s">
        <v>2878</v>
      </c>
      <c r="D4236" t="str">
        <f>HYPERLINK("http://service.sap.com/sap/support/notes/1769084","1769084")</f>
        <v>1769084</v>
      </c>
      <c r="E4236">
        <v>2</v>
      </c>
      <c r="F4236" t="s">
        <v>5688</v>
      </c>
    </row>
    <row r="4237" spans="1:6" x14ac:dyDescent="0.25">
      <c r="A4237" t="s">
        <v>4201</v>
      </c>
      <c r="B4237" t="s">
        <v>5687</v>
      </c>
      <c r="C4237" t="s">
        <v>2878</v>
      </c>
      <c r="D4237" t="str">
        <f>HYPERLINK("http://service.sap.com/sap/support/notes/1781422","1781422")</f>
        <v>1781422</v>
      </c>
      <c r="E4237">
        <v>2</v>
      </c>
      <c r="F4237" t="s">
        <v>5689</v>
      </c>
    </row>
    <row r="4238" spans="1:6" x14ac:dyDescent="0.25">
      <c r="A4238" t="s">
        <v>4201</v>
      </c>
      <c r="B4238" t="s">
        <v>2847</v>
      </c>
      <c r="C4238" t="s">
        <v>2848</v>
      </c>
      <c r="D4238" t="str">
        <f>HYPERLINK("http://service.sap.com/sap/support/notes/1776754","1776754")</f>
        <v>1776754</v>
      </c>
      <c r="E4238">
        <v>1</v>
      </c>
      <c r="F4238" t="s">
        <v>5690</v>
      </c>
    </row>
    <row r="4239" spans="1:6" x14ac:dyDescent="0.25">
      <c r="A4239" t="s">
        <v>4201</v>
      </c>
      <c r="B4239" t="s">
        <v>2850</v>
      </c>
      <c r="C4239" t="s">
        <v>2851</v>
      </c>
      <c r="D4239" t="str">
        <f>HYPERLINK("http://service.sap.com/sap/support/notes/1770703","1770703")</f>
        <v>1770703</v>
      </c>
      <c r="E4239">
        <v>1</v>
      </c>
      <c r="F4239" t="s">
        <v>5691</v>
      </c>
    </row>
    <row r="4240" spans="1:6" x14ac:dyDescent="0.25">
      <c r="A4240" t="s">
        <v>4201</v>
      </c>
      <c r="B4240" t="s">
        <v>5692</v>
      </c>
      <c r="C4240" t="s">
        <v>5693</v>
      </c>
      <c r="D4240" t="str">
        <f>HYPERLINK("http://service.sap.com/sap/support/notes/1795628","1795628")</f>
        <v>1795628</v>
      </c>
      <c r="E4240">
        <v>2</v>
      </c>
      <c r="F4240" t="s">
        <v>5694</v>
      </c>
    </row>
    <row r="4241" spans="1:6" x14ac:dyDescent="0.25">
      <c r="A4241" t="s">
        <v>4201</v>
      </c>
      <c r="B4241" t="s">
        <v>5695</v>
      </c>
      <c r="C4241" t="s">
        <v>5696</v>
      </c>
      <c r="D4241" t="str">
        <f>HYPERLINK("http://service.sap.com/sap/support/notes/1772807","1772807")</f>
        <v>1772807</v>
      </c>
      <c r="E4241">
        <v>1</v>
      </c>
      <c r="F4241" t="s">
        <v>5697</v>
      </c>
    </row>
    <row r="4242" spans="1:6" x14ac:dyDescent="0.25">
      <c r="A4242" t="s">
        <v>4201</v>
      </c>
      <c r="B4242" t="s">
        <v>2865</v>
      </c>
      <c r="C4242" t="s">
        <v>2866</v>
      </c>
      <c r="D4242" t="str">
        <f>HYPERLINK("http://service.sap.com/sap/support/notes/1796435","1796435")</f>
        <v>1796435</v>
      </c>
      <c r="E4242">
        <v>2</v>
      </c>
      <c r="F4242" t="s">
        <v>5698</v>
      </c>
    </row>
    <row r="4243" spans="1:6" x14ac:dyDescent="0.25">
      <c r="A4243" t="s">
        <v>4201</v>
      </c>
      <c r="B4243" t="s">
        <v>2869</v>
      </c>
      <c r="C4243" t="s">
        <v>2870</v>
      </c>
      <c r="D4243" t="str">
        <f>HYPERLINK("http://service.sap.com/sap/support/notes/1788402","1788402")</f>
        <v>1788402</v>
      </c>
      <c r="E4243">
        <v>1</v>
      </c>
      <c r="F4243" t="s">
        <v>5699</v>
      </c>
    </row>
    <row r="4244" spans="1:6" x14ac:dyDescent="0.25">
      <c r="A4244" t="s">
        <v>4201</v>
      </c>
      <c r="B4244" t="s">
        <v>5700</v>
      </c>
      <c r="C4244" t="s">
        <v>5701</v>
      </c>
      <c r="D4244" t="str">
        <f>HYPERLINK("http://service.sap.com/sap/support/notes/1773115","1773115")</f>
        <v>1773115</v>
      </c>
      <c r="E4244">
        <v>2</v>
      </c>
      <c r="F4244" t="s">
        <v>5702</v>
      </c>
    </row>
    <row r="4245" spans="1:6" x14ac:dyDescent="0.25">
      <c r="A4245" t="s">
        <v>4201</v>
      </c>
      <c r="B4245" t="s">
        <v>5700</v>
      </c>
      <c r="C4245" t="s">
        <v>5701</v>
      </c>
      <c r="D4245" t="str">
        <f>HYPERLINK("http://service.sap.com/sap/support/notes/1784666","1784666")</f>
        <v>1784666</v>
      </c>
      <c r="E4245">
        <v>1</v>
      </c>
      <c r="F4245" t="s">
        <v>5703</v>
      </c>
    </row>
    <row r="4246" spans="1:6" x14ac:dyDescent="0.25">
      <c r="A4246" t="s">
        <v>4201</v>
      </c>
      <c r="B4246" t="s">
        <v>2872</v>
      </c>
      <c r="C4246" t="s">
        <v>2873</v>
      </c>
    </row>
    <row r="4247" spans="1:6" x14ac:dyDescent="0.25">
      <c r="A4247" t="s">
        <v>4201</v>
      </c>
      <c r="B4247" t="s">
        <v>2877</v>
      </c>
      <c r="C4247" t="s">
        <v>2878</v>
      </c>
    </row>
    <row r="4248" spans="1:6" x14ac:dyDescent="0.25">
      <c r="A4248" t="s">
        <v>4201</v>
      </c>
      <c r="B4248" t="s">
        <v>2883</v>
      </c>
      <c r="C4248" t="s">
        <v>2884</v>
      </c>
      <c r="D4248" t="str">
        <f>HYPERLINK("http://service.sap.com/sap/support/notes/1775066","1775066")</f>
        <v>1775066</v>
      </c>
      <c r="E4248">
        <v>2</v>
      </c>
      <c r="F4248" t="s">
        <v>5704</v>
      </c>
    </row>
    <row r="4249" spans="1:6" x14ac:dyDescent="0.25">
      <c r="A4249" t="s">
        <v>4201</v>
      </c>
      <c r="B4249" t="s">
        <v>2883</v>
      </c>
      <c r="C4249" t="s">
        <v>2884</v>
      </c>
      <c r="D4249" t="str">
        <f>HYPERLINK("http://service.sap.com/sap/support/notes/1780153","1780153")</f>
        <v>1780153</v>
      </c>
      <c r="E4249">
        <v>1</v>
      </c>
      <c r="F4249" t="s">
        <v>5705</v>
      </c>
    </row>
    <row r="4250" spans="1:6" x14ac:dyDescent="0.25">
      <c r="A4250" t="s">
        <v>4201</v>
      </c>
      <c r="B4250" t="s">
        <v>2886</v>
      </c>
      <c r="C4250" t="s">
        <v>2887</v>
      </c>
      <c r="D4250" t="str">
        <f>HYPERLINK("http://service.sap.com/sap/support/notes/1753285","1753285")</f>
        <v>1753285</v>
      </c>
      <c r="E4250">
        <v>2</v>
      </c>
      <c r="F4250" t="s">
        <v>2893</v>
      </c>
    </row>
    <row r="4251" spans="1:6" x14ac:dyDescent="0.25">
      <c r="A4251" t="s">
        <v>4201</v>
      </c>
      <c r="B4251" t="s">
        <v>2886</v>
      </c>
      <c r="C4251" t="s">
        <v>2887</v>
      </c>
      <c r="D4251" t="str">
        <f>HYPERLINK("http://service.sap.com/sap/support/notes/1763953","1763953")</f>
        <v>1763953</v>
      </c>
      <c r="E4251">
        <v>2</v>
      </c>
      <c r="F4251" t="s">
        <v>5706</v>
      </c>
    </row>
    <row r="4252" spans="1:6" x14ac:dyDescent="0.25">
      <c r="A4252" t="s">
        <v>4201</v>
      </c>
      <c r="B4252" t="s">
        <v>2886</v>
      </c>
      <c r="C4252" t="s">
        <v>2887</v>
      </c>
      <c r="D4252" t="str">
        <f>HYPERLINK("http://service.sap.com/sap/support/notes/1768029","1768029")</f>
        <v>1768029</v>
      </c>
      <c r="E4252">
        <v>3</v>
      </c>
      <c r="F4252" t="s">
        <v>2893</v>
      </c>
    </row>
    <row r="4253" spans="1:6" x14ac:dyDescent="0.25">
      <c r="A4253" t="s">
        <v>4201</v>
      </c>
      <c r="B4253" t="s">
        <v>2886</v>
      </c>
      <c r="C4253" t="s">
        <v>2887</v>
      </c>
      <c r="D4253" t="str">
        <f>HYPERLINK("http://service.sap.com/sap/support/notes/1774473","1774473")</f>
        <v>1774473</v>
      </c>
      <c r="E4253">
        <v>1</v>
      </c>
      <c r="F4253" t="s">
        <v>5707</v>
      </c>
    </row>
    <row r="4254" spans="1:6" x14ac:dyDescent="0.25">
      <c r="A4254" t="s">
        <v>4201</v>
      </c>
      <c r="B4254" t="s">
        <v>2886</v>
      </c>
      <c r="C4254" t="s">
        <v>2887</v>
      </c>
      <c r="D4254" t="str">
        <f>HYPERLINK("http://service.sap.com/sap/support/notes/1783991","1783991")</f>
        <v>1783991</v>
      </c>
      <c r="E4254">
        <v>1</v>
      </c>
      <c r="F4254" t="s">
        <v>5708</v>
      </c>
    </row>
    <row r="4255" spans="1:6" x14ac:dyDescent="0.25">
      <c r="A4255" t="s">
        <v>4201</v>
      </c>
      <c r="B4255" t="s">
        <v>2903</v>
      </c>
      <c r="C4255" t="s">
        <v>2904</v>
      </c>
      <c r="D4255" t="str">
        <f>HYPERLINK("http://service.sap.com/sap/support/notes/1769285","1769285")</f>
        <v>1769285</v>
      </c>
      <c r="E4255">
        <v>2</v>
      </c>
      <c r="F4255" t="s">
        <v>5709</v>
      </c>
    </row>
    <row r="4256" spans="1:6" x14ac:dyDescent="0.25">
      <c r="A4256" t="s">
        <v>4201</v>
      </c>
      <c r="B4256" t="s">
        <v>2907</v>
      </c>
      <c r="C4256" t="s">
        <v>824</v>
      </c>
      <c r="D4256" t="str">
        <f>HYPERLINK("http://service.sap.com/sap/support/notes/1770371","1770371")</f>
        <v>1770371</v>
      </c>
      <c r="E4256">
        <v>1</v>
      </c>
      <c r="F4256" t="s">
        <v>5710</v>
      </c>
    </row>
    <row r="4257" spans="1:6" x14ac:dyDescent="0.25">
      <c r="A4257" t="s">
        <v>4201</v>
      </c>
      <c r="B4257" t="s">
        <v>2909</v>
      </c>
      <c r="C4257" t="s">
        <v>2910</v>
      </c>
      <c r="D4257" t="str">
        <f>HYPERLINK("http://service.sap.com/sap/support/notes/1752270","1752270")</f>
        <v>1752270</v>
      </c>
      <c r="E4257">
        <v>3</v>
      </c>
      <c r="F4257" t="s">
        <v>5711</v>
      </c>
    </row>
    <row r="4258" spans="1:6" x14ac:dyDescent="0.25">
      <c r="A4258" t="s">
        <v>4201</v>
      </c>
      <c r="B4258" t="s">
        <v>2912</v>
      </c>
      <c r="C4258" t="s">
        <v>2913</v>
      </c>
      <c r="D4258" t="str">
        <f>HYPERLINK("http://service.sap.com/sap/support/notes/1125980","1125980")</f>
        <v>1125980</v>
      </c>
      <c r="E4258">
        <v>2</v>
      </c>
      <c r="F4258" t="s">
        <v>5712</v>
      </c>
    </row>
    <row r="4259" spans="1:6" x14ac:dyDescent="0.25">
      <c r="A4259" t="s">
        <v>4201</v>
      </c>
      <c r="B4259" t="s">
        <v>2912</v>
      </c>
      <c r="C4259" t="s">
        <v>2913</v>
      </c>
      <c r="D4259" t="str">
        <f>HYPERLINK("http://service.sap.com/sap/support/notes/1153431","1153431")</f>
        <v>1153431</v>
      </c>
      <c r="E4259">
        <v>3</v>
      </c>
      <c r="F4259" t="s">
        <v>5713</v>
      </c>
    </row>
    <row r="4260" spans="1:6" x14ac:dyDescent="0.25">
      <c r="A4260" t="s">
        <v>4201</v>
      </c>
      <c r="B4260" t="s">
        <v>2912</v>
      </c>
      <c r="C4260" t="s">
        <v>2913</v>
      </c>
      <c r="D4260" t="str">
        <f>HYPERLINK("http://service.sap.com/sap/support/notes/1767777","1767777")</f>
        <v>1767777</v>
      </c>
      <c r="E4260">
        <v>2</v>
      </c>
      <c r="F4260" t="s">
        <v>5714</v>
      </c>
    </row>
    <row r="4261" spans="1:6" x14ac:dyDescent="0.25">
      <c r="A4261" t="s">
        <v>4201</v>
      </c>
      <c r="B4261" t="s">
        <v>2912</v>
      </c>
      <c r="C4261" t="s">
        <v>2913</v>
      </c>
      <c r="D4261" t="str">
        <f>HYPERLINK("http://service.sap.com/sap/support/notes/1777063","1777063")</f>
        <v>1777063</v>
      </c>
      <c r="E4261">
        <v>1</v>
      </c>
      <c r="F4261" t="s">
        <v>5715</v>
      </c>
    </row>
    <row r="4262" spans="1:6" x14ac:dyDescent="0.25">
      <c r="A4262" t="s">
        <v>4201</v>
      </c>
      <c r="B4262" t="s">
        <v>2912</v>
      </c>
      <c r="C4262" t="s">
        <v>2913</v>
      </c>
      <c r="D4262" t="str">
        <f>HYPERLINK("http://service.sap.com/sap/support/notes/1779577","1779577")</f>
        <v>1779577</v>
      </c>
      <c r="E4262">
        <v>1</v>
      </c>
      <c r="F4262" t="s">
        <v>5716</v>
      </c>
    </row>
    <row r="4263" spans="1:6" x14ac:dyDescent="0.25">
      <c r="A4263" t="s">
        <v>4201</v>
      </c>
      <c r="B4263" t="s">
        <v>2912</v>
      </c>
      <c r="C4263" t="s">
        <v>2913</v>
      </c>
      <c r="D4263" t="str">
        <f>HYPERLINK("http://service.sap.com/sap/support/notes/1790705","1790705")</f>
        <v>1790705</v>
      </c>
      <c r="E4263">
        <v>1</v>
      </c>
      <c r="F4263" t="s">
        <v>5717</v>
      </c>
    </row>
    <row r="4264" spans="1:6" x14ac:dyDescent="0.25">
      <c r="A4264" t="s">
        <v>4201</v>
      </c>
      <c r="B4264" t="s">
        <v>2918</v>
      </c>
      <c r="C4264" t="s">
        <v>2919</v>
      </c>
      <c r="D4264" t="str">
        <f>HYPERLINK("http://service.sap.com/sap/support/notes/1136162","1136162")</f>
        <v>1136162</v>
      </c>
      <c r="E4264">
        <v>6</v>
      </c>
      <c r="F4264" t="s">
        <v>5718</v>
      </c>
    </row>
    <row r="4265" spans="1:6" x14ac:dyDescent="0.25">
      <c r="A4265" t="s">
        <v>4201</v>
      </c>
      <c r="B4265" t="s">
        <v>2918</v>
      </c>
      <c r="C4265" t="s">
        <v>2919</v>
      </c>
      <c r="D4265" t="str">
        <f>HYPERLINK("http://service.sap.com/sap/support/notes/1474531","1474531")</f>
        <v>1474531</v>
      </c>
      <c r="E4265">
        <v>1</v>
      </c>
      <c r="F4265" t="s">
        <v>5719</v>
      </c>
    </row>
    <row r="4266" spans="1:6" x14ac:dyDescent="0.25">
      <c r="A4266" t="s">
        <v>4201</v>
      </c>
      <c r="B4266" t="s">
        <v>2918</v>
      </c>
      <c r="C4266" t="s">
        <v>2919</v>
      </c>
      <c r="D4266" t="str">
        <f>HYPERLINK("http://service.sap.com/sap/support/notes/1766003","1766003")</f>
        <v>1766003</v>
      </c>
      <c r="E4266">
        <v>2</v>
      </c>
      <c r="F4266" t="s">
        <v>5720</v>
      </c>
    </row>
    <row r="4267" spans="1:6" x14ac:dyDescent="0.25">
      <c r="A4267" t="s">
        <v>4201</v>
      </c>
      <c r="B4267" t="s">
        <v>2918</v>
      </c>
      <c r="C4267" t="s">
        <v>2919</v>
      </c>
      <c r="D4267" t="str">
        <f>HYPERLINK("http://service.sap.com/sap/support/notes/1768676","1768676")</f>
        <v>1768676</v>
      </c>
      <c r="E4267">
        <v>2</v>
      </c>
      <c r="F4267" t="s">
        <v>5721</v>
      </c>
    </row>
    <row r="4268" spans="1:6" x14ac:dyDescent="0.25">
      <c r="A4268" t="s">
        <v>4201</v>
      </c>
      <c r="B4268" t="s">
        <v>2925</v>
      </c>
      <c r="C4268" t="s">
        <v>5722</v>
      </c>
      <c r="D4268" t="str">
        <f>HYPERLINK("http://service.sap.com/sap/support/notes/1783628","1783628")</f>
        <v>1783628</v>
      </c>
      <c r="E4268">
        <v>3</v>
      </c>
      <c r="F4268" t="s">
        <v>5723</v>
      </c>
    </row>
    <row r="4269" spans="1:6" x14ac:dyDescent="0.25">
      <c r="A4269" t="s">
        <v>4201</v>
      </c>
      <c r="B4269" t="s">
        <v>2947</v>
      </c>
      <c r="C4269" t="s">
        <v>2948</v>
      </c>
    </row>
    <row r="4270" spans="1:6" x14ac:dyDescent="0.25">
      <c r="A4270" t="s">
        <v>4201</v>
      </c>
      <c r="B4270" t="s">
        <v>2949</v>
      </c>
      <c r="C4270" t="s">
        <v>2950</v>
      </c>
    </row>
    <row r="4271" spans="1:6" x14ac:dyDescent="0.25">
      <c r="A4271" t="s">
        <v>4201</v>
      </c>
      <c r="B4271" t="s">
        <v>2951</v>
      </c>
      <c r="C4271" t="s">
        <v>2952</v>
      </c>
      <c r="D4271" t="str">
        <f>HYPERLINK("http://service.sap.com/sap/support/notes/1753984","1753984")</f>
        <v>1753984</v>
      </c>
      <c r="E4271">
        <v>2</v>
      </c>
      <c r="F4271" t="s">
        <v>5724</v>
      </c>
    </row>
    <row r="4272" spans="1:6" x14ac:dyDescent="0.25">
      <c r="A4272" t="s">
        <v>4201</v>
      </c>
      <c r="B4272" t="s">
        <v>2958</v>
      </c>
      <c r="C4272" t="s">
        <v>2959</v>
      </c>
      <c r="D4272" t="str">
        <f>HYPERLINK("http://service.sap.com/sap/support/notes/1769344","1769344")</f>
        <v>1769344</v>
      </c>
      <c r="E4272">
        <v>4</v>
      </c>
      <c r="F4272" t="s">
        <v>5725</v>
      </c>
    </row>
    <row r="4273" spans="1:6" x14ac:dyDescent="0.25">
      <c r="A4273" t="s">
        <v>4201</v>
      </c>
      <c r="B4273" t="s">
        <v>5726</v>
      </c>
      <c r="C4273" t="s">
        <v>5727</v>
      </c>
      <c r="D4273" t="str">
        <f>HYPERLINK("http://service.sap.com/sap/support/notes/1775677","1775677")</f>
        <v>1775677</v>
      </c>
      <c r="E4273">
        <v>1</v>
      </c>
      <c r="F4273" t="s">
        <v>5728</v>
      </c>
    </row>
    <row r="4274" spans="1:6" x14ac:dyDescent="0.25">
      <c r="A4274" t="s">
        <v>4201</v>
      </c>
      <c r="B4274" t="s">
        <v>2960</v>
      </c>
      <c r="C4274" t="s">
        <v>2961</v>
      </c>
      <c r="D4274" t="str">
        <f>HYPERLINK("http://service.sap.com/sap/support/notes/1770848","1770848")</f>
        <v>1770848</v>
      </c>
      <c r="E4274">
        <v>3</v>
      </c>
      <c r="F4274" t="s">
        <v>5729</v>
      </c>
    </row>
    <row r="4275" spans="1:6" x14ac:dyDescent="0.25">
      <c r="A4275" t="s">
        <v>4201</v>
      </c>
      <c r="B4275" t="s">
        <v>5730</v>
      </c>
      <c r="C4275" t="s">
        <v>5731</v>
      </c>
      <c r="D4275" t="str">
        <f>HYPERLINK("http://service.sap.com/sap/support/notes/1735373","1735373")</f>
        <v>1735373</v>
      </c>
      <c r="E4275">
        <v>4</v>
      </c>
      <c r="F4275" t="s">
        <v>5732</v>
      </c>
    </row>
    <row r="4276" spans="1:6" x14ac:dyDescent="0.25">
      <c r="A4276" t="s">
        <v>4201</v>
      </c>
      <c r="B4276" t="s">
        <v>2964</v>
      </c>
      <c r="C4276" t="s">
        <v>2959</v>
      </c>
      <c r="D4276" t="str">
        <f>HYPERLINK("http://service.sap.com/sap/support/notes/1768643","1768643")</f>
        <v>1768643</v>
      </c>
      <c r="E4276">
        <v>3</v>
      </c>
      <c r="F4276" t="s">
        <v>5733</v>
      </c>
    </row>
    <row r="4277" spans="1:6" x14ac:dyDescent="0.25">
      <c r="A4277" t="s">
        <v>4201</v>
      </c>
      <c r="B4277" t="s">
        <v>2965</v>
      </c>
      <c r="C4277" t="s">
        <v>2966</v>
      </c>
      <c r="D4277" t="str">
        <f>HYPERLINK("http://service.sap.com/sap/support/notes/1751771","1751771")</f>
        <v>1751771</v>
      </c>
      <c r="E4277">
        <v>3</v>
      </c>
      <c r="F4277" t="s">
        <v>2968</v>
      </c>
    </row>
    <row r="4278" spans="1:6" x14ac:dyDescent="0.25">
      <c r="A4278" t="s">
        <v>4201</v>
      </c>
      <c r="B4278" t="s">
        <v>2965</v>
      </c>
      <c r="C4278" t="s">
        <v>2966</v>
      </c>
      <c r="D4278" t="str">
        <f>HYPERLINK("http://service.sap.com/sap/support/notes/1763415","1763415")</f>
        <v>1763415</v>
      </c>
      <c r="E4278">
        <v>1</v>
      </c>
      <c r="F4278" t="s">
        <v>2969</v>
      </c>
    </row>
    <row r="4279" spans="1:6" x14ac:dyDescent="0.25">
      <c r="A4279" t="s">
        <v>4201</v>
      </c>
      <c r="B4279" t="s">
        <v>2965</v>
      </c>
      <c r="C4279" t="s">
        <v>2966</v>
      </c>
      <c r="D4279" t="str">
        <f>HYPERLINK("http://service.sap.com/sap/support/notes/1769274","1769274")</f>
        <v>1769274</v>
      </c>
      <c r="E4279">
        <v>2</v>
      </c>
      <c r="F4279" t="s">
        <v>5734</v>
      </c>
    </row>
    <row r="4280" spans="1:6" x14ac:dyDescent="0.25">
      <c r="A4280" t="s">
        <v>4201</v>
      </c>
      <c r="B4280" t="s">
        <v>5735</v>
      </c>
      <c r="C4280" t="s">
        <v>5736</v>
      </c>
    </row>
    <row r="4281" spans="1:6" x14ac:dyDescent="0.25">
      <c r="A4281" t="s">
        <v>4201</v>
      </c>
      <c r="B4281" t="s">
        <v>5737</v>
      </c>
      <c r="C4281" t="s">
        <v>5738</v>
      </c>
      <c r="D4281" t="str">
        <f>HYPERLINK("http://service.sap.com/sap/support/notes/1787693","1787693")</f>
        <v>1787693</v>
      </c>
      <c r="E4281">
        <v>1</v>
      </c>
      <c r="F4281" t="s">
        <v>5739</v>
      </c>
    </row>
    <row r="4282" spans="1:6" x14ac:dyDescent="0.25">
      <c r="A4282" t="s">
        <v>4201</v>
      </c>
      <c r="B4282" t="s">
        <v>2975</v>
      </c>
      <c r="C4282" t="s">
        <v>824</v>
      </c>
      <c r="D4282" t="str">
        <f>HYPERLINK("http://service.sap.com/sap/support/notes/1764331","1764331")</f>
        <v>1764331</v>
      </c>
      <c r="E4282">
        <v>1</v>
      </c>
      <c r="F4282" t="s">
        <v>5740</v>
      </c>
    </row>
    <row r="4283" spans="1:6" x14ac:dyDescent="0.25">
      <c r="A4283" t="s">
        <v>4201</v>
      </c>
      <c r="B4283" t="s">
        <v>2975</v>
      </c>
      <c r="C4283" t="s">
        <v>824</v>
      </c>
      <c r="D4283" t="str">
        <f>HYPERLINK("http://service.sap.com/sap/support/notes/1770620","1770620")</f>
        <v>1770620</v>
      </c>
      <c r="E4283">
        <v>3</v>
      </c>
      <c r="F4283" t="s">
        <v>5741</v>
      </c>
    </row>
    <row r="4284" spans="1:6" x14ac:dyDescent="0.25">
      <c r="A4284" t="s">
        <v>4201</v>
      </c>
      <c r="B4284" t="s">
        <v>2975</v>
      </c>
      <c r="C4284" t="s">
        <v>824</v>
      </c>
      <c r="D4284" t="str">
        <f>HYPERLINK("http://service.sap.com/sap/support/notes/1776695","1776695")</f>
        <v>1776695</v>
      </c>
      <c r="E4284">
        <v>4</v>
      </c>
      <c r="F4284" t="s">
        <v>5742</v>
      </c>
    </row>
    <row r="4285" spans="1:6" x14ac:dyDescent="0.25">
      <c r="A4285" t="s">
        <v>4201</v>
      </c>
      <c r="B4285" t="s">
        <v>2975</v>
      </c>
      <c r="C4285" t="s">
        <v>824</v>
      </c>
      <c r="D4285" t="str">
        <f>HYPERLINK("http://service.sap.com/sap/support/notes/1786828","1786828")</f>
        <v>1786828</v>
      </c>
      <c r="E4285">
        <v>1</v>
      </c>
      <c r="F4285" t="s">
        <v>5743</v>
      </c>
    </row>
    <row r="4286" spans="1:6" x14ac:dyDescent="0.25">
      <c r="A4286" t="s">
        <v>4201</v>
      </c>
      <c r="B4286" t="s">
        <v>2978</v>
      </c>
      <c r="C4286" t="s">
        <v>2979</v>
      </c>
      <c r="D4286" t="str">
        <f>HYPERLINK("http://service.sap.com/sap/support/notes/1789697","1789697")</f>
        <v>1789697</v>
      </c>
      <c r="E4286">
        <v>2</v>
      </c>
      <c r="F4286" t="s">
        <v>5744</v>
      </c>
    </row>
    <row r="4287" spans="1:6" x14ac:dyDescent="0.25">
      <c r="A4287" t="s">
        <v>4201</v>
      </c>
      <c r="B4287" t="s">
        <v>2984</v>
      </c>
      <c r="C4287" t="s">
        <v>2985</v>
      </c>
      <c r="D4287" t="str">
        <f>HYPERLINK("http://service.sap.com/sap/support/notes/1745974","1745974")</f>
        <v>1745974</v>
      </c>
      <c r="E4287">
        <v>3</v>
      </c>
      <c r="F4287" t="s">
        <v>5745</v>
      </c>
    </row>
    <row r="4288" spans="1:6" x14ac:dyDescent="0.25">
      <c r="A4288" t="s">
        <v>4201</v>
      </c>
      <c r="B4288" t="s">
        <v>2989</v>
      </c>
      <c r="C4288" t="s">
        <v>2990</v>
      </c>
      <c r="D4288" t="str">
        <f>HYPERLINK("http://service.sap.com/sap/support/notes/1772116","1772116")</f>
        <v>1772116</v>
      </c>
      <c r="E4288">
        <v>3</v>
      </c>
      <c r="F4288" t="s">
        <v>5746</v>
      </c>
    </row>
    <row r="4289" spans="1:6" x14ac:dyDescent="0.25">
      <c r="A4289" t="s">
        <v>4201</v>
      </c>
      <c r="B4289" t="s">
        <v>2989</v>
      </c>
      <c r="C4289" t="s">
        <v>2990</v>
      </c>
      <c r="D4289" t="str">
        <f>HYPERLINK("http://service.sap.com/sap/support/notes/1774212","1774212")</f>
        <v>1774212</v>
      </c>
      <c r="E4289">
        <v>2</v>
      </c>
      <c r="F4289" t="s">
        <v>5747</v>
      </c>
    </row>
    <row r="4290" spans="1:6" x14ac:dyDescent="0.25">
      <c r="A4290" t="s">
        <v>4201</v>
      </c>
      <c r="B4290" t="s">
        <v>2989</v>
      </c>
      <c r="C4290" t="s">
        <v>2990</v>
      </c>
      <c r="D4290" t="str">
        <f>HYPERLINK("http://service.sap.com/sap/support/notes/1777537","1777537")</f>
        <v>1777537</v>
      </c>
      <c r="E4290">
        <v>2</v>
      </c>
      <c r="F4290" t="s">
        <v>5748</v>
      </c>
    </row>
    <row r="4291" spans="1:6" x14ac:dyDescent="0.25">
      <c r="A4291" t="s">
        <v>4201</v>
      </c>
      <c r="B4291" t="s">
        <v>2989</v>
      </c>
      <c r="C4291" t="s">
        <v>2990</v>
      </c>
      <c r="D4291" t="str">
        <f>HYPERLINK("http://service.sap.com/sap/support/notes/1780835","1780835")</f>
        <v>1780835</v>
      </c>
      <c r="E4291">
        <v>4</v>
      </c>
      <c r="F4291" t="s">
        <v>5749</v>
      </c>
    </row>
    <row r="4292" spans="1:6" x14ac:dyDescent="0.25">
      <c r="A4292" t="s">
        <v>4201</v>
      </c>
      <c r="B4292" t="s">
        <v>2989</v>
      </c>
      <c r="C4292" t="s">
        <v>2990</v>
      </c>
      <c r="D4292" t="str">
        <f>HYPERLINK("http://service.sap.com/sap/support/notes/1780861","1780861")</f>
        <v>1780861</v>
      </c>
      <c r="E4292">
        <v>4</v>
      </c>
      <c r="F4292" t="s">
        <v>5750</v>
      </c>
    </row>
    <row r="4293" spans="1:6" x14ac:dyDescent="0.25">
      <c r="A4293" t="s">
        <v>4201</v>
      </c>
      <c r="B4293" t="s">
        <v>2989</v>
      </c>
      <c r="C4293" t="s">
        <v>2990</v>
      </c>
      <c r="D4293" t="str">
        <f>HYPERLINK("http://service.sap.com/sap/support/notes/1790244","1790244")</f>
        <v>1790244</v>
      </c>
      <c r="E4293">
        <v>1</v>
      </c>
      <c r="F4293" t="s">
        <v>5751</v>
      </c>
    </row>
    <row r="4294" spans="1:6" x14ac:dyDescent="0.25">
      <c r="A4294" t="s">
        <v>4201</v>
      </c>
      <c r="B4294" t="s">
        <v>2989</v>
      </c>
      <c r="C4294" t="s">
        <v>2990</v>
      </c>
      <c r="D4294" t="str">
        <f>HYPERLINK("http://service.sap.com/sap/support/notes/1791240","1791240")</f>
        <v>1791240</v>
      </c>
      <c r="E4294">
        <v>3</v>
      </c>
      <c r="F4294" t="s">
        <v>5752</v>
      </c>
    </row>
    <row r="4295" spans="1:6" x14ac:dyDescent="0.25">
      <c r="A4295" t="s">
        <v>4201</v>
      </c>
      <c r="B4295" t="s">
        <v>2998</v>
      </c>
      <c r="C4295" t="s">
        <v>2999</v>
      </c>
      <c r="D4295" t="str">
        <f>HYPERLINK("http://service.sap.com/sap/support/notes/1769306","1769306")</f>
        <v>1769306</v>
      </c>
      <c r="E4295">
        <v>2</v>
      </c>
      <c r="F4295" t="s">
        <v>5753</v>
      </c>
    </row>
    <row r="4296" spans="1:6" x14ac:dyDescent="0.25">
      <c r="A4296" t="s">
        <v>4201</v>
      </c>
      <c r="B4296" t="s">
        <v>2998</v>
      </c>
      <c r="C4296" t="s">
        <v>2999</v>
      </c>
      <c r="D4296" t="str">
        <f>HYPERLINK("http://service.sap.com/sap/support/notes/1789463","1789463")</f>
        <v>1789463</v>
      </c>
      <c r="E4296">
        <v>1</v>
      </c>
      <c r="F4296" t="s">
        <v>5754</v>
      </c>
    </row>
    <row r="4297" spans="1:6" x14ac:dyDescent="0.25">
      <c r="A4297" t="s">
        <v>4201</v>
      </c>
      <c r="B4297" t="s">
        <v>3008</v>
      </c>
      <c r="C4297" t="s">
        <v>3009</v>
      </c>
      <c r="D4297" t="str">
        <f>HYPERLINK("http://service.sap.com/sap/support/notes/1779133","1779133")</f>
        <v>1779133</v>
      </c>
      <c r="E4297">
        <v>1</v>
      </c>
      <c r="F4297" t="s">
        <v>5755</v>
      </c>
    </row>
    <row r="4298" spans="1:6" x14ac:dyDescent="0.25">
      <c r="A4298" t="s">
        <v>4201</v>
      </c>
      <c r="B4298" t="s">
        <v>3008</v>
      </c>
      <c r="C4298" t="s">
        <v>3009</v>
      </c>
      <c r="D4298" t="str">
        <f>HYPERLINK("http://service.sap.com/sap/support/notes/1795042","1795042")</f>
        <v>1795042</v>
      </c>
      <c r="E4298">
        <v>2</v>
      </c>
      <c r="F4298" t="s">
        <v>5756</v>
      </c>
    </row>
    <row r="4299" spans="1:6" x14ac:dyDescent="0.25">
      <c r="A4299" t="s">
        <v>4201</v>
      </c>
      <c r="B4299" t="s">
        <v>3016</v>
      </c>
      <c r="C4299" t="s">
        <v>3017</v>
      </c>
      <c r="D4299" t="str">
        <f>HYPERLINK("http://service.sap.com/sap/support/notes/1779951","1779951")</f>
        <v>1779951</v>
      </c>
      <c r="E4299">
        <v>1</v>
      </c>
      <c r="F4299" t="s">
        <v>5757</v>
      </c>
    </row>
    <row r="4300" spans="1:6" x14ac:dyDescent="0.25">
      <c r="A4300" t="s">
        <v>4201</v>
      </c>
      <c r="B4300" t="s">
        <v>3016</v>
      </c>
      <c r="C4300" t="s">
        <v>3017</v>
      </c>
      <c r="D4300" t="str">
        <f>HYPERLINK("http://service.sap.com/sap/support/notes/1782026","1782026")</f>
        <v>1782026</v>
      </c>
      <c r="E4300">
        <v>3</v>
      </c>
      <c r="F4300" t="s">
        <v>5758</v>
      </c>
    </row>
    <row r="4301" spans="1:6" x14ac:dyDescent="0.25">
      <c r="A4301" t="s">
        <v>4201</v>
      </c>
      <c r="B4301" t="s">
        <v>3025</v>
      </c>
      <c r="C4301" t="s">
        <v>3026</v>
      </c>
    </row>
    <row r="4302" spans="1:6" x14ac:dyDescent="0.25">
      <c r="A4302" t="s">
        <v>4201</v>
      </c>
      <c r="B4302" t="s">
        <v>3027</v>
      </c>
      <c r="C4302" t="s">
        <v>3028</v>
      </c>
      <c r="D4302" t="str">
        <f>HYPERLINK("http://service.sap.com/sap/support/notes/1769837","1769837")</f>
        <v>1769837</v>
      </c>
      <c r="E4302">
        <v>2</v>
      </c>
      <c r="F4302" t="s">
        <v>5759</v>
      </c>
    </row>
    <row r="4303" spans="1:6" x14ac:dyDescent="0.25">
      <c r="A4303" t="s">
        <v>4201</v>
      </c>
      <c r="B4303" t="s">
        <v>5760</v>
      </c>
      <c r="C4303" t="s">
        <v>5761</v>
      </c>
      <c r="D4303" t="str">
        <f>HYPERLINK("http://service.sap.com/sap/support/notes/1791880","1791880")</f>
        <v>1791880</v>
      </c>
      <c r="E4303">
        <v>1</v>
      </c>
      <c r="F4303" t="s">
        <v>5762</v>
      </c>
    </row>
    <row r="4304" spans="1:6" x14ac:dyDescent="0.25">
      <c r="A4304" t="s">
        <v>4201</v>
      </c>
      <c r="B4304" t="s">
        <v>3040</v>
      </c>
      <c r="C4304" t="s">
        <v>3041</v>
      </c>
      <c r="D4304" t="str">
        <f>HYPERLINK("http://service.sap.com/sap/support/notes/1691759","1691759")</f>
        <v>1691759</v>
      </c>
      <c r="E4304">
        <v>3</v>
      </c>
      <c r="F4304" t="s">
        <v>5763</v>
      </c>
    </row>
    <row r="4305" spans="1:6" x14ac:dyDescent="0.25">
      <c r="A4305" t="s">
        <v>4201</v>
      </c>
      <c r="B4305" t="s">
        <v>3040</v>
      </c>
      <c r="C4305" t="s">
        <v>3041</v>
      </c>
      <c r="D4305" t="str">
        <f>HYPERLINK("http://service.sap.com/sap/support/notes/1780186","1780186")</f>
        <v>1780186</v>
      </c>
      <c r="E4305">
        <v>1</v>
      </c>
      <c r="F4305" t="s">
        <v>5764</v>
      </c>
    </row>
    <row r="4306" spans="1:6" x14ac:dyDescent="0.25">
      <c r="A4306" t="s">
        <v>4201</v>
      </c>
      <c r="B4306" t="s">
        <v>3040</v>
      </c>
      <c r="C4306" t="s">
        <v>3041</v>
      </c>
      <c r="D4306" t="str">
        <f>HYPERLINK("http://service.sap.com/sap/support/notes/1780672","1780672")</f>
        <v>1780672</v>
      </c>
      <c r="E4306">
        <v>1</v>
      </c>
      <c r="F4306" t="s">
        <v>5765</v>
      </c>
    </row>
    <row r="4307" spans="1:6" x14ac:dyDescent="0.25">
      <c r="A4307" t="s">
        <v>4201</v>
      </c>
      <c r="B4307" t="s">
        <v>5766</v>
      </c>
      <c r="C4307" t="s">
        <v>5767</v>
      </c>
      <c r="D4307" t="str">
        <f>HYPERLINK("http://service.sap.com/sap/support/notes/1786015","1786015")</f>
        <v>1786015</v>
      </c>
      <c r="E4307">
        <v>1</v>
      </c>
      <c r="F4307" t="s">
        <v>5768</v>
      </c>
    </row>
    <row r="4308" spans="1:6" x14ac:dyDescent="0.25">
      <c r="A4308" t="s">
        <v>4201</v>
      </c>
      <c r="B4308" t="s">
        <v>3055</v>
      </c>
      <c r="C4308" t="s">
        <v>3056</v>
      </c>
      <c r="D4308" t="str">
        <f>HYPERLINK("http://service.sap.com/sap/support/notes/1094998","1094998")</f>
        <v>1094998</v>
      </c>
      <c r="E4308">
        <v>4</v>
      </c>
      <c r="F4308" t="s">
        <v>5769</v>
      </c>
    </row>
    <row r="4309" spans="1:6" x14ac:dyDescent="0.25">
      <c r="A4309" t="s">
        <v>4201</v>
      </c>
      <c r="B4309" t="s">
        <v>3055</v>
      </c>
      <c r="C4309" t="s">
        <v>3056</v>
      </c>
      <c r="D4309" t="str">
        <f>HYPERLINK("http://service.sap.com/sap/support/notes/1562238","1562238")</f>
        <v>1562238</v>
      </c>
      <c r="E4309">
        <v>2</v>
      </c>
      <c r="F4309" t="s">
        <v>5770</v>
      </c>
    </row>
    <row r="4310" spans="1:6" x14ac:dyDescent="0.25">
      <c r="A4310" t="s">
        <v>4201</v>
      </c>
      <c r="B4310" t="s">
        <v>3055</v>
      </c>
      <c r="C4310" t="s">
        <v>3056</v>
      </c>
      <c r="D4310" t="str">
        <f>HYPERLINK("http://service.sap.com/sap/support/notes/1722484","1722484")</f>
        <v>1722484</v>
      </c>
      <c r="E4310">
        <v>2</v>
      </c>
      <c r="F4310" t="s">
        <v>5771</v>
      </c>
    </row>
    <row r="4311" spans="1:6" x14ac:dyDescent="0.25">
      <c r="A4311" t="s">
        <v>4201</v>
      </c>
      <c r="B4311" t="s">
        <v>3055</v>
      </c>
      <c r="C4311" t="s">
        <v>3056</v>
      </c>
      <c r="D4311" t="str">
        <f>HYPERLINK("http://service.sap.com/sap/support/notes/1764132","1764132")</f>
        <v>1764132</v>
      </c>
      <c r="E4311">
        <v>1</v>
      </c>
      <c r="F4311" t="s">
        <v>5772</v>
      </c>
    </row>
    <row r="4312" spans="1:6" x14ac:dyDescent="0.25">
      <c r="A4312" t="s">
        <v>4201</v>
      </c>
      <c r="B4312" t="s">
        <v>3055</v>
      </c>
      <c r="C4312" t="s">
        <v>3056</v>
      </c>
      <c r="D4312" t="str">
        <f>HYPERLINK("http://service.sap.com/sap/support/notes/1774972","1774972")</f>
        <v>1774972</v>
      </c>
      <c r="E4312">
        <v>2</v>
      </c>
      <c r="F4312" t="s">
        <v>5773</v>
      </c>
    </row>
    <row r="4313" spans="1:6" x14ac:dyDescent="0.25">
      <c r="A4313" t="s">
        <v>4201</v>
      </c>
      <c r="B4313" t="s">
        <v>3055</v>
      </c>
      <c r="C4313" t="s">
        <v>3056</v>
      </c>
      <c r="D4313" t="str">
        <f>HYPERLINK("http://service.sap.com/sap/support/notes/1790593","1790593")</f>
        <v>1790593</v>
      </c>
      <c r="E4313">
        <v>1</v>
      </c>
      <c r="F4313" t="s">
        <v>5774</v>
      </c>
    </row>
    <row r="4314" spans="1:6" x14ac:dyDescent="0.25">
      <c r="A4314" t="s">
        <v>4201</v>
      </c>
      <c r="B4314" t="s">
        <v>3055</v>
      </c>
      <c r="C4314" t="s">
        <v>3056</v>
      </c>
      <c r="D4314" t="str">
        <f>HYPERLINK("http://service.sap.com/sap/support/notes/1791796","1791796")</f>
        <v>1791796</v>
      </c>
      <c r="E4314">
        <v>1</v>
      </c>
      <c r="F4314" t="s">
        <v>5775</v>
      </c>
    </row>
    <row r="4315" spans="1:6" x14ac:dyDescent="0.25">
      <c r="A4315" t="s">
        <v>4201</v>
      </c>
      <c r="B4315" t="s">
        <v>3055</v>
      </c>
      <c r="C4315" t="s">
        <v>3056</v>
      </c>
      <c r="D4315" t="str">
        <f>HYPERLINK("http://service.sap.com/sap/support/notes/1795543","1795543")</f>
        <v>1795543</v>
      </c>
      <c r="E4315">
        <v>1</v>
      </c>
      <c r="F4315" t="s">
        <v>5776</v>
      </c>
    </row>
    <row r="4316" spans="1:6" x14ac:dyDescent="0.25">
      <c r="A4316" t="s">
        <v>4201</v>
      </c>
      <c r="B4316" t="s">
        <v>3064</v>
      </c>
      <c r="C4316" t="s">
        <v>3065</v>
      </c>
      <c r="D4316" t="str">
        <f>HYPERLINK("http://service.sap.com/sap/support/notes/1774657","1774657")</f>
        <v>1774657</v>
      </c>
      <c r="E4316">
        <v>2</v>
      </c>
      <c r="F4316" t="s">
        <v>5777</v>
      </c>
    </row>
    <row r="4317" spans="1:6" x14ac:dyDescent="0.25">
      <c r="A4317" t="s">
        <v>4201</v>
      </c>
      <c r="B4317" t="s">
        <v>3078</v>
      </c>
      <c r="C4317" t="s">
        <v>3079</v>
      </c>
      <c r="D4317" t="str">
        <f>HYPERLINK("http://service.sap.com/sap/support/notes/1750284","1750284")</f>
        <v>1750284</v>
      </c>
      <c r="E4317">
        <v>3</v>
      </c>
      <c r="F4317" t="s">
        <v>5778</v>
      </c>
    </row>
    <row r="4318" spans="1:6" x14ac:dyDescent="0.25">
      <c r="A4318" t="s">
        <v>4201</v>
      </c>
      <c r="B4318" t="s">
        <v>3084</v>
      </c>
      <c r="C4318" t="s">
        <v>3085</v>
      </c>
    </row>
    <row r="4319" spans="1:6" x14ac:dyDescent="0.25">
      <c r="A4319" t="s">
        <v>4201</v>
      </c>
      <c r="B4319" t="s">
        <v>3086</v>
      </c>
      <c r="C4319" t="s">
        <v>3087</v>
      </c>
      <c r="D4319" t="str">
        <f>HYPERLINK("http://service.sap.com/sap/support/notes/1784154","1784154")</f>
        <v>1784154</v>
      </c>
      <c r="E4319">
        <v>2</v>
      </c>
      <c r="F4319" t="s">
        <v>5779</v>
      </c>
    </row>
    <row r="4320" spans="1:6" x14ac:dyDescent="0.25">
      <c r="A4320" t="s">
        <v>4201</v>
      </c>
      <c r="B4320" t="s">
        <v>5780</v>
      </c>
      <c r="C4320" t="s">
        <v>5781</v>
      </c>
      <c r="D4320" t="str">
        <f>HYPERLINK("http://service.sap.com/sap/support/notes/1785022","1785022")</f>
        <v>1785022</v>
      </c>
      <c r="E4320">
        <v>1</v>
      </c>
      <c r="F4320" t="s">
        <v>5782</v>
      </c>
    </row>
    <row r="4321" spans="1:6" x14ac:dyDescent="0.25">
      <c r="A4321" t="s">
        <v>4201</v>
      </c>
      <c r="B4321" t="s">
        <v>3091</v>
      </c>
      <c r="C4321" t="s">
        <v>3092</v>
      </c>
      <c r="D4321" t="str">
        <f>HYPERLINK("http://service.sap.com/sap/support/notes/1762811","1762811")</f>
        <v>1762811</v>
      </c>
      <c r="E4321">
        <v>2</v>
      </c>
      <c r="F4321" t="s">
        <v>5783</v>
      </c>
    </row>
    <row r="4322" spans="1:6" x14ac:dyDescent="0.25">
      <c r="A4322" t="s">
        <v>4201</v>
      </c>
      <c r="B4322" t="s">
        <v>3091</v>
      </c>
      <c r="C4322" t="s">
        <v>3092</v>
      </c>
      <c r="D4322" t="str">
        <f>HYPERLINK("http://service.sap.com/sap/support/notes/1786045","1786045")</f>
        <v>1786045</v>
      </c>
      <c r="E4322">
        <v>1</v>
      </c>
      <c r="F4322" t="s">
        <v>5784</v>
      </c>
    </row>
    <row r="4323" spans="1:6" x14ac:dyDescent="0.25">
      <c r="A4323" t="s">
        <v>4201</v>
      </c>
      <c r="B4323" t="s">
        <v>3097</v>
      </c>
      <c r="C4323" t="s">
        <v>1066</v>
      </c>
      <c r="D4323" t="str">
        <f>HYPERLINK("http://service.sap.com/sap/support/notes/1764818","1764818")</f>
        <v>1764818</v>
      </c>
      <c r="E4323">
        <v>5</v>
      </c>
      <c r="F4323" t="s">
        <v>5785</v>
      </c>
    </row>
    <row r="4324" spans="1:6" x14ac:dyDescent="0.25">
      <c r="A4324" t="s">
        <v>4201</v>
      </c>
      <c r="B4324" t="s">
        <v>3103</v>
      </c>
      <c r="C4324" t="s">
        <v>824</v>
      </c>
      <c r="D4324" t="str">
        <f>HYPERLINK("http://service.sap.com/sap/support/notes/1514067","1514067")</f>
        <v>1514067</v>
      </c>
      <c r="E4324">
        <v>1</v>
      </c>
      <c r="F4324" t="s">
        <v>5786</v>
      </c>
    </row>
    <row r="4325" spans="1:6" x14ac:dyDescent="0.25">
      <c r="A4325" t="s">
        <v>4201</v>
      </c>
      <c r="B4325" t="s">
        <v>3103</v>
      </c>
      <c r="C4325" t="s">
        <v>824</v>
      </c>
      <c r="D4325" t="str">
        <f>HYPERLINK("http://service.sap.com/sap/support/notes/1715871","1715871")</f>
        <v>1715871</v>
      </c>
      <c r="E4325">
        <v>5</v>
      </c>
      <c r="F4325" t="s">
        <v>5787</v>
      </c>
    </row>
    <row r="4326" spans="1:6" x14ac:dyDescent="0.25">
      <c r="A4326" t="s">
        <v>4201</v>
      </c>
      <c r="B4326" t="s">
        <v>3103</v>
      </c>
      <c r="C4326" t="s">
        <v>824</v>
      </c>
      <c r="D4326" t="str">
        <f>HYPERLINK("http://service.sap.com/sap/support/notes/1776176","1776176")</f>
        <v>1776176</v>
      </c>
      <c r="E4326">
        <v>1</v>
      </c>
      <c r="F4326" t="s">
        <v>5788</v>
      </c>
    </row>
    <row r="4327" spans="1:6" x14ac:dyDescent="0.25">
      <c r="A4327" t="s">
        <v>4201</v>
      </c>
      <c r="B4327" t="s">
        <v>3106</v>
      </c>
      <c r="C4327" t="s">
        <v>29</v>
      </c>
      <c r="D4327" t="str">
        <f>HYPERLINK("http://service.sap.com/sap/support/notes/1777627","1777627")</f>
        <v>1777627</v>
      </c>
      <c r="E4327">
        <v>1</v>
      </c>
      <c r="F4327" t="s">
        <v>5789</v>
      </c>
    </row>
    <row r="4328" spans="1:6" x14ac:dyDescent="0.25">
      <c r="A4328" t="s">
        <v>4201</v>
      </c>
      <c r="B4328" t="s">
        <v>3108</v>
      </c>
      <c r="C4328" t="s">
        <v>3109</v>
      </c>
    </row>
    <row r="4329" spans="1:6" x14ac:dyDescent="0.25">
      <c r="A4329" t="s">
        <v>4201</v>
      </c>
      <c r="B4329" t="s">
        <v>3110</v>
      </c>
      <c r="C4329" t="s">
        <v>3111</v>
      </c>
    </row>
    <row r="4330" spans="1:6" x14ac:dyDescent="0.25">
      <c r="A4330" t="s">
        <v>4201</v>
      </c>
      <c r="B4330" t="s">
        <v>3112</v>
      </c>
      <c r="C4330" t="s">
        <v>3113</v>
      </c>
      <c r="D4330" t="str">
        <f>HYPERLINK("http://service.sap.com/sap/support/notes/1745780","1745780")</f>
        <v>1745780</v>
      </c>
      <c r="E4330">
        <v>2</v>
      </c>
      <c r="F4330" t="s">
        <v>5790</v>
      </c>
    </row>
    <row r="4331" spans="1:6" x14ac:dyDescent="0.25">
      <c r="A4331" t="s">
        <v>4201</v>
      </c>
      <c r="B4331" t="s">
        <v>3116</v>
      </c>
      <c r="C4331" t="s">
        <v>3117</v>
      </c>
      <c r="D4331" t="str">
        <f>HYPERLINK("http://service.sap.com/sap/support/notes/1713027","1713027")</f>
        <v>1713027</v>
      </c>
      <c r="E4331">
        <v>2</v>
      </c>
      <c r="F4331" t="s">
        <v>5791</v>
      </c>
    </row>
    <row r="4332" spans="1:6" x14ac:dyDescent="0.25">
      <c r="A4332" t="s">
        <v>4201</v>
      </c>
      <c r="B4332" t="s">
        <v>3116</v>
      </c>
      <c r="C4332" t="s">
        <v>3117</v>
      </c>
      <c r="D4332" t="str">
        <f>HYPERLINK("http://service.sap.com/sap/support/notes/1774593","1774593")</f>
        <v>1774593</v>
      </c>
      <c r="E4332">
        <v>2</v>
      </c>
      <c r="F4332" t="s">
        <v>5792</v>
      </c>
    </row>
    <row r="4333" spans="1:6" x14ac:dyDescent="0.25">
      <c r="A4333" t="s">
        <v>4201</v>
      </c>
      <c r="B4333" t="s">
        <v>3116</v>
      </c>
      <c r="C4333" t="s">
        <v>3117</v>
      </c>
      <c r="D4333" t="str">
        <f>HYPERLINK("http://service.sap.com/sap/support/notes/1775009","1775009")</f>
        <v>1775009</v>
      </c>
      <c r="E4333">
        <v>3</v>
      </c>
      <c r="F4333" t="s">
        <v>5793</v>
      </c>
    </row>
    <row r="4334" spans="1:6" x14ac:dyDescent="0.25">
      <c r="A4334" t="s">
        <v>4201</v>
      </c>
      <c r="B4334" t="s">
        <v>3116</v>
      </c>
      <c r="C4334" t="s">
        <v>3117</v>
      </c>
      <c r="D4334" t="str">
        <f>HYPERLINK("http://service.sap.com/sap/support/notes/1780411","1780411")</f>
        <v>1780411</v>
      </c>
      <c r="E4334">
        <v>8</v>
      </c>
      <c r="F4334" t="s">
        <v>5794</v>
      </c>
    </row>
    <row r="4335" spans="1:6" x14ac:dyDescent="0.25">
      <c r="A4335" t="s">
        <v>4201</v>
      </c>
      <c r="B4335" t="s">
        <v>3116</v>
      </c>
      <c r="C4335" t="s">
        <v>3117</v>
      </c>
      <c r="D4335" t="str">
        <f>HYPERLINK("http://service.sap.com/sap/support/notes/1786716","1786716")</f>
        <v>1786716</v>
      </c>
      <c r="E4335">
        <v>1</v>
      </c>
      <c r="F4335" t="s">
        <v>5795</v>
      </c>
    </row>
    <row r="4336" spans="1:6" x14ac:dyDescent="0.25">
      <c r="A4336" t="s">
        <v>4201</v>
      </c>
      <c r="B4336" t="s">
        <v>3124</v>
      </c>
      <c r="C4336" t="s">
        <v>3125</v>
      </c>
    </row>
    <row r="4337" spans="1:6" x14ac:dyDescent="0.25">
      <c r="A4337" t="s">
        <v>4201</v>
      </c>
      <c r="B4337" t="s">
        <v>3126</v>
      </c>
      <c r="C4337" t="s">
        <v>2400</v>
      </c>
      <c r="D4337" t="str">
        <f>HYPERLINK("http://service.sap.com/sap/support/notes/1775731","1775731")</f>
        <v>1775731</v>
      </c>
      <c r="E4337">
        <v>1</v>
      </c>
      <c r="F4337" t="s">
        <v>5796</v>
      </c>
    </row>
    <row r="4338" spans="1:6" x14ac:dyDescent="0.25">
      <c r="A4338" t="s">
        <v>4201</v>
      </c>
      <c r="B4338" t="s">
        <v>3126</v>
      </c>
      <c r="C4338" t="s">
        <v>2400</v>
      </c>
      <c r="D4338" t="str">
        <f>HYPERLINK("http://service.sap.com/sap/support/notes/1776366","1776366")</f>
        <v>1776366</v>
      </c>
      <c r="E4338">
        <v>1</v>
      </c>
      <c r="F4338" t="s">
        <v>5797</v>
      </c>
    </row>
    <row r="4339" spans="1:6" x14ac:dyDescent="0.25">
      <c r="A4339" t="s">
        <v>4201</v>
      </c>
      <c r="B4339" t="s">
        <v>3126</v>
      </c>
      <c r="C4339" t="s">
        <v>2400</v>
      </c>
      <c r="D4339" t="str">
        <f>HYPERLINK("http://service.sap.com/sap/support/notes/1777625","1777625")</f>
        <v>1777625</v>
      </c>
      <c r="E4339">
        <v>5</v>
      </c>
      <c r="F4339" t="s">
        <v>5798</v>
      </c>
    </row>
    <row r="4340" spans="1:6" x14ac:dyDescent="0.25">
      <c r="A4340" t="s">
        <v>4201</v>
      </c>
      <c r="B4340" t="s">
        <v>3126</v>
      </c>
      <c r="C4340" t="s">
        <v>2400</v>
      </c>
      <c r="D4340" t="str">
        <f>HYPERLINK("http://service.sap.com/sap/support/notes/1790677","1790677")</f>
        <v>1790677</v>
      </c>
      <c r="E4340">
        <v>1</v>
      </c>
      <c r="F4340" t="s">
        <v>5799</v>
      </c>
    </row>
    <row r="4341" spans="1:6" x14ac:dyDescent="0.25">
      <c r="A4341" t="s">
        <v>4201</v>
      </c>
      <c r="B4341" t="s">
        <v>3134</v>
      </c>
      <c r="C4341" t="s">
        <v>3135</v>
      </c>
    </row>
    <row r="4342" spans="1:6" x14ac:dyDescent="0.25">
      <c r="A4342" t="s">
        <v>4201</v>
      </c>
      <c r="B4342" t="s">
        <v>3136</v>
      </c>
      <c r="C4342" t="s">
        <v>3137</v>
      </c>
      <c r="D4342" t="str">
        <f>HYPERLINK("http://service.sap.com/sap/support/notes/1698829","1698829")</f>
        <v>1698829</v>
      </c>
      <c r="E4342">
        <v>4</v>
      </c>
      <c r="F4342" t="s">
        <v>5800</v>
      </c>
    </row>
    <row r="4343" spans="1:6" x14ac:dyDescent="0.25">
      <c r="A4343" t="s">
        <v>4201</v>
      </c>
      <c r="B4343" t="s">
        <v>3139</v>
      </c>
      <c r="C4343" t="s">
        <v>3140</v>
      </c>
      <c r="D4343" t="str">
        <f>HYPERLINK("http://service.sap.com/sap/support/notes/1625510","1625510")</f>
        <v>1625510</v>
      </c>
      <c r="E4343">
        <v>3</v>
      </c>
      <c r="F4343" t="s">
        <v>5801</v>
      </c>
    </row>
    <row r="4344" spans="1:6" x14ac:dyDescent="0.25">
      <c r="A4344" t="s">
        <v>4201</v>
      </c>
      <c r="B4344" t="s">
        <v>3142</v>
      </c>
      <c r="C4344" t="s">
        <v>3143</v>
      </c>
      <c r="D4344" t="str">
        <f>HYPERLINK("http://service.sap.com/sap/support/notes/1729128","1729128")</f>
        <v>1729128</v>
      </c>
      <c r="E4344">
        <v>8</v>
      </c>
      <c r="F4344" t="s">
        <v>5802</v>
      </c>
    </row>
    <row r="4345" spans="1:6" x14ac:dyDescent="0.25">
      <c r="A4345" t="s">
        <v>4201</v>
      </c>
      <c r="B4345" t="s">
        <v>3144</v>
      </c>
      <c r="C4345" t="s">
        <v>3145</v>
      </c>
      <c r="D4345" t="str">
        <f>HYPERLINK("http://service.sap.com/sap/support/notes/1780013","1780013")</f>
        <v>1780013</v>
      </c>
      <c r="E4345">
        <v>3</v>
      </c>
      <c r="F4345" t="s">
        <v>5803</v>
      </c>
    </row>
    <row r="4346" spans="1:6" x14ac:dyDescent="0.25">
      <c r="A4346" t="s">
        <v>4201</v>
      </c>
      <c r="B4346" t="s">
        <v>5804</v>
      </c>
      <c r="C4346" t="s">
        <v>5805</v>
      </c>
      <c r="D4346" t="str">
        <f>HYPERLINK("http://service.sap.com/sap/support/notes/1745755","1745755")</f>
        <v>1745755</v>
      </c>
      <c r="E4346">
        <v>2</v>
      </c>
      <c r="F4346" t="s">
        <v>5806</v>
      </c>
    </row>
    <row r="4347" spans="1:6" x14ac:dyDescent="0.25">
      <c r="A4347" t="s">
        <v>4201</v>
      </c>
      <c r="B4347" t="s">
        <v>3150</v>
      </c>
      <c r="C4347" t="s">
        <v>3151</v>
      </c>
      <c r="D4347" t="str">
        <f>HYPERLINK("http://service.sap.com/sap/support/notes/1743527","1743527")</f>
        <v>1743527</v>
      </c>
      <c r="E4347">
        <v>1</v>
      </c>
      <c r="F4347" t="s">
        <v>5807</v>
      </c>
    </row>
    <row r="4348" spans="1:6" x14ac:dyDescent="0.25">
      <c r="A4348" t="s">
        <v>4201</v>
      </c>
      <c r="B4348" t="s">
        <v>3150</v>
      </c>
      <c r="C4348" t="s">
        <v>3151</v>
      </c>
      <c r="D4348" t="str">
        <f>HYPERLINK("http://service.sap.com/sap/support/notes/1764682","1764682")</f>
        <v>1764682</v>
      </c>
      <c r="E4348">
        <v>9</v>
      </c>
      <c r="F4348" t="s">
        <v>5808</v>
      </c>
    </row>
    <row r="4349" spans="1:6" x14ac:dyDescent="0.25">
      <c r="A4349" t="s">
        <v>4201</v>
      </c>
      <c r="B4349" t="s">
        <v>3150</v>
      </c>
      <c r="C4349" t="s">
        <v>3151</v>
      </c>
      <c r="D4349" t="str">
        <f>HYPERLINK("http://service.sap.com/sap/support/notes/1787474","1787474")</f>
        <v>1787474</v>
      </c>
      <c r="E4349">
        <v>1</v>
      </c>
      <c r="F4349" t="s">
        <v>5809</v>
      </c>
    </row>
    <row r="4350" spans="1:6" x14ac:dyDescent="0.25">
      <c r="A4350" t="s">
        <v>4201</v>
      </c>
      <c r="B4350" t="s">
        <v>3156</v>
      </c>
      <c r="C4350" t="s">
        <v>3157</v>
      </c>
      <c r="D4350" t="str">
        <f>HYPERLINK("http://service.sap.com/sap/support/notes/1735818","1735818")</f>
        <v>1735818</v>
      </c>
      <c r="E4350">
        <v>12</v>
      </c>
      <c r="F4350" t="s">
        <v>5810</v>
      </c>
    </row>
    <row r="4351" spans="1:6" x14ac:dyDescent="0.25">
      <c r="A4351" t="s">
        <v>4201</v>
      </c>
      <c r="B4351" t="s">
        <v>3156</v>
      </c>
      <c r="C4351" t="s">
        <v>3157</v>
      </c>
      <c r="D4351" t="str">
        <f>HYPERLINK("http://service.sap.com/sap/support/notes/1738739","1738739")</f>
        <v>1738739</v>
      </c>
      <c r="E4351">
        <v>6</v>
      </c>
      <c r="F4351" t="s">
        <v>5811</v>
      </c>
    </row>
    <row r="4352" spans="1:6" x14ac:dyDescent="0.25">
      <c r="A4352" t="s">
        <v>4201</v>
      </c>
      <c r="B4352" t="s">
        <v>3156</v>
      </c>
      <c r="C4352" t="s">
        <v>3157</v>
      </c>
      <c r="D4352" t="str">
        <f>HYPERLINK("http://service.sap.com/sap/support/notes/1787832","1787832")</f>
        <v>1787832</v>
      </c>
      <c r="E4352">
        <v>2</v>
      </c>
      <c r="F4352" t="s">
        <v>5812</v>
      </c>
    </row>
    <row r="4353" spans="1:6" x14ac:dyDescent="0.25">
      <c r="A4353" t="s">
        <v>4201</v>
      </c>
      <c r="B4353" t="s">
        <v>3156</v>
      </c>
      <c r="C4353" t="s">
        <v>3157</v>
      </c>
      <c r="D4353" t="str">
        <f>HYPERLINK("http://service.sap.com/sap/support/notes/1789047","1789047")</f>
        <v>1789047</v>
      </c>
      <c r="E4353">
        <v>1</v>
      </c>
      <c r="F4353" t="s">
        <v>5813</v>
      </c>
    </row>
    <row r="4354" spans="1:6" x14ac:dyDescent="0.25">
      <c r="A4354" t="s">
        <v>4201</v>
      </c>
      <c r="B4354" t="s">
        <v>3160</v>
      </c>
      <c r="C4354" t="s">
        <v>3161</v>
      </c>
      <c r="D4354" t="str">
        <f>HYPERLINK("http://service.sap.com/sap/support/notes/1766062","1766062")</f>
        <v>1766062</v>
      </c>
      <c r="E4354">
        <v>2</v>
      </c>
      <c r="F4354" t="s">
        <v>5814</v>
      </c>
    </row>
    <row r="4355" spans="1:6" x14ac:dyDescent="0.25">
      <c r="A4355" t="s">
        <v>4201</v>
      </c>
      <c r="B4355" t="s">
        <v>5815</v>
      </c>
      <c r="C4355" t="s">
        <v>5816</v>
      </c>
      <c r="D4355" t="str">
        <f>HYPERLINK("http://service.sap.com/sap/support/notes/1753657","1753657")</f>
        <v>1753657</v>
      </c>
      <c r="E4355">
        <v>3</v>
      </c>
      <c r="F4355" t="s">
        <v>5817</v>
      </c>
    </row>
    <row r="4356" spans="1:6" x14ac:dyDescent="0.25">
      <c r="A4356" t="s">
        <v>4201</v>
      </c>
      <c r="B4356" t="s">
        <v>5815</v>
      </c>
      <c r="C4356" t="s">
        <v>5816</v>
      </c>
      <c r="D4356" t="str">
        <f>HYPERLINK("http://service.sap.com/sap/support/notes/1780788","1780788")</f>
        <v>1780788</v>
      </c>
      <c r="E4356">
        <v>4</v>
      </c>
      <c r="F4356" t="s">
        <v>5818</v>
      </c>
    </row>
    <row r="4357" spans="1:6" x14ac:dyDescent="0.25">
      <c r="A4357" t="s">
        <v>4201</v>
      </c>
      <c r="B4357" t="s">
        <v>5819</v>
      </c>
      <c r="C4357" t="s">
        <v>5820</v>
      </c>
      <c r="D4357" t="str">
        <f>HYPERLINK("http://service.sap.com/sap/support/notes/1776944","1776944")</f>
        <v>1776944</v>
      </c>
      <c r="E4357">
        <v>2</v>
      </c>
      <c r="F4357" t="s">
        <v>5821</v>
      </c>
    </row>
    <row r="4358" spans="1:6" x14ac:dyDescent="0.25">
      <c r="A4358" t="s">
        <v>4201</v>
      </c>
      <c r="B4358" t="s">
        <v>3171</v>
      </c>
      <c r="C4358" t="s">
        <v>3172</v>
      </c>
    </row>
    <row r="4359" spans="1:6" x14ac:dyDescent="0.25">
      <c r="A4359" t="s">
        <v>4201</v>
      </c>
      <c r="B4359" t="s">
        <v>3174</v>
      </c>
      <c r="C4359" t="s">
        <v>1588</v>
      </c>
    </row>
    <row r="4360" spans="1:6" x14ac:dyDescent="0.25">
      <c r="A4360" t="s">
        <v>4201</v>
      </c>
      <c r="B4360" t="s">
        <v>5822</v>
      </c>
      <c r="C4360" t="s">
        <v>5823</v>
      </c>
      <c r="D4360" t="str">
        <f>HYPERLINK("http://service.sap.com/sap/support/notes/1750748","1750748")</f>
        <v>1750748</v>
      </c>
      <c r="E4360">
        <v>1</v>
      </c>
      <c r="F4360" t="s">
        <v>5824</v>
      </c>
    </row>
    <row r="4361" spans="1:6" x14ac:dyDescent="0.25">
      <c r="A4361" t="s">
        <v>4201</v>
      </c>
      <c r="B4361" t="s">
        <v>5822</v>
      </c>
      <c r="C4361" t="s">
        <v>5823</v>
      </c>
      <c r="D4361" t="str">
        <f>HYPERLINK("http://service.sap.com/sap/support/notes/1771955","1771955")</f>
        <v>1771955</v>
      </c>
      <c r="E4361">
        <v>1</v>
      </c>
      <c r="F4361" t="s">
        <v>5825</v>
      </c>
    </row>
    <row r="4362" spans="1:6" x14ac:dyDescent="0.25">
      <c r="A4362" t="s">
        <v>4201</v>
      </c>
      <c r="B4362" t="s">
        <v>5826</v>
      </c>
      <c r="C4362" t="s">
        <v>5827</v>
      </c>
      <c r="D4362" t="str">
        <f>HYPERLINK("http://service.sap.com/sap/support/notes/1740074","1740074")</f>
        <v>1740074</v>
      </c>
      <c r="E4362">
        <v>3</v>
      </c>
      <c r="F4362" t="s">
        <v>5828</v>
      </c>
    </row>
    <row r="4363" spans="1:6" x14ac:dyDescent="0.25">
      <c r="A4363" t="s">
        <v>4201</v>
      </c>
      <c r="B4363" t="s">
        <v>5826</v>
      </c>
      <c r="C4363" t="s">
        <v>5827</v>
      </c>
      <c r="D4363" t="str">
        <f>HYPERLINK("http://service.sap.com/sap/support/notes/1758901","1758901")</f>
        <v>1758901</v>
      </c>
      <c r="E4363">
        <v>3</v>
      </c>
      <c r="F4363" t="s">
        <v>5829</v>
      </c>
    </row>
    <row r="4364" spans="1:6" x14ac:dyDescent="0.25">
      <c r="A4364" t="s">
        <v>4201</v>
      </c>
      <c r="B4364" t="s">
        <v>5826</v>
      </c>
      <c r="C4364" t="s">
        <v>5827</v>
      </c>
      <c r="D4364" t="str">
        <f>HYPERLINK("http://service.sap.com/sap/support/notes/1762294","1762294")</f>
        <v>1762294</v>
      </c>
      <c r="E4364">
        <v>6</v>
      </c>
      <c r="F4364" t="s">
        <v>5830</v>
      </c>
    </row>
    <row r="4365" spans="1:6" x14ac:dyDescent="0.25">
      <c r="A4365" t="s">
        <v>4201</v>
      </c>
      <c r="B4365" t="s">
        <v>5831</v>
      </c>
      <c r="C4365" t="s">
        <v>5832</v>
      </c>
      <c r="D4365" t="str">
        <f>HYPERLINK("http://service.sap.com/sap/support/notes/1771168","1771168")</f>
        <v>1771168</v>
      </c>
      <c r="E4365">
        <v>1</v>
      </c>
      <c r="F4365" t="s">
        <v>5833</v>
      </c>
    </row>
    <row r="4366" spans="1:6" x14ac:dyDescent="0.25">
      <c r="A4366" t="s">
        <v>4201</v>
      </c>
      <c r="B4366" t="s">
        <v>3185</v>
      </c>
      <c r="C4366" t="s">
        <v>3186</v>
      </c>
      <c r="D4366" t="str">
        <f>HYPERLINK("http://service.sap.com/sap/support/notes/1727152","1727152")</f>
        <v>1727152</v>
      </c>
      <c r="E4366">
        <v>2</v>
      </c>
      <c r="F4366" t="s">
        <v>5834</v>
      </c>
    </row>
    <row r="4367" spans="1:6" x14ac:dyDescent="0.25">
      <c r="A4367" t="s">
        <v>4201</v>
      </c>
      <c r="B4367" t="s">
        <v>3185</v>
      </c>
      <c r="C4367" t="s">
        <v>3186</v>
      </c>
      <c r="D4367" t="str">
        <f>HYPERLINK("http://service.sap.com/sap/support/notes/1734542","1734542")</f>
        <v>1734542</v>
      </c>
      <c r="E4367">
        <v>6</v>
      </c>
      <c r="F4367" t="s">
        <v>5835</v>
      </c>
    </row>
    <row r="4368" spans="1:6" x14ac:dyDescent="0.25">
      <c r="A4368" t="s">
        <v>4201</v>
      </c>
      <c r="B4368" t="s">
        <v>3185</v>
      </c>
      <c r="C4368" t="s">
        <v>3186</v>
      </c>
      <c r="D4368" t="str">
        <f>HYPERLINK("http://service.sap.com/sap/support/notes/1740397","1740397")</f>
        <v>1740397</v>
      </c>
      <c r="E4368">
        <v>3</v>
      </c>
      <c r="F4368" t="s">
        <v>5836</v>
      </c>
    </row>
    <row r="4369" spans="1:6" x14ac:dyDescent="0.25">
      <c r="A4369" t="s">
        <v>4201</v>
      </c>
      <c r="B4369" t="s">
        <v>3185</v>
      </c>
      <c r="C4369" t="s">
        <v>3186</v>
      </c>
      <c r="D4369" t="str">
        <f>HYPERLINK("http://service.sap.com/sap/support/notes/1749138","1749138")</f>
        <v>1749138</v>
      </c>
      <c r="E4369">
        <v>6</v>
      </c>
      <c r="F4369" t="s">
        <v>5837</v>
      </c>
    </row>
    <row r="4370" spans="1:6" x14ac:dyDescent="0.25">
      <c r="A4370" t="s">
        <v>4201</v>
      </c>
      <c r="B4370" t="s">
        <v>3185</v>
      </c>
      <c r="C4370" t="s">
        <v>3186</v>
      </c>
      <c r="D4370" t="str">
        <f>HYPERLINK("http://service.sap.com/sap/support/notes/1758053","1758053")</f>
        <v>1758053</v>
      </c>
      <c r="E4370">
        <v>3</v>
      </c>
      <c r="F4370" t="s">
        <v>5838</v>
      </c>
    </row>
    <row r="4371" spans="1:6" x14ac:dyDescent="0.25">
      <c r="A4371" t="s">
        <v>4201</v>
      </c>
      <c r="B4371" t="s">
        <v>3185</v>
      </c>
      <c r="C4371" t="s">
        <v>3186</v>
      </c>
      <c r="D4371" t="str">
        <f>HYPERLINK("http://service.sap.com/sap/support/notes/1766012","1766012")</f>
        <v>1766012</v>
      </c>
      <c r="E4371">
        <v>2</v>
      </c>
      <c r="F4371" t="s">
        <v>5839</v>
      </c>
    </row>
    <row r="4372" spans="1:6" x14ac:dyDescent="0.25">
      <c r="A4372" t="s">
        <v>4201</v>
      </c>
      <c r="B4372" t="s">
        <v>3185</v>
      </c>
      <c r="C4372" t="s">
        <v>3186</v>
      </c>
      <c r="D4372" t="str">
        <f>HYPERLINK("http://service.sap.com/sap/support/notes/1770396","1770396")</f>
        <v>1770396</v>
      </c>
      <c r="E4372">
        <v>4</v>
      </c>
      <c r="F4372" t="s">
        <v>5840</v>
      </c>
    </row>
    <row r="4373" spans="1:6" x14ac:dyDescent="0.25">
      <c r="A4373" t="s">
        <v>4201</v>
      </c>
      <c r="B4373" t="s">
        <v>3185</v>
      </c>
      <c r="C4373" t="s">
        <v>3186</v>
      </c>
      <c r="D4373" t="str">
        <f>HYPERLINK("http://service.sap.com/sap/support/notes/1773536","1773536")</f>
        <v>1773536</v>
      </c>
      <c r="E4373">
        <v>2</v>
      </c>
      <c r="F4373" t="s">
        <v>5841</v>
      </c>
    </row>
    <row r="4374" spans="1:6" x14ac:dyDescent="0.25">
      <c r="A4374" t="s">
        <v>4201</v>
      </c>
      <c r="B4374" t="s">
        <v>3185</v>
      </c>
      <c r="C4374" t="s">
        <v>3186</v>
      </c>
      <c r="D4374" t="str">
        <f>HYPERLINK("http://service.sap.com/sap/support/notes/1774018","1774018")</f>
        <v>1774018</v>
      </c>
      <c r="E4374">
        <v>2</v>
      </c>
      <c r="F4374" t="s">
        <v>5842</v>
      </c>
    </row>
    <row r="4375" spans="1:6" x14ac:dyDescent="0.25">
      <c r="A4375" t="s">
        <v>4201</v>
      </c>
      <c r="B4375" t="s">
        <v>3195</v>
      </c>
      <c r="C4375" t="s">
        <v>3196</v>
      </c>
    </row>
    <row r="4376" spans="1:6" x14ac:dyDescent="0.25">
      <c r="A4376" t="s">
        <v>4201</v>
      </c>
      <c r="B4376" t="s">
        <v>3197</v>
      </c>
      <c r="C4376" t="s">
        <v>1588</v>
      </c>
      <c r="D4376" t="str">
        <f>HYPERLINK("http://service.sap.com/sap/support/notes/683519","683519")</f>
        <v>683519</v>
      </c>
      <c r="E4376">
        <v>3</v>
      </c>
      <c r="F4376" t="s">
        <v>5843</v>
      </c>
    </row>
    <row r="4377" spans="1:6" x14ac:dyDescent="0.25">
      <c r="A4377" t="s">
        <v>4201</v>
      </c>
      <c r="B4377" t="s">
        <v>3197</v>
      </c>
      <c r="C4377" t="s">
        <v>1588</v>
      </c>
      <c r="D4377" t="str">
        <f>HYPERLINK("http://service.sap.com/sap/support/notes/1792542","1792542")</f>
        <v>1792542</v>
      </c>
      <c r="E4377">
        <v>1</v>
      </c>
      <c r="F4377" t="s">
        <v>5844</v>
      </c>
    </row>
    <row r="4378" spans="1:6" x14ac:dyDescent="0.25">
      <c r="A4378" t="s">
        <v>4201</v>
      </c>
      <c r="B4378" t="s">
        <v>5845</v>
      </c>
      <c r="C4378" t="s">
        <v>5846</v>
      </c>
      <c r="D4378" t="str">
        <f>HYPERLINK("http://service.sap.com/sap/support/notes/959286","959286")</f>
        <v>959286</v>
      </c>
      <c r="E4378">
        <v>2</v>
      </c>
      <c r="F4378" t="s">
        <v>5847</v>
      </c>
    </row>
    <row r="4379" spans="1:6" x14ac:dyDescent="0.25">
      <c r="A4379" t="s">
        <v>4201</v>
      </c>
      <c r="B4379" t="s">
        <v>5845</v>
      </c>
      <c r="C4379" t="s">
        <v>5846</v>
      </c>
      <c r="D4379" t="str">
        <f>HYPERLINK("http://service.sap.com/sap/support/notes/973207","973207")</f>
        <v>973207</v>
      </c>
      <c r="E4379">
        <v>2</v>
      </c>
      <c r="F4379" t="s">
        <v>5848</v>
      </c>
    </row>
    <row r="4380" spans="1:6" x14ac:dyDescent="0.25">
      <c r="A4380" t="s">
        <v>4201</v>
      </c>
      <c r="B4380" t="s">
        <v>5849</v>
      </c>
      <c r="C4380" t="s">
        <v>5850</v>
      </c>
      <c r="D4380" t="str">
        <f>HYPERLINK("http://service.sap.com/sap/support/notes/774741","774741")</f>
        <v>774741</v>
      </c>
      <c r="E4380">
        <v>4</v>
      </c>
      <c r="F4380" t="s">
        <v>5851</v>
      </c>
    </row>
    <row r="4381" spans="1:6" x14ac:dyDescent="0.25">
      <c r="A4381" t="s">
        <v>4201</v>
      </c>
      <c r="B4381" t="s">
        <v>5852</v>
      </c>
      <c r="C4381" t="s">
        <v>5853</v>
      </c>
    </row>
    <row r="4382" spans="1:6" x14ac:dyDescent="0.25">
      <c r="A4382" t="s">
        <v>4201</v>
      </c>
      <c r="B4382" t="s">
        <v>5854</v>
      </c>
      <c r="C4382" t="s">
        <v>3564</v>
      </c>
      <c r="D4382" t="str">
        <f>HYPERLINK("http://service.sap.com/sap/support/notes/859123","859123")</f>
        <v>859123</v>
      </c>
      <c r="E4382">
        <v>2</v>
      </c>
      <c r="F4382" t="s">
        <v>5855</v>
      </c>
    </row>
    <row r="4383" spans="1:6" x14ac:dyDescent="0.25">
      <c r="A4383" t="s">
        <v>4201</v>
      </c>
      <c r="B4383" t="s">
        <v>5854</v>
      </c>
      <c r="C4383" t="s">
        <v>3564</v>
      </c>
      <c r="D4383" t="str">
        <f>HYPERLINK("http://service.sap.com/sap/support/notes/977563","977563")</f>
        <v>977563</v>
      </c>
      <c r="E4383">
        <v>2</v>
      </c>
      <c r="F4383" t="s">
        <v>5856</v>
      </c>
    </row>
    <row r="4384" spans="1:6" x14ac:dyDescent="0.25">
      <c r="A4384" t="s">
        <v>4201</v>
      </c>
      <c r="B4384" t="s">
        <v>5854</v>
      </c>
      <c r="C4384" t="s">
        <v>3564</v>
      </c>
      <c r="D4384" t="str">
        <f>HYPERLINK("http://service.sap.com/sap/support/notes/982133","982133")</f>
        <v>982133</v>
      </c>
      <c r="E4384">
        <v>3</v>
      </c>
      <c r="F4384" t="s">
        <v>5857</v>
      </c>
    </row>
    <row r="4385" spans="1:6" x14ac:dyDescent="0.25">
      <c r="A4385" t="s">
        <v>4201</v>
      </c>
      <c r="B4385" t="s">
        <v>5854</v>
      </c>
      <c r="C4385" t="s">
        <v>3564</v>
      </c>
      <c r="D4385" t="str">
        <f>HYPERLINK("http://service.sap.com/sap/support/notes/1023400","1023400")</f>
        <v>1023400</v>
      </c>
      <c r="E4385">
        <v>3</v>
      </c>
      <c r="F4385" t="s">
        <v>5858</v>
      </c>
    </row>
    <row r="4386" spans="1:6" x14ac:dyDescent="0.25">
      <c r="A4386" t="s">
        <v>4201</v>
      </c>
      <c r="B4386" t="s">
        <v>5854</v>
      </c>
      <c r="C4386" t="s">
        <v>3564</v>
      </c>
      <c r="D4386" t="str">
        <f>HYPERLINK("http://service.sap.com/sap/support/notes/1087608","1087608")</f>
        <v>1087608</v>
      </c>
      <c r="E4386">
        <v>3</v>
      </c>
      <c r="F4386" t="s">
        <v>5859</v>
      </c>
    </row>
    <row r="4387" spans="1:6" x14ac:dyDescent="0.25">
      <c r="A4387" t="s">
        <v>4201</v>
      </c>
      <c r="B4387" t="s">
        <v>3204</v>
      </c>
      <c r="C4387" t="s">
        <v>3205</v>
      </c>
      <c r="D4387" t="str">
        <f>HYPERLINK("http://service.sap.com/sap/support/notes/1796405","1796405")</f>
        <v>1796405</v>
      </c>
      <c r="E4387">
        <v>1</v>
      </c>
      <c r="F4387" t="s">
        <v>5860</v>
      </c>
    </row>
    <row r="4388" spans="1:6" x14ac:dyDescent="0.25">
      <c r="A4388" t="s">
        <v>4201</v>
      </c>
      <c r="B4388" t="s">
        <v>3204</v>
      </c>
      <c r="C4388" t="s">
        <v>3205</v>
      </c>
      <c r="D4388" t="str">
        <f>HYPERLINK("http://service.sap.com/sap/support/notes/1797619","1797619")</f>
        <v>1797619</v>
      </c>
      <c r="E4388">
        <v>2</v>
      </c>
      <c r="F4388" t="s">
        <v>5861</v>
      </c>
    </row>
    <row r="4389" spans="1:6" x14ac:dyDescent="0.25">
      <c r="A4389" t="s">
        <v>4201</v>
      </c>
      <c r="B4389" t="s">
        <v>5862</v>
      </c>
      <c r="C4389" t="s">
        <v>5863</v>
      </c>
      <c r="D4389" t="str">
        <f>HYPERLINK("http://service.sap.com/sap/support/notes/695394","695394")</f>
        <v>695394</v>
      </c>
      <c r="E4389">
        <v>2</v>
      </c>
      <c r="F4389" t="s">
        <v>5864</v>
      </c>
    </row>
    <row r="4390" spans="1:6" x14ac:dyDescent="0.25">
      <c r="A4390" t="s">
        <v>4201</v>
      </c>
      <c r="B4390" t="s">
        <v>5862</v>
      </c>
      <c r="C4390" t="s">
        <v>5863</v>
      </c>
      <c r="D4390" t="str">
        <f>HYPERLINK("http://service.sap.com/sap/support/notes/712057","712057")</f>
        <v>712057</v>
      </c>
      <c r="E4390">
        <v>2</v>
      </c>
      <c r="F4390" t="s">
        <v>5865</v>
      </c>
    </row>
    <row r="4391" spans="1:6" x14ac:dyDescent="0.25">
      <c r="A4391" t="s">
        <v>4201</v>
      </c>
      <c r="B4391" t="s">
        <v>5862</v>
      </c>
      <c r="C4391" t="s">
        <v>5863</v>
      </c>
      <c r="D4391" t="str">
        <f>HYPERLINK("http://service.sap.com/sap/support/notes/741682","741682")</f>
        <v>741682</v>
      </c>
      <c r="E4391">
        <v>3</v>
      </c>
      <c r="F4391" t="s">
        <v>5866</v>
      </c>
    </row>
    <row r="4392" spans="1:6" x14ac:dyDescent="0.25">
      <c r="A4392" t="s">
        <v>4201</v>
      </c>
      <c r="B4392" t="s">
        <v>3206</v>
      </c>
      <c r="C4392" t="s">
        <v>3207</v>
      </c>
      <c r="D4392" t="str">
        <f>HYPERLINK("http://service.sap.com/sap/support/notes/991805","991805")</f>
        <v>991805</v>
      </c>
      <c r="E4392">
        <v>2</v>
      </c>
      <c r="F4392" t="s">
        <v>5867</v>
      </c>
    </row>
    <row r="4393" spans="1:6" x14ac:dyDescent="0.25">
      <c r="A4393" t="s">
        <v>4201</v>
      </c>
      <c r="B4393" t="s">
        <v>3209</v>
      </c>
      <c r="C4393" t="s">
        <v>3210</v>
      </c>
      <c r="D4393" t="str">
        <f>HYPERLINK("http://service.sap.com/sap/support/notes/664441","664441")</f>
        <v>664441</v>
      </c>
      <c r="E4393">
        <v>2</v>
      </c>
      <c r="F4393" t="s">
        <v>5868</v>
      </c>
    </row>
    <row r="4394" spans="1:6" x14ac:dyDescent="0.25">
      <c r="A4394" t="s">
        <v>4201</v>
      </c>
      <c r="B4394" t="s">
        <v>3209</v>
      </c>
      <c r="C4394" t="s">
        <v>3210</v>
      </c>
      <c r="D4394" t="str">
        <f>HYPERLINK("http://service.sap.com/sap/support/notes/694664","694664")</f>
        <v>694664</v>
      </c>
      <c r="E4394">
        <v>2</v>
      </c>
      <c r="F4394" t="s">
        <v>5869</v>
      </c>
    </row>
    <row r="4395" spans="1:6" x14ac:dyDescent="0.25">
      <c r="A4395" t="s">
        <v>4201</v>
      </c>
      <c r="B4395" t="s">
        <v>3209</v>
      </c>
      <c r="C4395" t="s">
        <v>3210</v>
      </c>
      <c r="D4395" t="str">
        <f>HYPERLINK("http://service.sap.com/sap/support/notes/704508","704508")</f>
        <v>704508</v>
      </c>
      <c r="E4395">
        <v>2</v>
      </c>
      <c r="F4395" t="s">
        <v>5870</v>
      </c>
    </row>
    <row r="4396" spans="1:6" x14ac:dyDescent="0.25">
      <c r="A4396" t="s">
        <v>4201</v>
      </c>
      <c r="B4396" t="s">
        <v>3209</v>
      </c>
      <c r="C4396" t="s">
        <v>3210</v>
      </c>
      <c r="D4396" t="str">
        <f>HYPERLINK("http://service.sap.com/sap/support/notes/704509","704509")</f>
        <v>704509</v>
      </c>
      <c r="E4396">
        <v>2</v>
      </c>
      <c r="F4396" t="s">
        <v>5871</v>
      </c>
    </row>
    <row r="4397" spans="1:6" x14ac:dyDescent="0.25">
      <c r="A4397" t="s">
        <v>4201</v>
      </c>
      <c r="B4397" t="s">
        <v>3209</v>
      </c>
      <c r="C4397" t="s">
        <v>3210</v>
      </c>
      <c r="D4397" t="str">
        <f>HYPERLINK("http://service.sap.com/sap/support/notes/705865","705865")</f>
        <v>705865</v>
      </c>
      <c r="E4397">
        <v>2</v>
      </c>
      <c r="F4397" t="s">
        <v>5872</v>
      </c>
    </row>
    <row r="4398" spans="1:6" x14ac:dyDescent="0.25">
      <c r="A4398" t="s">
        <v>4201</v>
      </c>
      <c r="B4398" t="s">
        <v>3209</v>
      </c>
      <c r="C4398" t="s">
        <v>3210</v>
      </c>
      <c r="D4398" t="str">
        <f>HYPERLINK("http://service.sap.com/sap/support/notes/770975","770975")</f>
        <v>770975</v>
      </c>
      <c r="E4398">
        <v>2</v>
      </c>
      <c r="F4398" t="s">
        <v>5873</v>
      </c>
    </row>
    <row r="4399" spans="1:6" x14ac:dyDescent="0.25">
      <c r="A4399" t="s">
        <v>4201</v>
      </c>
      <c r="B4399" t="s">
        <v>3209</v>
      </c>
      <c r="C4399" t="s">
        <v>3210</v>
      </c>
      <c r="D4399" t="str">
        <f>HYPERLINK("http://service.sap.com/sap/support/notes/802360","802360")</f>
        <v>802360</v>
      </c>
      <c r="E4399">
        <v>3</v>
      </c>
      <c r="F4399" t="s">
        <v>5874</v>
      </c>
    </row>
    <row r="4400" spans="1:6" x14ac:dyDescent="0.25">
      <c r="A4400" t="s">
        <v>4201</v>
      </c>
      <c r="B4400" t="s">
        <v>3209</v>
      </c>
      <c r="C4400" t="s">
        <v>3210</v>
      </c>
      <c r="D4400" t="str">
        <f>HYPERLINK("http://service.sap.com/sap/support/notes/1131207","1131207")</f>
        <v>1131207</v>
      </c>
      <c r="E4400">
        <v>2</v>
      </c>
      <c r="F4400" t="s">
        <v>5875</v>
      </c>
    </row>
    <row r="4401" spans="1:6" x14ac:dyDescent="0.25">
      <c r="A4401" t="s">
        <v>4201</v>
      </c>
      <c r="B4401" t="s">
        <v>3215</v>
      </c>
      <c r="C4401" t="s">
        <v>3216</v>
      </c>
    </row>
    <row r="4402" spans="1:6" x14ac:dyDescent="0.25">
      <c r="A4402" t="s">
        <v>4201</v>
      </c>
      <c r="B4402" t="s">
        <v>3217</v>
      </c>
      <c r="C4402" t="s">
        <v>3218</v>
      </c>
    </row>
    <row r="4403" spans="1:6" x14ac:dyDescent="0.25">
      <c r="A4403" t="s">
        <v>4201</v>
      </c>
      <c r="B4403" t="s">
        <v>3219</v>
      </c>
      <c r="C4403" t="s">
        <v>3220</v>
      </c>
    </row>
    <row r="4404" spans="1:6" x14ac:dyDescent="0.25">
      <c r="A4404" t="s">
        <v>4201</v>
      </c>
      <c r="B4404" t="s">
        <v>5876</v>
      </c>
      <c r="C4404" t="s">
        <v>5877</v>
      </c>
      <c r="D4404" t="str">
        <f>HYPERLINK("http://service.sap.com/sap/support/notes/1749606","1749606")</f>
        <v>1749606</v>
      </c>
      <c r="E4404">
        <v>2</v>
      </c>
      <c r="F4404" t="s">
        <v>5878</v>
      </c>
    </row>
    <row r="4405" spans="1:6" x14ac:dyDescent="0.25">
      <c r="A4405" t="s">
        <v>4201</v>
      </c>
      <c r="B4405" t="s">
        <v>3231</v>
      </c>
      <c r="C4405" t="s">
        <v>1784</v>
      </c>
      <c r="D4405" t="str">
        <f>HYPERLINK("http://service.sap.com/sap/support/notes/1780669","1780669")</f>
        <v>1780669</v>
      </c>
      <c r="E4405">
        <v>1</v>
      </c>
      <c r="F4405" t="s">
        <v>5879</v>
      </c>
    </row>
    <row r="4406" spans="1:6" x14ac:dyDescent="0.25">
      <c r="A4406" t="s">
        <v>4201</v>
      </c>
      <c r="B4406" t="s">
        <v>3231</v>
      </c>
      <c r="C4406" t="s">
        <v>1784</v>
      </c>
      <c r="D4406" t="str">
        <f>HYPERLINK("http://service.sap.com/sap/support/notes/1786588","1786588")</f>
        <v>1786588</v>
      </c>
      <c r="E4406">
        <v>1</v>
      </c>
      <c r="F4406" t="s">
        <v>5880</v>
      </c>
    </row>
    <row r="4407" spans="1:6" x14ac:dyDescent="0.25">
      <c r="A4407" t="s">
        <v>4201</v>
      </c>
      <c r="B4407" t="s">
        <v>3231</v>
      </c>
      <c r="C4407" t="s">
        <v>1784</v>
      </c>
      <c r="D4407" t="str">
        <f>HYPERLINK("http://service.sap.com/sap/support/notes/1786847","1786847")</f>
        <v>1786847</v>
      </c>
      <c r="E4407">
        <v>1</v>
      </c>
      <c r="F4407" t="s">
        <v>5881</v>
      </c>
    </row>
    <row r="4408" spans="1:6" x14ac:dyDescent="0.25">
      <c r="A4408" t="s">
        <v>4201</v>
      </c>
      <c r="B4408" t="s">
        <v>3233</v>
      </c>
      <c r="C4408" t="s">
        <v>3234</v>
      </c>
    </row>
    <row r="4409" spans="1:6" x14ac:dyDescent="0.25">
      <c r="A4409" t="s">
        <v>4201</v>
      </c>
      <c r="B4409" t="s">
        <v>5882</v>
      </c>
      <c r="C4409" t="s">
        <v>1638</v>
      </c>
      <c r="D4409" t="str">
        <f>HYPERLINK("http://service.sap.com/sap/support/notes/1762125","1762125")</f>
        <v>1762125</v>
      </c>
      <c r="E4409">
        <v>2</v>
      </c>
      <c r="F4409" t="s">
        <v>5883</v>
      </c>
    </row>
    <row r="4410" spans="1:6" x14ac:dyDescent="0.25">
      <c r="A4410" t="s">
        <v>4201</v>
      </c>
      <c r="B4410" t="s">
        <v>5882</v>
      </c>
      <c r="C4410" t="s">
        <v>1638</v>
      </c>
      <c r="D4410" t="str">
        <f>HYPERLINK("http://service.sap.com/sap/support/notes/1783779","1783779")</f>
        <v>1783779</v>
      </c>
      <c r="E4410">
        <v>3</v>
      </c>
      <c r="F4410" t="s">
        <v>5884</v>
      </c>
    </row>
    <row r="4411" spans="1:6" x14ac:dyDescent="0.25">
      <c r="A4411" t="s">
        <v>4201</v>
      </c>
      <c r="B4411" t="s">
        <v>5882</v>
      </c>
      <c r="C4411" t="s">
        <v>1638</v>
      </c>
      <c r="D4411" t="str">
        <f>HYPERLINK("http://service.sap.com/sap/support/notes/1793284","1793284")</f>
        <v>1793284</v>
      </c>
      <c r="E4411">
        <v>1</v>
      </c>
      <c r="F4411" t="s">
        <v>5885</v>
      </c>
    </row>
    <row r="4412" spans="1:6" x14ac:dyDescent="0.25">
      <c r="A4412" t="s">
        <v>4201</v>
      </c>
      <c r="B4412" t="s">
        <v>3235</v>
      </c>
      <c r="C4412" t="s">
        <v>3236</v>
      </c>
      <c r="D4412" t="str">
        <f>HYPERLINK("http://service.sap.com/sap/support/notes/1762751","1762751")</f>
        <v>1762751</v>
      </c>
      <c r="E4412">
        <v>4</v>
      </c>
      <c r="F4412" t="s">
        <v>5886</v>
      </c>
    </row>
    <row r="4413" spans="1:6" x14ac:dyDescent="0.25">
      <c r="A4413" t="s">
        <v>4201</v>
      </c>
      <c r="B4413" t="s">
        <v>3235</v>
      </c>
      <c r="C4413" t="s">
        <v>3236</v>
      </c>
      <c r="D4413" t="str">
        <f>HYPERLINK("http://service.sap.com/sap/support/notes/1768475","1768475")</f>
        <v>1768475</v>
      </c>
      <c r="E4413">
        <v>2</v>
      </c>
      <c r="F4413" t="s">
        <v>5887</v>
      </c>
    </row>
    <row r="4414" spans="1:6" x14ac:dyDescent="0.25">
      <c r="A4414" t="s">
        <v>4201</v>
      </c>
      <c r="B4414" t="s">
        <v>3235</v>
      </c>
      <c r="C4414" t="s">
        <v>3236</v>
      </c>
      <c r="D4414" t="str">
        <f>HYPERLINK("http://service.sap.com/sap/support/notes/1791606","1791606")</f>
        <v>1791606</v>
      </c>
      <c r="E4414">
        <v>3</v>
      </c>
      <c r="F4414" t="s">
        <v>5888</v>
      </c>
    </row>
    <row r="4415" spans="1:6" x14ac:dyDescent="0.25">
      <c r="A4415" t="s">
        <v>4201</v>
      </c>
      <c r="B4415" t="s">
        <v>5889</v>
      </c>
      <c r="C4415" t="s">
        <v>5890</v>
      </c>
      <c r="D4415" t="str">
        <f>HYPERLINK("http://service.sap.com/sap/support/notes/1773566","1773566")</f>
        <v>1773566</v>
      </c>
      <c r="E4415">
        <v>2</v>
      </c>
      <c r="F4415" t="s">
        <v>5891</v>
      </c>
    </row>
    <row r="4416" spans="1:6" x14ac:dyDescent="0.25">
      <c r="A4416" t="s">
        <v>4201</v>
      </c>
      <c r="B4416" t="s">
        <v>3238</v>
      </c>
      <c r="C4416" t="s">
        <v>3239</v>
      </c>
      <c r="D4416" t="str">
        <f>HYPERLINK("http://service.sap.com/sap/support/notes/1781494","1781494")</f>
        <v>1781494</v>
      </c>
      <c r="E4416">
        <v>2</v>
      </c>
      <c r="F4416" t="s">
        <v>5892</v>
      </c>
    </row>
    <row r="4417" spans="1:6" x14ac:dyDescent="0.25">
      <c r="A4417" t="s">
        <v>4201</v>
      </c>
      <c r="B4417" t="s">
        <v>3241</v>
      </c>
      <c r="C4417" t="s">
        <v>3242</v>
      </c>
      <c r="D4417" t="str">
        <f>HYPERLINK("http://service.sap.com/sap/support/notes/1792638","1792638")</f>
        <v>1792638</v>
      </c>
      <c r="E4417">
        <v>1</v>
      </c>
      <c r="F4417" t="s">
        <v>5893</v>
      </c>
    </row>
    <row r="4418" spans="1:6" x14ac:dyDescent="0.25">
      <c r="A4418" t="s">
        <v>4201</v>
      </c>
      <c r="B4418" t="s">
        <v>3246</v>
      </c>
      <c r="C4418" t="s">
        <v>3247</v>
      </c>
      <c r="D4418" t="str">
        <f>HYPERLINK("http://service.sap.com/sap/support/notes/1732426","1732426")</f>
        <v>1732426</v>
      </c>
      <c r="E4418">
        <v>4</v>
      </c>
      <c r="F4418" t="s">
        <v>5894</v>
      </c>
    </row>
    <row r="4419" spans="1:6" x14ac:dyDescent="0.25">
      <c r="A4419" t="s">
        <v>4201</v>
      </c>
      <c r="B4419" t="s">
        <v>3251</v>
      </c>
      <c r="C4419" t="s">
        <v>29</v>
      </c>
    </row>
    <row r="4420" spans="1:6" x14ac:dyDescent="0.25">
      <c r="A4420" t="s">
        <v>4201</v>
      </c>
      <c r="B4420" t="s">
        <v>5895</v>
      </c>
      <c r="C4420" t="s">
        <v>5896</v>
      </c>
      <c r="D4420" t="str">
        <f>HYPERLINK("http://service.sap.com/sap/support/notes/1457502","1457502")</f>
        <v>1457502</v>
      </c>
      <c r="E4420">
        <v>7</v>
      </c>
      <c r="F4420" t="s">
        <v>5897</v>
      </c>
    </row>
    <row r="4421" spans="1:6" x14ac:dyDescent="0.25">
      <c r="A4421" t="s">
        <v>4201</v>
      </c>
      <c r="B4421" t="s">
        <v>5895</v>
      </c>
      <c r="C4421" t="s">
        <v>5896</v>
      </c>
      <c r="D4421" t="str">
        <f>HYPERLINK("http://service.sap.com/sap/support/notes/1782113","1782113")</f>
        <v>1782113</v>
      </c>
      <c r="E4421">
        <v>2</v>
      </c>
      <c r="F4421" t="s">
        <v>5898</v>
      </c>
    </row>
    <row r="4422" spans="1:6" x14ac:dyDescent="0.25">
      <c r="A4422" t="s">
        <v>4201</v>
      </c>
      <c r="B4422" t="s">
        <v>5895</v>
      </c>
      <c r="C4422" t="s">
        <v>5896</v>
      </c>
      <c r="D4422" t="str">
        <f>HYPERLINK("http://service.sap.com/sap/support/notes/1787870","1787870")</f>
        <v>1787870</v>
      </c>
      <c r="E4422">
        <v>3</v>
      </c>
      <c r="F4422" t="s">
        <v>5899</v>
      </c>
    </row>
    <row r="4423" spans="1:6" x14ac:dyDescent="0.25">
      <c r="A4423" t="s">
        <v>4201</v>
      </c>
      <c r="B4423" t="s">
        <v>3252</v>
      </c>
      <c r="C4423" t="s">
        <v>3253</v>
      </c>
      <c r="D4423" t="str">
        <f>HYPERLINK("http://service.sap.com/sap/support/notes/1769313","1769313")</f>
        <v>1769313</v>
      </c>
      <c r="E4423">
        <v>2</v>
      </c>
      <c r="F4423" t="s">
        <v>5900</v>
      </c>
    </row>
    <row r="4424" spans="1:6" x14ac:dyDescent="0.25">
      <c r="A4424" t="s">
        <v>4201</v>
      </c>
      <c r="B4424" t="s">
        <v>3252</v>
      </c>
      <c r="C4424" t="s">
        <v>3253</v>
      </c>
      <c r="D4424" t="str">
        <f>HYPERLINK("http://service.sap.com/sap/support/notes/1772077","1772077")</f>
        <v>1772077</v>
      </c>
      <c r="E4424">
        <v>3</v>
      </c>
      <c r="F4424" t="s">
        <v>5901</v>
      </c>
    </row>
    <row r="4425" spans="1:6" x14ac:dyDescent="0.25">
      <c r="A4425" t="s">
        <v>4201</v>
      </c>
      <c r="B4425" t="s">
        <v>3252</v>
      </c>
      <c r="C4425" t="s">
        <v>3253</v>
      </c>
      <c r="D4425" t="str">
        <f>HYPERLINK("http://service.sap.com/sap/support/notes/1775285","1775285")</f>
        <v>1775285</v>
      </c>
      <c r="E4425">
        <v>1</v>
      </c>
      <c r="F4425" t="s">
        <v>5902</v>
      </c>
    </row>
    <row r="4426" spans="1:6" x14ac:dyDescent="0.25">
      <c r="A4426" t="s">
        <v>4201</v>
      </c>
      <c r="B4426" t="s">
        <v>3252</v>
      </c>
      <c r="C4426" t="s">
        <v>3253</v>
      </c>
      <c r="D4426" t="str">
        <f>HYPERLINK("http://service.sap.com/sap/support/notes/1775709","1775709")</f>
        <v>1775709</v>
      </c>
      <c r="E4426">
        <v>2</v>
      </c>
      <c r="F4426" t="s">
        <v>5903</v>
      </c>
    </row>
    <row r="4427" spans="1:6" x14ac:dyDescent="0.25">
      <c r="A4427" t="s">
        <v>4201</v>
      </c>
      <c r="B4427" t="s">
        <v>3252</v>
      </c>
      <c r="C4427" t="s">
        <v>3253</v>
      </c>
      <c r="D4427" t="str">
        <f>HYPERLINK("http://service.sap.com/sap/support/notes/1779446","1779446")</f>
        <v>1779446</v>
      </c>
      <c r="E4427">
        <v>1</v>
      </c>
      <c r="F4427" t="s">
        <v>5904</v>
      </c>
    </row>
    <row r="4428" spans="1:6" x14ac:dyDescent="0.25">
      <c r="A4428" t="s">
        <v>4201</v>
      </c>
      <c r="B4428" t="s">
        <v>3252</v>
      </c>
      <c r="C4428" t="s">
        <v>3253</v>
      </c>
      <c r="D4428" t="str">
        <f>HYPERLINK("http://service.sap.com/sap/support/notes/1784019","1784019")</f>
        <v>1784019</v>
      </c>
      <c r="E4428">
        <v>2</v>
      </c>
      <c r="F4428" t="s">
        <v>5905</v>
      </c>
    </row>
    <row r="4429" spans="1:6" x14ac:dyDescent="0.25">
      <c r="A4429" t="s">
        <v>4201</v>
      </c>
      <c r="B4429" t="s">
        <v>3252</v>
      </c>
      <c r="C4429" t="s">
        <v>3253</v>
      </c>
      <c r="D4429" t="str">
        <f>HYPERLINK("http://service.sap.com/sap/support/notes/1786644","1786644")</f>
        <v>1786644</v>
      </c>
      <c r="E4429">
        <v>1</v>
      </c>
      <c r="F4429" t="s">
        <v>5906</v>
      </c>
    </row>
    <row r="4430" spans="1:6" x14ac:dyDescent="0.25">
      <c r="A4430" t="s">
        <v>4201</v>
      </c>
      <c r="B4430" t="s">
        <v>3252</v>
      </c>
      <c r="C4430" t="s">
        <v>3253</v>
      </c>
      <c r="D4430" t="str">
        <f>HYPERLINK("http://service.sap.com/sap/support/notes/1789483","1789483")</f>
        <v>1789483</v>
      </c>
      <c r="E4430">
        <v>3</v>
      </c>
      <c r="F4430" t="s">
        <v>5907</v>
      </c>
    </row>
    <row r="4431" spans="1:6" x14ac:dyDescent="0.25">
      <c r="A4431" t="s">
        <v>4201</v>
      </c>
      <c r="B4431" t="s">
        <v>3252</v>
      </c>
      <c r="C4431" t="s">
        <v>3253</v>
      </c>
      <c r="D4431" t="str">
        <f>HYPERLINK("http://service.sap.com/sap/support/notes/1790898","1790898")</f>
        <v>1790898</v>
      </c>
      <c r="E4431">
        <v>1</v>
      </c>
      <c r="F4431" t="s">
        <v>5908</v>
      </c>
    </row>
    <row r="4432" spans="1:6" x14ac:dyDescent="0.25">
      <c r="A4432" t="s">
        <v>4201</v>
      </c>
      <c r="B4432" t="s">
        <v>3252</v>
      </c>
      <c r="C4432" t="s">
        <v>3253</v>
      </c>
      <c r="D4432" t="str">
        <f>HYPERLINK("http://service.sap.com/sap/support/notes/1791461","1791461")</f>
        <v>1791461</v>
      </c>
      <c r="E4432">
        <v>2</v>
      </c>
      <c r="F4432" t="s">
        <v>5909</v>
      </c>
    </row>
    <row r="4433" spans="1:6" x14ac:dyDescent="0.25">
      <c r="A4433" t="s">
        <v>4201</v>
      </c>
      <c r="B4433" t="s">
        <v>3252</v>
      </c>
      <c r="C4433" t="s">
        <v>3253</v>
      </c>
      <c r="D4433" t="str">
        <f>HYPERLINK("http://service.sap.com/sap/support/notes/1794028","1794028")</f>
        <v>1794028</v>
      </c>
      <c r="E4433">
        <v>1</v>
      </c>
      <c r="F4433" t="s">
        <v>5910</v>
      </c>
    </row>
    <row r="4434" spans="1:6" x14ac:dyDescent="0.25">
      <c r="A4434" t="s">
        <v>4201</v>
      </c>
      <c r="B4434" t="s">
        <v>3252</v>
      </c>
      <c r="C4434" t="s">
        <v>3253</v>
      </c>
      <c r="D4434" t="str">
        <f>HYPERLINK("http://service.sap.com/sap/support/notes/1796147","1796147")</f>
        <v>1796147</v>
      </c>
      <c r="E4434">
        <v>1</v>
      </c>
      <c r="F4434" t="s">
        <v>5911</v>
      </c>
    </row>
    <row r="4435" spans="1:6" x14ac:dyDescent="0.25">
      <c r="A4435" t="s">
        <v>4201</v>
      </c>
      <c r="B4435" t="s">
        <v>3252</v>
      </c>
      <c r="C4435" t="s">
        <v>3253</v>
      </c>
      <c r="D4435" t="str">
        <f>HYPERLINK("http://service.sap.com/sap/support/notes/1796466","1796466")</f>
        <v>1796466</v>
      </c>
      <c r="E4435">
        <v>1</v>
      </c>
      <c r="F4435" t="s">
        <v>5912</v>
      </c>
    </row>
    <row r="4436" spans="1:6" x14ac:dyDescent="0.25">
      <c r="A4436" t="s">
        <v>4201</v>
      </c>
      <c r="B4436" t="s">
        <v>3252</v>
      </c>
      <c r="C4436" t="s">
        <v>3253</v>
      </c>
      <c r="D4436" t="str">
        <f>HYPERLINK("http://service.sap.com/sap/support/notes/1796793","1796793")</f>
        <v>1796793</v>
      </c>
      <c r="E4436">
        <v>3</v>
      </c>
      <c r="F4436" t="s">
        <v>5913</v>
      </c>
    </row>
    <row r="4437" spans="1:6" x14ac:dyDescent="0.25">
      <c r="A4437" t="s">
        <v>4201</v>
      </c>
      <c r="B4437" t="s">
        <v>5914</v>
      </c>
      <c r="C4437" t="s">
        <v>5915</v>
      </c>
      <c r="D4437" t="str">
        <f>HYPERLINK("http://service.sap.com/sap/support/notes/1735732","1735732")</f>
        <v>1735732</v>
      </c>
      <c r="E4437">
        <v>3</v>
      </c>
      <c r="F4437" t="s">
        <v>5916</v>
      </c>
    </row>
    <row r="4438" spans="1:6" x14ac:dyDescent="0.25">
      <c r="A4438" t="s">
        <v>4201</v>
      </c>
      <c r="B4438" t="s">
        <v>5917</v>
      </c>
      <c r="C4438" t="s">
        <v>5918</v>
      </c>
      <c r="D4438" t="str">
        <f>HYPERLINK("http://service.sap.com/sap/support/notes/1788449","1788449")</f>
        <v>1788449</v>
      </c>
      <c r="E4438">
        <v>4</v>
      </c>
      <c r="F4438" t="s">
        <v>5919</v>
      </c>
    </row>
    <row r="4439" spans="1:6" x14ac:dyDescent="0.25">
      <c r="A4439" t="s">
        <v>4201</v>
      </c>
      <c r="B4439" t="s">
        <v>3270</v>
      </c>
      <c r="C4439" t="s">
        <v>3271</v>
      </c>
      <c r="D4439" t="str">
        <f>HYPERLINK("http://service.sap.com/sap/support/notes/1741984","1741984")</f>
        <v>1741984</v>
      </c>
      <c r="E4439">
        <v>3</v>
      </c>
      <c r="F4439" t="s">
        <v>5920</v>
      </c>
    </row>
    <row r="4440" spans="1:6" x14ac:dyDescent="0.25">
      <c r="A4440" t="s">
        <v>4201</v>
      </c>
      <c r="B4440" t="s">
        <v>3270</v>
      </c>
      <c r="C4440" t="s">
        <v>3271</v>
      </c>
      <c r="D4440" t="str">
        <f>HYPERLINK("http://service.sap.com/sap/support/notes/1771727","1771727")</f>
        <v>1771727</v>
      </c>
      <c r="E4440">
        <v>2</v>
      </c>
      <c r="F4440" t="s">
        <v>5921</v>
      </c>
    </row>
    <row r="4441" spans="1:6" x14ac:dyDescent="0.25">
      <c r="A4441" t="s">
        <v>4201</v>
      </c>
      <c r="B4441" t="s">
        <v>3273</v>
      </c>
      <c r="C4441" t="s">
        <v>3274</v>
      </c>
      <c r="D4441" t="str">
        <f>HYPERLINK("http://service.sap.com/sap/support/notes/1701593","1701593")</f>
        <v>1701593</v>
      </c>
      <c r="E4441">
        <v>2</v>
      </c>
      <c r="F4441" t="s">
        <v>3277</v>
      </c>
    </row>
    <row r="4442" spans="1:6" x14ac:dyDescent="0.25">
      <c r="A4442" t="s">
        <v>4201</v>
      </c>
      <c r="B4442" t="s">
        <v>3273</v>
      </c>
      <c r="C4442" t="s">
        <v>3274</v>
      </c>
      <c r="D4442" t="str">
        <f>HYPERLINK("http://service.sap.com/sap/support/notes/1756027","1756027")</f>
        <v>1756027</v>
      </c>
      <c r="E4442">
        <v>4</v>
      </c>
      <c r="F4442" t="s">
        <v>5922</v>
      </c>
    </row>
    <row r="4443" spans="1:6" x14ac:dyDescent="0.25">
      <c r="A4443" t="s">
        <v>4201</v>
      </c>
      <c r="B4443" t="s">
        <v>3273</v>
      </c>
      <c r="C4443" t="s">
        <v>3274</v>
      </c>
      <c r="D4443" t="str">
        <f>HYPERLINK("http://service.sap.com/sap/support/notes/1762330","1762330")</f>
        <v>1762330</v>
      </c>
      <c r="E4443">
        <v>3</v>
      </c>
      <c r="F4443" t="s">
        <v>5923</v>
      </c>
    </row>
    <row r="4444" spans="1:6" x14ac:dyDescent="0.25">
      <c r="A4444" t="s">
        <v>4201</v>
      </c>
      <c r="B4444" t="s">
        <v>3273</v>
      </c>
      <c r="C4444" t="s">
        <v>3274</v>
      </c>
      <c r="D4444" t="str">
        <f>HYPERLINK("http://service.sap.com/sap/support/notes/1765323","1765323")</f>
        <v>1765323</v>
      </c>
      <c r="E4444">
        <v>4</v>
      </c>
      <c r="F4444" t="s">
        <v>5924</v>
      </c>
    </row>
    <row r="4445" spans="1:6" x14ac:dyDescent="0.25">
      <c r="A4445" t="s">
        <v>4201</v>
      </c>
      <c r="B4445" t="s">
        <v>3273</v>
      </c>
      <c r="C4445" t="s">
        <v>3274</v>
      </c>
      <c r="D4445" t="str">
        <f>HYPERLINK("http://service.sap.com/sap/support/notes/1772422","1772422")</f>
        <v>1772422</v>
      </c>
      <c r="E4445">
        <v>2</v>
      </c>
      <c r="F4445" t="s">
        <v>5925</v>
      </c>
    </row>
    <row r="4446" spans="1:6" x14ac:dyDescent="0.25">
      <c r="A4446" t="s">
        <v>4201</v>
      </c>
      <c r="B4446" t="s">
        <v>5926</v>
      </c>
      <c r="C4446" t="s">
        <v>2277</v>
      </c>
      <c r="D4446" t="str">
        <f>HYPERLINK("http://service.sap.com/sap/support/notes/1760511","1760511")</f>
        <v>1760511</v>
      </c>
      <c r="E4446">
        <v>2</v>
      </c>
      <c r="F4446" t="s">
        <v>5927</v>
      </c>
    </row>
    <row r="4447" spans="1:6" x14ac:dyDescent="0.25">
      <c r="A4447" t="s">
        <v>4201</v>
      </c>
      <c r="B4447" t="s">
        <v>3289</v>
      </c>
      <c r="C4447" t="s">
        <v>1878</v>
      </c>
      <c r="D4447" t="str">
        <f>HYPERLINK("http://service.sap.com/sap/support/notes/1720257","1720257")</f>
        <v>1720257</v>
      </c>
      <c r="E4447">
        <v>9</v>
      </c>
      <c r="F4447" t="s">
        <v>5928</v>
      </c>
    </row>
    <row r="4448" spans="1:6" x14ac:dyDescent="0.25">
      <c r="A4448" t="s">
        <v>4201</v>
      </c>
      <c r="B4448" t="s">
        <v>5929</v>
      </c>
      <c r="C4448" t="s">
        <v>5930</v>
      </c>
    </row>
    <row r="4449" spans="1:6" x14ac:dyDescent="0.25">
      <c r="A4449" t="s">
        <v>4201</v>
      </c>
      <c r="B4449" t="s">
        <v>5931</v>
      </c>
      <c r="C4449" t="s">
        <v>5932</v>
      </c>
      <c r="D4449" t="str">
        <f>HYPERLINK("http://service.sap.com/sap/support/notes/1746849","1746849")</f>
        <v>1746849</v>
      </c>
      <c r="E4449">
        <v>3</v>
      </c>
      <c r="F4449" t="s">
        <v>5933</v>
      </c>
    </row>
    <row r="4450" spans="1:6" x14ac:dyDescent="0.25">
      <c r="A4450" t="s">
        <v>4201</v>
      </c>
      <c r="B4450" t="s">
        <v>5934</v>
      </c>
      <c r="C4450" t="s">
        <v>5935</v>
      </c>
    </row>
    <row r="4451" spans="1:6" x14ac:dyDescent="0.25">
      <c r="A4451" t="s">
        <v>4201</v>
      </c>
      <c r="B4451" t="s">
        <v>5936</v>
      </c>
      <c r="C4451" t="s">
        <v>5937</v>
      </c>
      <c r="D4451" t="str">
        <f>HYPERLINK("http://service.sap.com/sap/support/notes/1772360","1772360")</f>
        <v>1772360</v>
      </c>
      <c r="E4451">
        <v>3</v>
      </c>
      <c r="F4451" t="s">
        <v>5938</v>
      </c>
    </row>
    <row r="4452" spans="1:6" x14ac:dyDescent="0.25">
      <c r="A4452" t="s">
        <v>4201</v>
      </c>
      <c r="B4452" t="s">
        <v>3301</v>
      </c>
      <c r="C4452" t="s">
        <v>3302</v>
      </c>
    </row>
    <row r="4453" spans="1:6" x14ac:dyDescent="0.25">
      <c r="A4453" t="s">
        <v>4201</v>
      </c>
      <c r="B4453" t="s">
        <v>3303</v>
      </c>
      <c r="C4453" t="s">
        <v>3304</v>
      </c>
      <c r="D4453" t="str">
        <f>HYPERLINK("http://service.sap.com/sap/support/notes/1756202","1756202")</f>
        <v>1756202</v>
      </c>
      <c r="E4453">
        <v>2</v>
      </c>
      <c r="F4453" t="s">
        <v>5939</v>
      </c>
    </row>
    <row r="4454" spans="1:6" x14ac:dyDescent="0.25">
      <c r="A4454" t="s">
        <v>4201</v>
      </c>
      <c r="B4454" t="s">
        <v>3303</v>
      </c>
      <c r="C4454" t="s">
        <v>3304</v>
      </c>
      <c r="D4454" t="str">
        <f>HYPERLINK("http://service.sap.com/sap/support/notes/1761314","1761314")</f>
        <v>1761314</v>
      </c>
      <c r="E4454">
        <v>1</v>
      </c>
      <c r="F4454" t="s">
        <v>5940</v>
      </c>
    </row>
    <row r="4455" spans="1:6" x14ac:dyDescent="0.25">
      <c r="A4455" t="s">
        <v>4201</v>
      </c>
      <c r="B4455" t="s">
        <v>3303</v>
      </c>
      <c r="C4455" t="s">
        <v>3304</v>
      </c>
      <c r="D4455" t="str">
        <f>HYPERLINK("http://service.sap.com/sap/support/notes/1764545","1764545")</f>
        <v>1764545</v>
      </c>
      <c r="E4455">
        <v>3</v>
      </c>
      <c r="F4455" t="s">
        <v>3317</v>
      </c>
    </row>
    <row r="4456" spans="1:6" x14ac:dyDescent="0.25">
      <c r="A4456" t="s">
        <v>4201</v>
      </c>
      <c r="B4456" t="s">
        <v>3303</v>
      </c>
      <c r="C4456" t="s">
        <v>3304</v>
      </c>
      <c r="D4456" t="str">
        <f>HYPERLINK("http://service.sap.com/sap/support/notes/1766956","1766956")</f>
        <v>1766956</v>
      </c>
      <c r="E4456">
        <v>3</v>
      </c>
      <c r="F4456" t="s">
        <v>5941</v>
      </c>
    </row>
    <row r="4457" spans="1:6" x14ac:dyDescent="0.25">
      <c r="A4457" t="s">
        <v>4201</v>
      </c>
      <c r="B4457" t="s">
        <v>3303</v>
      </c>
      <c r="C4457" t="s">
        <v>3304</v>
      </c>
      <c r="D4457" t="str">
        <f>HYPERLINK("http://service.sap.com/sap/support/notes/1767486","1767486")</f>
        <v>1767486</v>
      </c>
      <c r="E4457">
        <v>1</v>
      </c>
      <c r="F4457" t="s">
        <v>5942</v>
      </c>
    </row>
    <row r="4458" spans="1:6" x14ac:dyDescent="0.25">
      <c r="A4458" t="s">
        <v>4201</v>
      </c>
      <c r="B4458" t="s">
        <v>3303</v>
      </c>
      <c r="C4458" t="s">
        <v>3304</v>
      </c>
      <c r="D4458" t="str">
        <f>HYPERLINK("http://service.sap.com/sap/support/notes/1774211","1774211")</f>
        <v>1774211</v>
      </c>
      <c r="E4458">
        <v>2</v>
      </c>
      <c r="F4458" t="s">
        <v>5943</v>
      </c>
    </row>
    <row r="4459" spans="1:6" x14ac:dyDescent="0.25">
      <c r="A4459" t="s">
        <v>4201</v>
      </c>
      <c r="B4459" t="s">
        <v>3303</v>
      </c>
      <c r="C4459" t="s">
        <v>3304</v>
      </c>
      <c r="D4459" t="str">
        <f>HYPERLINK("http://service.sap.com/sap/support/notes/1776255","1776255")</f>
        <v>1776255</v>
      </c>
      <c r="E4459">
        <v>2</v>
      </c>
      <c r="F4459" t="s">
        <v>5944</v>
      </c>
    </row>
    <row r="4460" spans="1:6" x14ac:dyDescent="0.25">
      <c r="A4460" t="s">
        <v>4201</v>
      </c>
      <c r="B4460" t="s">
        <v>3303</v>
      </c>
      <c r="C4460" t="s">
        <v>3304</v>
      </c>
      <c r="D4460" t="str">
        <f>HYPERLINK("http://service.sap.com/sap/support/notes/1779975","1779975")</f>
        <v>1779975</v>
      </c>
      <c r="E4460">
        <v>1</v>
      </c>
      <c r="F4460" t="s">
        <v>5945</v>
      </c>
    </row>
    <row r="4461" spans="1:6" x14ac:dyDescent="0.25">
      <c r="A4461" t="s">
        <v>4201</v>
      </c>
      <c r="B4461" t="s">
        <v>3303</v>
      </c>
      <c r="C4461" t="s">
        <v>3304</v>
      </c>
      <c r="D4461" t="str">
        <f>HYPERLINK("http://service.sap.com/sap/support/notes/1782811","1782811")</f>
        <v>1782811</v>
      </c>
      <c r="E4461">
        <v>1</v>
      </c>
      <c r="F4461" t="s">
        <v>5946</v>
      </c>
    </row>
    <row r="4462" spans="1:6" x14ac:dyDescent="0.25">
      <c r="A4462" t="s">
        <v>4201</v>
      </c>
      <c r="B4462" t="s">
        <v>3303</v>
      </c>
      <c r="C4462" t="s">
        <v>3304</v>
      </c>
      <c r="D4462" t="str">
        <f>HYPERLINK("http://service.sap.com/sap/support/notes/1783931","1783931")</f>
        <v>1783931</v>
      </c>
      <c r="E4462">
        <v>3</v>
      </c>
      <c r="F4462" t="s">
        <v>5947</v>
      </c>
    </row>
    <row r="4463" spans="1:6" x14ac:dyDescent="0.25">
      <c r="A4463" t="s">
        <v>4201</v>
      </c>
      <c r="B4463" t="s">
        <v>3303</v>
      </c>
      <c r="C4463" t="s">
        <v>3304</v>
      </c>
      <c r="D4463" t="str">
        <f>HYPERLINK("http://service.sap.com/sap/support/notes/1786520","1786520")</f>
        <v>1786520</v>
      </c>
      <c r="E4463">
        <v>1</v>
      </c>
      <c r="F4463" t="s">
        <v>5948</v>
      </c>
    </row>
    <row r="4464" spans="1:6" x14ac:dyDescent="0.25">
      <c r="A4464" t="s">
        <v>4201</v>
      </c>
      <c r="B4464" t="s">
        <v>3303</v>
      </c>
      <c r="C4464" t="s">
        <v>3304</v>
      </c>
      <c r="D4464" t="str">
        <f>HYPERLINK("http://service.sap.com/sap/support/notes/1790762","1790762")</f>
        <v>1790762</v>
      </c>
      <c r="E4464">
        <v>3</v>
      </c>
      <c r="F4464" t="s">
        <v>5949</v>
      </c>
    </row>
    <row r="4465" spans="1:6" x14ac:dyDescent="0.25">
      <c r="A4465" t="s">
        <v>4201</v>
      </c>
      <c r="B4465" t="s">
        <v>5950</v>
      </c>
      <c r="C4465" t="s">
        <v>5951</v>
      </c>
      <c r="D4465" t="str">
        <f>HYPERLINK("http://service.sap.com/sap/support/notes/1784851","1784851")</f>
        <v>1784851</v>
      </c>
      <c r="E4465">
        <v>3</v>
      </c>
      <c r="F4465" t="s">
        <v>5952</v>
      </c>
    </row>
    <row r="4466" spans="1:6" x14ac:dyDescent="0.25">
      <c r="A4466" t="s">
        <v>4201</v>
      </c>
      <c r="B4466" t="s">
        <v>5953</v>
      </c>
      <c r="C4466" t="s">
        <v>700</v>
      </c>
      <c r="D4466" t="str">
        <f>HYPERLINK("http://service.sap.com/sap/support/notes/1755037","1755037")</f>
        <v>1755037</v>
      </c>
      <c r="E4466">
        <v>1</v>
      </c>
      <c r="F4466" t="s">
        <v>5954</v>
      </c>
    </row>
    <row r="4467" spans="1:6" x14ac:dyDescent="0.25">
      <c r="A4467" t="s">
        <v>4201</v>
      </c>
      <c r="B4467" t="s">
        <v>3322</v>
      </c>
      <c r="C4467" t="s">
        <v>3323</v>
      </c>
    </row>
    <row r="4468" spans="1:6" x14ac:dyDescent="0.25">
      <c r="A4468" t="s">
        <v>4201</v>
      </c>
      <c r="B4468" t="s">
        <v>3324</v>
      </c>
      <c r="C4468" t="s">
        <v>3325</v>
      </c>
      <c r="D4468" t="str">
        <f>HYPERLINK("http://service.sap.com/sap/support/notes/1771210","1771210")</f>
        <v>1771210</v>
      </c>
      <c r="E4468">
        <v>2</v>
      </c>
      <c r="F4468" t="s">
        <v>5955</v>
      </c>
    </row>
    <row r="4469" spans="1:6" x14ac:dyDescent="0.25">
      <c r="A4469" t="s">
        <v>4201</v>
      </c>
      <c r="B4469" t="s">
        <v>3324</v>
      </c>
      <c r="C4469" t="s">
        <v>3325</v>
      </c>
      <c r="D4469" t="str">
        <f>HYPERLINK("http://service.sap.com/sap/support/notes/1781938","1781938")</f>
        <v>1781938</v>
      </c>
      <c r="E4469">
        <v>1</v>
      </c>
      <c r="F4469" t="s">
        <v>5956</v>
      </c>
    </row>
    <row r="4470" spans="1:6" x14ac:dyDescent="0.25">
      <c r="A4470" t="s">
        <v>4201</v>
      </c>
      <c r="B4470" t="s">
        <v>3324</v>
      </c>
      <c r="C4470" t="s">
        <v>3325</v>
      </c>
      <c r="D4470" t="str">
        <f>HYPERLINK("http://service.sap.com/sap/support/notes/1782074","1782074")</f>
        <v>1782074</v>
      </c>
      <c r="E4470">
        <v>2</v>
      </c>
      <c r="F4470" t="s">
        <v>5957</v>
      </c>
    </row>
    <row r="4471" spans="1:6" x14ac:dyDescent="0.25">
      <c r="A4471" t="s">
        <v>4201</v>
      </c>
      <c r="B4471" t="s">
        <v>3324</v>
      </c>
      <c r="C4471" t="s">
        <v>3325</v>
      </c>
      <c r="D4471" t="str">
        <f>HYPERLINK("http://service.sap.com/sap/support/notes/1792030","1792030")</f>
        <v>1792030</v>
      </c>
      <c r="E4471">
        <v>1</v>
      </c>
      <c r="F4471" t="s">
        <v>5958</v>
      </c>
    </row>
    <row r="4472" spans="1:6" x14ac:dyDescent="0.25">
      <c r="A4472" t="s">
        <v>4201</v>
      </c>
      <c r="B4472" t="s">
        <v>3324</v>
      </c>
      <c r="C4472" t="s">
        <v>3325</v>
      </c>
      <c r="D4472" t="str">
        <f>HYPERLINK("http://service.sap.com/sap/support/notes/1794913","1794913")</f>
        <v>1794913</v>
      </c>
      <c r="E4472">
        <v>3</v>
      </c>
      <c r="F4472" t="s">
        <v>5959</v>
      </c>
    </row>
    <row r="4473" spans="1:6" x14ac:dyDescent="0.25">
      <c r="A4473" t="s">
        <v>4201</v>
      </c>
      <c r="B4473" t="s">
        <v>3324</v>
      </c>
      <c r="C4473" t="s">
        <v>3325</v>
      </c>
      <c r="D4473" t="str">
        <f>HYPERLINK("http://service.sap.com/sap/support/notes/1795907","1795907")</f>
        <v>1795907</v>
      </c>
      <c r="E4473">
        <v>2</v>
      </c>
      <c r="F4473" t="s">
        <v>5960</v>
      </c>
    </row>
    <row r="4474" spans="1:6" x14ac:dyDescent="0.25">
      <c r="A4474" t="s">
        <v>4201</v>
      </c>
      <c r="B4474" t="s">
        <v>3341</v>
      </c>
      <c r="C4474" t="s">
        <v>3342</v>
      </c>
    </row>
    <row r="4475" spans="1:6" x14ac:dyDescent="0.25">
      <c r="A4475" t="s">
        <v>4201</v>
      </c>
      <c r="B4475" t="s">
        <v>3343</v>
      </c>
      <c r="C4475" t="s">
        <v>151</v>
      </c>
    </row>
    <row r="4476" spans="1:6" x14ac:dyDescent="0.25">
      <c r="A4476" t="s">
        <v>4201</v>
      </c>
      <c r="B4476" t="s">
        <v>3344</v>
      </c>
      <c r="C4476" t="s">
        <v>621</v>
      </c>
      <c r="D4476" t="str">
        <f>HYPERLINK("http://service.sap.com/sap/support/notes/1768301","1768301")</f>
        <v>1768301</v>
      </c>
      <c r="E4476">
        <v>3</v>
      </c>
      <c r="F4476" t="s">
        <v>5961</v>
      </c>
    </row>
    <row r="4477" spans="1:6" x14ac:dyDescent="0.25">
      <c r="A4477" t="s">
        <v>4201</v>
      </c>
      <c r="B4477" t="s">
        <v>3344</v>
      </c>
      <c r="C4477" t="s">
        <v>621</v>
      </c>
      <c r="D4477" t="str">
        <f>HYPERLINK("http://service.sap.com/sap/support/notes/1769343","1769343")</f>
        <v>1769343</v>
      </c>
      <c r="E4477">
        <v>2</v>
      </c>
      <c r="F4477" t="s">
        <v>5962</v>
      </c>
    </row>
    <row r="4478" spans="1:6" x14ac:dyDescent="0.25">
      <c r="A4478" t="s">
        <v>4201</v>
      </c>
      <c r="B4478" t="s">
        <v>3344</v>
      </c>
      <c r="C4478" t="s">
        <v>621</v>
      </c>
      <c r="D4478" t="str">
        <f>HYPERLINK("http://service.sap.com/sap/support/notes/1785892","1785892")</f>
        <v>1785892</v>
      </c>
      <c r="E4478">
        <v>3</v>
      </c>
      <c r="F4478" t="s">
        <v>5963</v>
      </c>
    </row>
    <row r="4479" spans="1:6" x14ac:dyDescent="0.25">
      <c r="A4479" t="s">
        <v>4201</v>
      </c>
      <c r="B4479" t="s">
        <v>3354</v>
      </c>
      <c r="C4479" t="s">
        <v>3226</v>
      </c>
      <c r="D4479" t="str">
        <f>HYPERLINK("http://service.sap.com/sap/support/notes/727943","727943")</f>
        <v>727943</v>
      </c>
      <c r="E4479">
        <v>6</v>
      </c>
      <c r="F4479" t="s">
        <v>5964</v>
      </c>
    </row>
    <row r="4480" spans="1:6" x14ac:dyDescent="0.25">
      <c r="A4480" t="s">
        <v>4201</v>
      </c>
      <c r="B4480" t="s">
        <v>3354</v>
      </c>
      <c r="C4480" t="s">
        <v>3226</v>
      </c>
      <c r="D4480" t="str">
        <f>HYPERLINK("http://service.sap.com/sap/support/notes/1770063","1770063")</f>
        <v>1770063</v>
      </c>
      <c r="E4480">
        <v>2</v>
      </c>
      <c r="F4480" t="s">
        <v>5965</v>
      </c>
    </row>
    <row r="4481" spans="1:6" x14ac:dyDescent="0.25">
      <c r="A4481" t="s">
        <v>4201</v>
      </c>
      <c r="B4481" t="s">
        <v>5966</v>
      </c>
      <c r="C4481" t="s">
        <v>5967</v>
      </c>
      <c r="D4481" t="str">
        <f>HYPERLINK("http://service.sap.com/sap/support/notes/1766163","1766163")</f>
        <v>1766163</v>
      </c>
      <c r="E4481">
        <v>6</v>
      </c>
      <c r="F4481" t="s">
        <v>5968</v>
      </c>
    </row>
    <row r="4482" spans="1:6" x14ac:dyDescent="0.25">
      <c r="A4482" t="s">
        <v>4201</v>
      </c>
      <c r="B4482" t="s">
        <v>5966</v>
      </c>
      <c r="C4482" t="s">
        <v>5967</v>
      </c>
      <c r="D4482" t="str">
        <f>HYPERLINK("http://service.sap.com/sap/support/notes/1794973","1794973")</f>
        <v>1794973</v>
      </c>
      <c r="E4482">
        <v>1</v>
      </c>
      <c r="F4482" t="s">
        <v>5969</v>
      </c>
    </row>
    <row r="4483" spans="1:6" x14ac:dyDescent="0.25">
      <c r="A4483" t="s">
        <v>4201</v>
      </c>
      <c r="B4483" t="s">
        <v>5970</v>
      </c>
      <c r="C4483" t="s">
        <v>5971</v>
      </c>
      <c r="D4483" t="str">
        <f>HYPERLINK("http://service.sap.com/sap/support/notes/1768813","1768813")</f>
        <v>1768813</v>
      </c>
      <c r="E4483">
        <v>3</v>
      </c>
      <c r="F4483" t="s">
        <v>5972</v>
      </c>
    </row>
    <row r="4484" spans="1:6" x14ac:dyDescent="0.25">
      <c r="A4484" t="s">
        <v>4201</v>
      </c>
      <c r="B4484" t="s">
        <v>5970</v>
      </c>
      <c r="C4484" t="s">
        <v>5971</v>
      </c>
      <c r="D4484" t="str">
        <f>HYPERLINK("http://service.sap.com/sap/support/notes/1770949","1770949")</f>
        <v>1770949</v>
      </c>
      <c r="E4484">
        <v>2</v>
      </c>
      <c r="F4484" t="s">
        <v>5973</v>
      </c>
    </row>
    <row r="4485" spans="1:6" x14ac:dyDescent="0.25">
      <c r="A4485" t="s">
        <v>4201</v>
      </c>
      <c r="B4485" t="s">
        <v>5970</v>
      </c>
      <c r="C4485" t="s">
        <v>5971</v>
      </c>
      <c r="D4485" t="str">
        <f>HYPERLINK("http://service.sap.com/sap/support/notes/1771355","1771355")</f>
        <v>1771355</v>
      </c>
      <c r="E4485">
        <v>1</v>
      </c>
      <c r="F4485" t="s">
        <v>5974</v>
      </c>
    </row>
    <row r="4486" spans="1:6" x14ac:dyDescent="0.25">
      <c r="A4486" t="s">
        <v>4201</v>
      </c>
      <c r="B4486" t="s">
        <v>5970</v>
      </c>
      <c r="C4486" t="s">
        <v>5971</v>
      </c>
      <c r="D4486" t="str">
        <f>HYPERLINK("http://service.sap.com/sap/support/notes/1794942","1794942")</f>
        <v>1794942</v>
      </c>
      <c r="E4486">
        <v>2</v>
      </c>
      <c r="F4486" t="s">
        <v>5975</v>
      </c>
    </row>
    <row r="4487" spans="1:6" x14ac:dyDescent="0.25">
      <c r="A4487" t="s">
        <v>4201</v>
      </c>
      <c r="B4487" t="s">
        <v>5970</v>
      </c>
      <c r="C4487" t="s">
        <v>5971</v>
      </c>
      <c r="D4487" t="str">
        <f>HYPERLINK("http://service.sap.com/sap/support/notes/1795856","1795856")</f>
        <v>1795856</v>
      </c>
      <c r="E4487">
        <v>2</v>
      </c>
      <c r="F4487" t="s">
        <v>5976</v>
      </c>
    </row>
    <row r="4488" spans="1:6" x14ac:dyDescent="0.25">
      <c r="A4488" t="s">
        <v>4201</v>
      </c>
      <c r="B4488" t="s">
        <v>5977</v>
      </c>
      <c r="C4488" t="s">
        <v>5978</v>
      </c>
      <c r="D4488" t="str">
        <f>HYPERLINK("http://service.sap.com/sap/support/notes/1771593","1771593")</f>
        <v>1771593</v>
      </c>
      <c r="E4488">
        <v>1</v>
      </c>
      <c r="F4488" t="s">
        <v>5979</v>
      </c>
    </row>
    <row r="4489" spans="1:6" x14ac:dyDescent="0.25">
      <c r="A4489" t="s">
        <v>4201</v>
      </c>
      <c r="B4489" t="s">
        <v>3369</v>
      </c>
      <c r="C4489" t="s">
        <v>3370</v>
      </c>
      <c r="D4489" t="str">
        <f>HYPERLINK("http://service.sap.com/sap/support/notes/1771293","1771293")</f>
        <v>1771293</v>
      </c>
      <c r="E4489">
        <v>3</v>
      </c>
      <c r="F4489" t="s">
        <v>5980</v>
      </c>
    </row>
    <row r="4490" spans="1:6" x14ac:dyDescent="0.25">
      <c r="A4490" t="s">
        <v>4201</v>
      </c>
      <c r="B4490" t="s">
        <v>3369</v>
      </c>
      <c r="C4490" t="s">
        <v>3370</v>
      </c>
      <c r="D4490" t="str">
        <f>HYPERLINK("http://service.sap.com/sap/support/notes/1776268","1776268")</f>
        <v>1776268</v>
      </c>
      <c r="E4490">
        <v>1</v>
      </c>
      <c r="F4490" t="s">
        <v>5981</v>
      </c>
    </row>
    <row r="4491" spans="1:6" x14ac:dyDescent="0.25">
      <c r="A4491" t="s">
        <v>4201</v>
      </c>
      <c r="B4491" t="s">
        <v>3369</v>
      </c>
      <c r="C4491" t="s">
        <v>3370</v>
      </c>
      <c r="D4491" t="str">
        <f>HYPERLINK("http://service.sap.com/sap/support/notes/1783309","1783309")</f>
        <v>1783309</v>
      </c>
      <c r="E4491">
        <v>1</v>
      </c>
      <c r="F4491" t="s">
        <v>5982</v>
      </c>
    </row>
    <row r="4492" spans="1:6" x14ac:dyDescent="0.25">
      <c r="A4492" t="s">
        <v>4201</v>
      </c>
      <c r="B4492" t="s">
        <v>3369</v>
      </c>
      <c r="C4492" t="s">
        <v>3370</v>
      </c>
      <c r="D4492" t="str">
        <f>HYPERLINK("http://service.sap.com/sap/support/notes/1784545","1784545")</f>
        <v>1784545</v>
      </c>
      <c r="E4492">
        <v>1</v>
      </c>
      <c r="F4492" t="s">
        <v>5983</v>
      </c>
    </row>
    <row r="4493" spans="1:6" x14ac:dyDescent="0.25">
      <c r="A4493" t="s">
        <v>4201</v>
      </c>
      <c r="B4493" t="s">
        <v>5984</v>
      </c>
      <c r="C4493" t="s">
        <v>5089</v>
      </c>
      <c r="D4493" t="str">
        <f>HYPERLINK("http://service.sap.com/sap/support/notes/1762515","1762515")</f>
        <v>1762515</v>
      </c>
      <c r="E4493">
        <v>3</v>
      </c>
      <c r="F4493" t="s">
        <v>5985</v>
      </c>
    </row>
    <row r="4494" spans="1:6" x14ac:dyDescent="0.25">
      <c r="A4494" t="s">
        <v>4201</v>
      </c>
      <c r="B4494" t="s">
        <v>5984</v>
      </c>
      <c r="C4494" t="s">
        <v>5089</v>
      </c>
      <c r="D4494" t="str">
        <f>HYPERLINK("http://service.sap.com/sap/support/notes/1775968","1775968")</f>
        <v>1775968</v>
      </c>
      <c r="E4494">
        <v>4</v>
      </c>
      <c r="F4494" t="s">
        <v>5986</v>
      </c>
    </row>
    <row r="4495" spans="1:6" x14ac:dyDescent="0.25">
      <c r="A4495" t="s">
        <v>4201</v>
      </c>
      <c r="B4495" t="s">
        <v>3378</v>
      </c>
      <c r="C4495" t="s">
        <v>48</v>
      </c>
      <c r="D4495" t="str">
        <f>HYPERLINK("http://service.sap.com/sap/support/notes/1752826","1752826")</f>
        <v>1752826</v>
      </c>
      <c r="E4495">
        <v>3</v>
      </c>
      <c r="F4495" t="s">
        <v>5987</v>
      </c>
    </row>
    <row r="4496" spans="1:6" x14ac:dyDescent="0.25">
      <c r="A4496" t="s">
        <v>4201</v>
      </c>
      <c r="B4496" t="s">
        <v>3378</v>
      </c>
      <c r="C4496" t="s">
        <v>48</v>
      </c>
      <c r="D4496" t="str">
        <f>HYPERLINK("http://service.sap.com/sap/support/notes/1789783","1789783")</f>
        <v>1789783</v>
      </c>
      <c r="E4496">
        <v>1</v>
      </c>
      <c r="F4496" t="s">
        <v>5988</v>
      </c>
    </row>
    <row r="4497" spans="1:6" x14ac:dyDescent="0.25">
      <c r="A4497" t="s">
        <v>4201</v>
      </c>
      <c r="B4497" t="s">
        <v>3380</v>
      </c>
      <c r="C4497" t="s">
        <v>3381</v>
      </c>
      <c r="D4497" t="str">
        <f>HYPERLINK("http://service.sap.com/sap/support/notes/1782557","1782557")</f>
        <v>1782557</v>
      </c>
      <c r="E4497">
        <v>1</v>
      </c>
      <c r="F4497" t="s">
        <v>5989</v>
      </c>
    </row>
    <row r="4498" spans="1:6" x14ac:dyDescent="0.25">
      <c r="A4498" t="s">
        <v>4201</v>
      </c>
      <c r="B4498" t="s">
        <v>3387</v>
      </c>
      <c r="C4498" t="s">
        <v>612</v>
      </c>
    </row>
    <row r="4499" spans="1:6" x14ac:dyDescent="0.25">
      <c r="A4499" t="s">
        <v>4201</v>
      </c>
      <c r="B4499" t="s">
        <v>3401</v>
      </c>
      <c r="C4499" t="s">
        <v>3402</v>
      </c>
      <c r="D4499" t="str">
        <f>HYPERLINK("http://service.sap.com/sap/support/notes/1679421","1679421")</f>
        <v>1679421</v>
      </c>
      <c r="E4499">
        <v>4</v>
      </c>
      <c r="F4499" t="s">
        <v>5990</v>
      </c>
    </row>
    <row r="4500" spans="1:6" x14ac:dyDescent="0.25">
      <c r="A4500" t="s">
        <v>4201</v>
      </c>
      <c r="B4500" t="s">
        <v>3401</v>
      </c>
      <c r="C4500" t="s">
        <v>3402</v>
      </c>
      <c r="D4500" t="str">
        <f>HYPERLINK("http://service.sap.com/sap/support/notes/1751912","1751912")</f>
        <v>1751912</v>
      </c>
      <c r="E4500">
        <v>2</v>
      </c>
      <c r="F4500" t="s">
        <v>5991</v>
      </c>
    </row>
    <row r="4501" spans="1:6" x14ac:dyDescent="0.25">
      <c r="A4501" t="s">
        <v>4201</v>
      </c>
      <c r="B4501" t="s">
        <v>3401</v>
      </c>
      <c r="C4501" t="s">
        <v>3402</v>
      </c>
      <c r="D4501" t="str">
        <f>HYPERLINK("http://service.sap.com/sap/support/notes/1752300","1752300")</f>
        <v>1752300</v>
      </c>
      <c r="E4501">
        <v>2</v>
      </c>
      <c r="F4501" t="s">
        <v>5992</v>
      </c>
    </row>
    <row r="4502" spans="1:6" x14ac:dyDescent="0.25">
      <c r="A4502" t="s">
        <v>4201</v>
      </c>
      <c r="B4502" t="s">
        <v>3401</v>
      </c>
      <c r="C4502" t="s">
        <v>3402</v>
      </c>
      <c r="D4502" t="str">
        <f>HYPERLINK("http://service.sap.com/sap/support/notes/1769673","1769673")</f>
        <v>1769673</v>
      </c>
      <c r="E4502">
        <v>2</v>
      </c>
      <c r="F4502" t="s">
        <v>5993</v>
      </c>
    </row>
    <row r="4503" spans="1:6" x14ac:dyDescent="0.25">
      <c r="A4503" t="s">
        <v>4201</v>
      </c>
      <c r="B4503" t="s">
        <v>3401</v>
      </c>
      <c r="C4503" t="s">
        <v>3402</v>
      </c>
      <c r="D4503" t="str">
        <f>HYPERLINK("http://service.sap.com/sap/support/notes/1782585","1782585")</f>
        <v>1782585</v>
      </c>
      <c r="E4503">
        <v>4</v>
      </c>
      <c r="F4503" t="s">
        <v>5994</v>
      </c>
    </row>
    <row r="4504" spans="1:6" x14ac:dyDescent="0.25">
      <c r="A4504" t="s">
        <v>4201</v>
      </c>
      <c r="B4504" t="s">
        <v>5995</v>
      </c>
      <c r="C4504" t="s">
        <v>5996</v>
      </c>
      <c r="D4504" t="str">
        <f>HYPERLINK("http://service.sap.com/sap/support/notes/1784621","1784621")</f>
        <v>1784621</v>
      </c>
      <c r="E4504">
        <v>2</v>
      </c>
      <c r="F4504" t="s">
        <v>5997</v>
      </c>
    </row>
    <row r="4505" spans="1:6" x14ac:dyDescent="0.25">
      <c r="A4505" t="s">
        <v>4201</v>
      </c>
      <c r="B4505" t="s">
        <v>5995</v>
      </c>
      <c r="C4505" t="s">
        <v>5996</v>
      </c>
      <c r="D4505" t="str">
        <f>HYPERLINK("http://service.sap.com/sap/support/notes/1785662","1785662")</f>
        <v>1785662</v>
      </c>
      <c r="E4505">
        <v>1</v>
      </c>
      <c r="F4505" t="s">
        <v>5998</v>
      </c>
    </row>
    <row r="4506" spans="1:6" x14ac:dyDescent="0.25">
      <c r="A4506" t="s">
        <v>4201</v>
      </c>
      <c r="B4506" t="s">
        <v>5995</v>
      </c>
      <c r="C4506" t="s">
        <v>5996</v>
      </c>
      <c r="D4506" t="str">
        <f>HYPERLINK("http://service.sap.com/sap/support/notes/1788483","1788483")</f>
        <v>1788483</v>
      </c>
      <c r="E4506">
        <v>3</v>
      </c>
      <c r="F4506" t="s">
        <v>5999</v>
      </c>
    </row>
    <row r="4507" spans="1:6" x14ac:dyDescent="0.25">
      <c r="A4507" t="s">
        <v>4201</v>
      </c>
      <c r="B4507" t="s">
        <v>5995</v>
      </c>
      <c r="C4507" t="s">
        <v>5996</v>
      </c>
      <c r="D4507" t="str">
        <f>HYPERLINK("http://service.sap.com/sap/support/notes/1794620","1794620")</f>
        <v>1794620</v>
      </c>
      <c r="E4507">
        <v>3</v>
      </c>
      <c r="F4507" t="s">
        <v>6000</v>
      </c>
    </row>
    <row r="4508" spans="1:6" x14ac:dyDescent="0.25">
      <c r="A4508" t="s">
        <v>4201</v>
      </c>
      <c r="B4508" t="s">
        <v>3413</v>
      </c>
      <c r="C4508" t="s">
        <v>3414</v>
      </c>
      <c r="D4508" t="str">
        <f>HYPERLINK("http://service.sap.com/sap/support/notes/1779430","1779430")</f>
        <v>1779430</v>
      </c>
      <c r="E4508">
        <v>1</v>
      </c>
      <c r="F4508" t="s">
        <v>6001</v>
      </c>
    </row>
    <row r="4509" spans="1:6" x14ac:dyDescent="0.25">
      <c r="A4509" t="s">
        <v>4201</v>
      </c>
      <c r="B4509" t="s">
        <v>3418</v>
      </c>
      <c r="C4509" t="s">
        <v>3419</v>
      </c>
      <c r="D4509" t="str">
        <f>HYPERLINK("http://service.sap.com/sap/support/notes/1522812","1522812")</f>
        <v>1522812</v>
      </c>
      <c r="E4509">
        <v>5</v>
      </c>
      <c r="F4509" t="s">
        <v>6002</v>
      </c>
    </row>
    <row r="4510" spans="1:6" x14ac:dyDescent="0.25">
      <c r="A4510" t="s">
        <v>4201</v>
      </c>
      <c r="B4510" t="s">
        <v>3418</v>
      </c>
      <c r="C4510" t="s">
        <v>3419</v>
      </c>
      <c r="D4510" t="str">
        <f>HYPERLINK("http://service.sap.com/sap/support/notes/1633944","1633944")</f>
        <v>1633944</v>
      </c>
      <c r="E4510">
        <v>4</v>
      </c>
      <c r="F4510" t="s">
        <v>6003</v>
      </c>
    </row>
    <row r="4511" spans="1:6" x14ac:dyDescent="0.25">
      <c r="A4511" t="s">
        <v>4201</v>
      </c>
      <c r="B4511" t="s">
        <v>3420</v>
      </c>
      <c r="C4511" t="s">
        <v>3421</v>
      </c>
      <c r="D4511" t="str">
        <f>HYPERLINK("http://service.sap.com/sap/support/notes/1759663","1759663")</f>
        <v>1759663</v>
      </c>
      <c r="E4511">
        <v>3</v>
      </c>
      <c r="F4511" t="s">
        <v>6004</v>
      </c>
    </row>
    <row r="4512" spans="1:6" x14ac:dyDescent="0.25">
      <c r="A4512" t="s">
        <v>4201</v>
      </c>
      <c r="B4512" t="s">
        <v>3420</v>
      </c>
      <c r="C4512" t="s">
        <v>3421</v>
      </c>
      <c r="D4512" t="str">
        <f>HYPERLINK("http://service.sap.com/sap/support/notes/1768418","1768418")</f>
        <v>1768418</v>
      </c>
      <c r="E4512">
        <v>2</v>
      </c>
      <c r="F4512" t="s">
        <v>6005</v>
      </c>
    </row>
    <row r="4513" spans="1:6" x14ac:dyDescent="0.25">
      <c r="A4513" t="s">
        <v>4201</v>
      </c>
      <c r="B4513" t="s">
        <v>3423</v>
      </c>
      <c r="C4513" t="s">
        <v>3424</v>
      </c>
      <c r="D4513" t="str">
        <f>HYPERLINK("http://service.sap.com/sap/support/notes/1752423","1752423")</f>
        <v>1752423</v>
      </c>
      <c r="E4513">
        <v>2</v>
      </c>
      <c r="F4513" t="s">
        <v>6006</v>
      </c>
    </row>
    <row r="4514" spans="1:6" x14ac:dyDescent="0.25">
      <c r="A4514" t="s">
        <v>4201</v>
      </c>
      <c r="B4514" t="s">
        <v>3423</v>
      </c>
      <c r="C4514" t="s">
        <v>3424</v>
      </c>
      <c r="D4514" t="str">
        <f>HYPERLINK("http://service.sap.com/sap/support/notes/1757990","1757990")</f>
        <v>1757990</v>
      </c>
      <c r="E4514">
        <v>3</v>
      </c>
      <c r="F4514" t="s">
        <v>6007</v>
      </c>
    </row>
    <row r="4515" spans="1:6" x14ac:dyDescent="0.25">
      <c r="A4515" t="s">
        <v>4201</v>
      </c>
      <c r="B4515" t="s">
        <v>3423</v>
      </c>
      <c r="C4515" t="s">
        <v>3424</v>
      </c>
      <c r="D4515" t="str">
        <f>HYPERLINK("http://service.sap.com/sap/support/notes/1761699","1761699")</f>
        <v>1761699</v>
      </c>
      <c r="E4515">
        <v>4</v>
      </c>
      <c r="F4515" t="s">
        <v>6008</v>
      </c>
    </row>
    <row r="4516" spans="1:6" x14ac:dyDescent="0.25">
      <c r="A4516" t="s">
        <v>4201</v>
      </c>
      <c r="B4516" t="s">
        <v>3423</v>
      </c>
      <c r="C4516" t="s">
        <v>3424</v>
      </c>
      <c r="D4516" t="str">
        <f>HYPERLINK("http://service.sap.com/sap/support/notes/1768225","1768225")</f>
        <v>1768225</v>
      </c>
      <c r="E4516">
        <v>6</v>
      </c>
      <c r="F4516" t="s">
        <v>6009</v>
      </c>
    </row>
    <row r="4517" spans="1:6" x14ac:dyDescent="0.25">
      <c r="A4517" t="s">
        <v>4201</v>
      </c>
      <c r="B4517" t="s">
        <v>3423</v>
      </c>
      <c r="C4517" t="s">
        <v>3424</v>
      </c>
      <c r="D4517" t="str">
        <f>HYPERLINK("http://service.sap.com/sap/support/notes/1770166","1770166")</f>
        <v>1770166</v>
      </c>
      <c r="E4517">
        <v>3</v>
      </c>
      <c r="F4517" t="s">
        <v>6010</v>
      </c>
    </row>
    <row r="4518" spans="1:6" x14ac:dyDescent="0.25">
      <c r="A4518" t="s">
        <v>4201</v>
      </c>
      <c r="B4518" t="s">
        <v>3434</v>
      </c>
      <c r="C4518" t="s">
        <v>3435</v>
      </c>
      <c r="D4518" t="str">
        <f>HYPERLINK("http://service.sap.com/sap/support/notes/1787759","1787759")</f>
        <v>1787759</v>
      </c>
    </row>
    <row r="4519" spans="1:6" x14ac:dyDescent="0.25">
      <c r="A4519" t="s">
        <v>4201</v>
      </c>
      <c r="B4519" t="s">
        <v>6011</v>
      </c>
      <c r="C4519" t="s">
        <v>6012</v>
      </c>
      <c r="D4519" t="str">
        <f>HYPERLINK("http://service.sap.com/sap/support/notes/1792603","1792603")</f>
        <v>1792603</v>
      </c>
      <c r="E4519">
        <v>1</v>
      </c>
      <c r="F4519" t="s">
        <v>6013</v>
      </c>
    </row>
    <row r="4520" spans="1:6" x14ac:dyDescent="0.25">
      <c r="A4520" t="s">
        <v>4201</v>
      </c>
      <c r="B4520" t="s">
        <v>3439</v>
      </c>
      <c r="C4520" t="s">
        <v>3440</v>
      </c>
    </row>
    <row r="4521" spans="1:6" x14ac:dyDescent="0.25">
      <c r="A4521" t="s">
        <v>4201</v>
      </c>
      <c r="B4521" t="s">
        <v>3441</v>
      </c>
      <c r="C4521" t="s">
        <v>3442</v>
      </c>
    </row>
    <row r="4522" spans="1:6" x14ac:dyDescent="0.25">
      <c r="A4522" t="s">
        <v>4201</v>
      </c>
      <c r="B4522" t="s">
        <v>3443</v>
      </c>
      <c r="C4522" t="s">
        <v>3444</v>
      </c>
      <c r="D4522" t="str">
        <f>HYPERLINK("http://service.sap.com/sap/support/notes/1766604","1766604")</f>
        <v>1766604</v>
      </c>
      <c r="E4522">
        <v>5</v>
      </c>
      <c r="F4522" t="s">
        <v>6014</v>
      </c>
    </row>
    <row r="4523" spans="1:6" x14ac:dyDescent="0.25">
      <c r="A4523" t="s">
        <v>4201</v>
      </c>
      <c r="B4523" t="s">
        <v>3447</v>
      </c>
      <c r="C4523" t="s">
        <v>2205</v>
      </c>
    </row>
    <row r="4524" spans="1:6" x14ac:dyDescent="0.25">
      <c r="A4524" t="s">
        <v>4201</v>
      </c>
      <c r="B4524" t="s">
        <v>3455</v>
      </c>
      <c r="C4524" t="s">
        <v>2207</v>
      </c>
      <c r="D4524" t="str">
        <f>HYPERLINK("http://service.sap.com/sap/support/notes/1769818","1769818")</f>
        <v>1769818</v>
      </c>
      <c r="E4524">
        <v>5</v>
      </c>
      <c r="F4524" t="s">
        <v>6015</v>
      </c>
    </row>
    <row r="4525" spans="1:6" x14ac:dyDescent="0.25">
      <c r="A4525" t="s">
        <v>4201</v>
      </c>
      <c r="B4525" t="s">
        <v>3455</v>
      </c>
      <c r="C4525" t="s">
        <v>2207</v>
      </c>
      <c r="D4525" t="str">
        <f>HYPERLINK("http://service.sap.com/sap/support/notes/1771397","1771397")</f>
        <v>1771397</v>
      </c>
      <c r="E4525">
        <v>3</v>
      </c>
      <c r="F4525" t="s">
        <v>6016</v>
      </c>
    </row>
    <row r="4526" spans="1:6" x14ac:dyDescent="0.25">
      <c r="A4526" t="s">
        <v>4201</v>
      </c>
      <c r="B4526" t="s">
        <v>3455</v>
      </c>
      <c r="C4526" t="s">
        <v>2207</v>
      </c>
      <c r="D4526" t="str">
        <f>HYPERLINK("http://service.sap.com/sap/support/notes/1793992","1793992")</f>
        <v>1793992</v>
      </c>
    </row>
    <row r="4527" spans="1:6" x14ac:dyDescent="0.25">
      <c r="A4527" t="s">
        <v>4201</v>
      </c>
      <c r="B4527" t="s">
        <v>3464</v>
      </c>
      <c r="C4527" t="s">
        <v>3465</v>
      </c>
      <c r="D4527" t="str">
        <f>HYPERLINK("http://service.sap.com/sap/support/notes/1769366","1769366")</f>
        <v>1769366</v>
      </c>
      <c r="E4527">
        <v>3</v>
      </c>
      <c r="F4527" t="s">
        <v>6017</v>
      </c>
    </row>
    <row r="4528" spans="1:6" x14ac:dyDescent="0.25">
      <c r="A4528" t="s">
        <v>4201</v>
      </c>
      <c r="B4528" t="s">
        <v>3467</v>
      </c>
      <c r="C4528" t="s">
        <v>151</v>
      </c>
      <c r="D4528" t="str">
        <f>HYPERLINK("http://service.sap.com/sap/support/notes/1779171","1779171")</f>
        <v>1779171</v>
      </c>
      <c r="E4528">
        <v>5</v>
      </c>
      <c r="F4528" t="s">
        <v>6018</v>
      </c>
    </row>
    <row r="4529" spans="1:6" x14ac:dyDescent="0.25">
      <c r="A4529" t="s">
        <v>4201</v>
      </c>
      <c r="B4529" t="s">
        <v>3471</v>
      </c>
      <c r="C4529" t="s">
        <v>29</v>
      </c>
    </row>
    <row r="4530" spans="1:6" x14ac:dyDescent="0.25">
      <c r="A4530" t="s">
        <v>4201</v>
      </c>
      <c r="B4530" t="s">
        <v>3481</v>
      </c>
      <c r="C4530" t="s">
        <v>3482</v>
      </c>
      <c r="D4530" t="str">
        <f>HYPERLINK("http://service.sap.com/sap/support/notes/1717218","1717218")</f>
        <v>1717218</v>
      </c>
      <c r="E4530">
        <v>4</v>
      </c>
      <c r="F4530" t="s">
        <v>46</v>
      </c>
    </row>
    <row r="4531" spans="1:6" x14ac:dyDescent="0.25">
      <c r="A4531" t="s">
        <v>4201</v>
      </c>
      <c r="B4531" t="s">
        <v>3481</v>
      </c>
      <c r="C4531" t="s">
        <v>3482</v>
      </c>
      <c r="D4531" t="str">
        <f>HYPERLINK("http://service.sap.com/sap/support/notes/1734321","1734321")</f>
        <v>1734321</v>
      </c>
      <c r="E4531">
        <v>2</v>
      </c>
      <c r="F4531" t="s">
        <v>6019</v>
      </c>
    </row>
    <row r="4532" spans="1:6" x14ac:dyDescent="0.25">
      <c r="A4532" t="s">
        <v>4201</v>
      </c>
      <c r="B4532" t="s">
        <v>3495</v>
      </c>
      <c r="C4532" t="s">
        <v>3496</v>
      </c>
    </row>
    <row r="4533" spans="1:6" x14ac:dyDescent="0.25">
      <c r="A4533" t="s">
        <v>4201</v>
      </c>
      <c r="B4533" t="s">
        <v>3497</v>
      </c>
      <c r="C4533" t="s">
        <v>1925</v>
      </c>
      <c r="D4533" t="str">
        <f>HYPERLINK("http://service.sap.com/sap/support/notes/1732119","1732119")</f>
        <v>1732119</v>
      </c>
      <c r="E4533">
        <v>6</v>
      </c>
      <c r="F4533" t="s">
        <v>6020</v>
      </c>
    </row>
    <row r="4534" spans="1:6" x14ac:dyDescent="0.25">
      <c r="A4534" t="s">
        <v>4201</v>
      </c>
      <c r="B4534" t="s">
        <v>6021</v>
      </c>
      <c r="C4534" t="s">
        <v>6022</v>
      </c>
      <c r="D4534" t="str">
        <f>HYPERLINK("http://service.sap.com/sap/support/notes/1786836","1786836")</f>
        <v>1786836</v>
      </c>
      <c r="E4534">
        <v>1</v>
      </c>
      <c r="F4534" t="s">
        <v>6023</v>
      </c>
    </row>
    <row r="4535" spans="1:6" x14ac:dyDescent="0.25">
      <c r="A4535" t="s">
        <v>4201</v>
      </c>
      <c r="B4535" t="s">
        <v>3499</v>
      </c>
      <c r="C4535" t="s">
        <v>1878</v>
      </c>
      <c r="D4535" t="str">
        <f>HYPERLINK("http://service.sap.com/sap/support/notes/1686227","1686227")</f>
        <v>1686227</v>
      </c>
      <c r="E4535">
        <v>1</v>
      </c>
      <c r="F4535" t="s">
        <v>6024</v>
      </c>
    </row>
    <row r="4536" spans="1:6" x14ac:dyDescent="0.25">
      <c r="A4536" t="s">
        <v>4201</v>
      </c>
      <c r="B4536" t="s">
        <v>3499</v>
      </c>
      <c r="C4536" t="s">
        <v>1878</v>
      </c>
      <c r="D4536" t="str">
        <f>HYPERLINK("http://service.sap.com/sap/support/notes/1749942","1749942")</f>
        <v>1749942</v>
      </c>
      <c r="E4536">
        <v>2</v>
      </c>
      <c r="F4536" t="s">
        <v>6025</v>
      </c>
    </row>
    <row r="4537" spans="1:6" x14ac:dyDescent="0.25">
      <c r="A4537" t="s">
        <v>4201</v>
      </c>
      <c r="B4537" t="s">
        <v>3499</v>
      </c>
      <c r="C4537" t="s">
        <v>1878</v>
      </c>
      <c r="D4537" t="str">
        <f>HYPERLINK("http://service.sap.com/sap/support/notes/1767982","1767982")</f>
        <v>1767982</v>
      </c>
      <c r="E4537">
        <v>2</v>
      </c>
      <c r="F4537" t="s">
        <v>6026</v>
      </c>
    </row>
    <row r="4538" spans="1:6" x14ac:dyDescent="0.25">
      <c r="A4538" t="s">
        <v>4201</v>
      </c>
      <c r="B4538" t="s">
        <v>3499</v>
      </c>
      <c r="C4538" t="s">
        <v>1878</v>
      </c>
      <c r="D4538" t="str">
        <f>HYPERLINK("http://service.sap.com/sap/support/notes/1774527","1774527")</f>
        <v>1774527</v>
      </c>
      <c r="E4538">
        <v>1</v>
      </c>
      <c r="F4538" t="s">
        <v>6027</v>
      </c>
    </row>
    <row r="4539" spans="1:6" x14ac:dyDescent="0.25">
      <c r="A4539" t="s">
        <v>4201</v>
      </c>
      <c r="B4539" t="s">
        <v>3499</v>
      </c>
      <c r="C4539" t="s">
        <v>1878</v>
      </c>
      <c r="D4539" t="str">
        <f>HYPERLINK("http://service.sap.com/sap/support/notes/1775684","1775684")</f>
        <v>1775684</v>
      </c>
      <c r="E4539">
        <v>1</v>
      </c>
      <c r="F4539" t="s">
        <v>6028</v>
      </c>
    </row>
    <row r="4540" spans="1:6" x14ac:dyDescent="0.25">
      <c r="A4540" t="s">
        <v>4201</v>
      </c>
      <c r="B4540" t="s">
        <v>3499</v>
      </c>
      <c r="C4540" t="s">
        <v>1878</v>
      </c>
      <c r="D4540" t="str">
        <f>HYPERLINK("http://service.sap.com/sap/support/notes/1780679","1780679")</f>
        <v>1780679</v>
      </c>
      <c r="E4540">
        <v>1</v>
      </c>
      <c r="F4540" t="s">
        <v>6029</v>
      </c>
    </row>
    <row r="4541" spans="1:6" x14ac:dyDescent="0.25">
      <c r="A4541" t="s">
        <v>4201</v>
      </c>
      <c r="B4541" t="s">
        <v>3499</v>
      </c>
      <c r="C4541" t="s">
        <v>1878</v>
      </c>
      <c r="D4541" t="str">
        <f>HYPERLINK("http://service.sap.com/sap/support/notes/1781994","1781994")</f>
        <v>1781994</v>
      </c>
      <c r="E4541">
        <v>1</v>
      </c>
      <c r="F4541" t="s">
        <v>6030</v>
      </c>
    </row>
    <row r="4542" spans="1:6" x14ac:dyDescent="0.25">
      <c r="A4542" t="s">
        <v>4201</v>
      </c>
      <c r="B4542" t="s">
        <v>3499</v>
      </c>
      <c r="C4542" t="s">
        <v>1878</v>
      </c>
      <c r="D4542" t="str">
        <f>HYPERLINK("http://service.sap.com/sap/support/notes/1788815","1788815")</f>
        <v>1788815</v>
      </c>
      <c r="E4542">
        <v>1</v>
      </c>
      <c r="F4542" t="s">
        <v>6031</v>
      </c>
    </row>
    <row r="4543" spans="1:6" x14ac:dyDescent="0.25">
      <c r="A4543" t="s">
        <v>4201</v>
      </c>
      <c r="B4543" t="s">
        <v>3499</v>
      </c>
      <c r="C4543" t="s">
        <v>1878</v>
      </c>
      <c r="D4543" t="str">
        <f>HYPERLINK("http://service.sap.com/sap/support/notes/1795629","1795629")</f>
        <v>1795629</v>
      </c>
      <c r="E4543">
        <v>1</v>
      </c>
      <c r="F4543" t="s">
        <v>6032</v>
      </c>
    </row>
    <row r="4544" spans="1:6" x14ac:dyDescent="0.25">
      <c r="A4544" t="s">
        <v>4201</v>
      </c>
      <c r="B4544" t="s">
        <v>3503</v>
      </c>
      <c r="C4544" t="s">
        <v>3504</v>
      </c>
      <c r="D4544" t="str">
        <f>HYPERLINK("http://service.sap.com/sap/support/notes/1709025","1709025")</f>
        <v>1709025</v>
      </c>
      <c r="E4544">
        <v>2</v>
      </c>
      <c r="F4544" t="s">
        <v>6033</v>
      </c>
    </row>
    <row r="4545" spans="1:6" x14ac:dyDescent="0.25">
      <c r="A4545" t="s">
        <v>4201</v>
      </c>
      <c r="B4545" t="s">
        <v>3503</v>
      </c>
      <c r="C4545" t="s">
        <v>3504</v>
      </c>
      <c r="D4545" t="str">
        <f>HYPERLINK("http://service.sap.com/sap/support/notes/1742013","1742013")</f>
        <v>1742013</v>
      </c>
      <c r="E4545">
        <v>5</v>
      </c>
      <c r="F4545" t="s">
        <v>6034</v>
      </c>
    </row>
    <row r="4546" spans="1:6" x14ac:dyDescent="0.25">
      <c r="A4546" t="s">
        <v>4201</v>
      </c>
      <c r="B4546" t="s">
        <v>3503</v>
      </c>
      <c r="C4546" t="s">
        <v>3504</v>
      </c>
      <c r="D4546" t="str">
        <f>HYPERLINK("http://service.sap.com/sap/support/notes/1761942","1761942")</f>
        <v>1761942</v>
      </c>
      <c r="E4546">
        <v>2</v>
      </c>
      <c r="F4546" t="s">
        <v>6035</v>
      </c>
    </row>
    <row r="4547" spans="1:6" x14ac:dyDescent="0.25">
      <c r="A4547" t="s">
        <v>4201</v>
      </c>
      <c r="B4547" t="s">
        <v>3503</v>
      </c>
      <c r="C4547" t="s">
        <v>3504</v>
      </c>
      <c r="D4547" t="str">
        <f>HYPERLINK("http://service.sap.com/sap/support/notes/1762977","1762977")</f>
        <v>1762977</v>
      </c>
      <c r="E4547">
        <v>5</v>
      </c>
      <c r="F4547" t="s">
        <v>6036</v>
      </c>
    </row>
    <row r="4548" spans="1:6" x14ac:dyDescent="0.25">
      <c r="A4548" t="s">
        <v>4201</v>
      </c>
      <c r="B4548" t="s">
        <v>3503</v>
      </c>
      <c r="C4548" t="s">
        <v>3504</v>
      </c>
      <c r="D4548" t="str">
        <f>HYPERLINK("http://service.sap.com/sap/support/notes/1782271","1782271")</f>
        <v>1782271</v>
      </c>
      <c r="E4548">
        <v>2</v>
      </c>
      <c r="F4548" t="s">
        <v>6037</v>
      </c>
    </row>
    <row r="4549" spans="1:6" x14ac:dyDescent="0.25">
      <c r="A4549" t="s">
        <v>4201</v>
      </c>
      <c r="B4549" t="s">
        <v>3508</v>
      </c>
      <c r="C4549" t="s">
        <v>151</v>
      </c>
    </row>
    <row r="4550" spans="1:6" x14ac:dyDescent="0.25">
      <c r="A4550" t="s">
        <v>4201</v>
      </c>
      <c r="B4550" t="s">
        <v>6038</v>
      </c>
      <c r="C4550" t="s">
        <v>6039</v>
      </c>
      <c r="D4550" t="str">
        <f>HYPERLINK("http://service.sap.com/sap/support/notes/1725060","1725060")</f>
        <v>1725060</v>
      </c>
      <c r="E4550">
        <v>2</v>
      </c>
      <c r="F4550" t="s">
        <v>6040</v>
      </c>
    </row>
    <row r="4551" spans="1:6" x14ac:dyDescent="0.25">
      <c r="A4551" t="s">
        <v>4201</v>
      </c>
      <c r="B4551" t="s">
        <v>6041</v>
      </c>
      <c r="C4551" t="s">
        <v>6042</v>
      </c>
      <c r="D4551" t="str">
        <f>HYPERLINK("http://service.sap.com/sap/support/notes/1780879","1780879")</f>
        <v>1780879</v>
      </c>
      <c r="E4551">
        <v>1</v>
      </c>
      <c r="F4551" t="s">
        <v>6043</v>
      </c>
    </row>
    <row r="4552" spans="1:6" x14ac:dyDescent="0.25">
      <c r="A4552" t="s">
        <v>4201</v>
      </c>
      <c r="B4552" t="s">
        <v>6044</v>
      </c>
      <c r="C4552" t="s">
        <v>6045</v>
      </c>
      <c r="D4552" t="str">
        <f>HYPERLINK("http://service.sap.com/sap/support/notes/1764249","1764249")</f>
        <v>1764249</v>
      </c>
      <c r="E4552">
        <v>2</v>
      </c>
      <c r="F4552" t="s">
        <v>6046</v>
      </c>
    </row>
    <row r="4553" spans="1:6" x14ac:dyDescent="0.25">
      <c r="A4553" t="s">
        <v>4201</v>
      </c>
      <c r="B4553" t="s">
        <v>6044</v>
      </c>
      <c r="C4553" t="s">
        <v>6045</v>
      </c>
      <c r="D4553" t="str">
        <f>HYPERLINK("http://service.sap.com/sap/support/notes/1771308","1771308")</f>
        <v>1771308</v>
      </c>
      <c r="E4553">
        <v>1</v>
      </c>
      <c r="F4553" t="s">
        <v>6047</v>
      </c>
    </row>
    <row r="4554" spans="1:6" x14ac:dyDescent="0.25">
      <c r="A4554" t="s">
        <v>4201</v>
      </c>
      <c r="B4554" t="s">
        <v>6048</v>
      </c>
      <c r="C4554" t="s">
        <v>6049</v>
      </c>
      <c r="D4554" t="str">
        <f>HYPERLINK("http://service.sap.com/sap/support/notes/1785431","1785431")</f>
        <v>1785431</v>
      </c>
      <c r="E4554">
        <v>1</v>
      </c>
      <c r="F4554" t="s">
        <v>6050</v>
      </c>
    </row>
    <row r="4555" spans="1:6" x14ac:dyDescent="0.25">
      <c r="A4555" t="s">
        <v>4201</v>
      </c>
      <c r="B4555" t="s">
        <v>3509</v>
      </c>
      <c r="C4555" t="s">
        <v>3510</v>
      </c>
      <c r="D4555" t="str">
        <f>HYPERLINK("http://service.sap.com/sap/support/notes/1723063","1723063")</f>
        <v>1723063</v>
      </c>
      <c r="E4555">
        <v>3</v>
      </c>
      <c r="F4555" t="s">
        <v>6051</v>
      </c>
    </row>
    <row r="4556" spans="1:6" x14ac:dyDescent="0.25">
      <c r="A4556" t="s">
        <v>4201</v>
      </c>
      <c r="B4556" t="s">
        <v>3509</v>
      </c>
      <c r="C4556" t="s">
        <v>3510</v>
      </c>
      <c r="D4556" t="str">
        <f>HYPERLINK("http://service.sap.com/sap/support/notes/1765710","1765710")</f>
        <v>1765710</v>
      </c>
      <c r="E4556">
        <v>4</v>
      </c>
      <c r="F4556" t="s">
        <v>6052</v>
      </c>
    </row>
    <row r="4557" spans="1:6" x14ac:dyDescent="0.25">
      <c r="A4557" t="s">
        <v>4201</v>
      </c>
      <c r="B4557" t="s">
        <v>3509</v>
      </c>
      <c r="C4557" t="s">
        <v>3510</v>
      </c>
      <c r="D4557" t="str">
        <f>HYPERLINK("http://service.sap.com/sap/support/notes/1771306","1771306")</f>
        <v>1771306</v>
      </c>
      <c r="E4557">
        <v>2</v>
      </c>
      <c r="F4557" t="s">
        <v>6053</v>
      </c>
    </row>
    <row r="4558" spans="1:6" x14ac:dyDescent="0.25">
      <c r="A4558" t="s">
        <v>4201</v>
      </c>
      <c r="B4558" t="s">
        <v>3509</v>
      </c>
      <c r="C4558" t="s">
        <v>3510</v>
      </c>
      <c r="D4558" t="str">
        <f>HYPERLINK("http://service.sap.com/sap/support/notes/1777769","1777769")</f>
        <v>1777769</v>
      </c>
      <c r="E4558">
        <v>1</v>
      </c>
      <c r="F4558" t="s">
        <v>6054</v>
      </c>
    </row>
    <row r="4559" spans="1:6" x14ac:dyDescent="0.25">
      <c r="A4559" t="s">
        <v>4201</v>
      </c>
      <c r="B4559" t="s">
        <v>3516</v>
      </c>
      <c r="C4559" t="s">
        <v>3517</v>
      </c>
      <c r="D4559" t="str">
        <f>HYPERLINK("http://service.sap.com/sap/support/notes/578120","578120")</f>
        <v>578120</v>
      </c>
      <c r="E4559">
        <v>3</v>
      </c>
      <c r="F4559" t="s">
        <v>6055</v>
      </c>
    </row>
    <row r="4560" spans="1:6" x14ac:dyDescent="0.25">
      <c r="A4560" t="s">
        <v>4201</v>
      </c>
      <c r="B4560" t="s">
        <v>3516</v>
      </c>
      <c r="C4560" t="s">
        <v>3517</v>
      </c>
      <c r="D4560" t="str">
        <f>HYPERLINK("http://service.sap.com/sap/support/notes/1741581","1741581")</f>
        <v>1741581</v>
      </c>
      <c r="E4560">
        <v>3</v>
      </c>
      <c r="F4560" t="s">
        <v>6056</v>
      </c>
    </row>
    <row r="4561" spans="1:6" x14ac:dyDescent="0.25">
      <c r="A4561" t="s">
        <v>4201</v>
      </c>
      <c r="B4561" t="s">
        <v>3516</v>
      </c>
      <c r="C4561" t="s">
        <v>3517</v>
      </c>
      <c r="D4561" t="str">
        <f>HYPERLINK("http://service.sap.com/sap/support/notes/1772205","1772205")</f>
        <v>1772205</v>
      </c>
      <c r="E4561">
        <v>2</v>
      </c>
      <c r="F4561" t="s">
        <v>6057</v>
      </c>
    </row>
    <row r="4562" spans="1:6" x14ac:dyDescent="0.25">
      <c r="A4562" t="s">
        <v>4201</v>
      </c>
      <c r="B4562" t="s">
        <v>3516</v>
      </c>
      <c r="C4562" t="s">
        <v>3517</v>
      </c>
      <c r="D4562" t="str">
        <f>HYPERLINK("http://service.sap.com/sap/support/notes/1787883","1787883")</f>
        <v>1787883</v>
      </c>
      <c r="E4562">
        <v>1</v>
      </c>
      <c r="F4562" t="s">
        <v>6058</v>
      </c>
    </row>
    <row r="4563" spans="1:6" x14ac:dyDescent="0.25">
      <c r="A4563" t="s">
        <v>4201</v>
      </c>
      <c r="B4563" t="s">
        <v>3516</v>
      </c>
      <c r="C4563" t="s">
        <v>3517</v>
      </c>
      <c r="D4563" t="str">
        <f>HYPERLINK("http://service.sap.com/sap/support/notes/1791255","1791255")</f>
        <v>1791255</v>
      </c>
    </row>
    <row r="4564" spans="1:6" x14ac:dyDescent="0.25">
      <c r="A4564" t="s">
        <v>4201</v>
      </c>
      <c r="B4564" t="s">
        <v>3523</v>
      </c>
      <c r="C4564" t="s">
        <v>3524</v>
      </c>
      <c r="D4564" t="str">
        <f>HYPERLINK("http://service.sap.com/sap/support/notes/1772063","1772063")</f>
        <v>1772063</v>
      </c>
      <c r="E4564">
        <v>2</v>
      </c>
      <c r="F4564" t="s">
        <v>6059</v>
      </c>
    </row>
    <row r="4565" spans="1:6" x14ac:dyDescent="0.25">
      <c r="A4565" t="s">
        <v>4201</v>
      </c>
      <c r="B4565" t="s">
        <v>3531</v>
      </c>
      <c r="C4565" t="s">
        <v>3532</v>
      </c>
      <c r="D4565" t="str">
        <f>HYPERLINK("http://service.sap.com/sap/support/notes/856690","856690")</f>
        <v>856690</v>
      </c>
      <c r="E4565">
        <v>5</v>
      </c>
      <c r="F4565" t="s">
        <v>6060</v>
      </c>
    </row>
    <row r="4566" spans="1:6" x14ac:dyDescent="0.25">
      <c r="A4566" t="s">
        <v>4201</v>
      </c>
      <c r="B4566" t="s">
        <v>3531</v>
      </c>
      <c r="C4566" t="s">
        <v>3532</v>
      </c>
      <c r="D4566" t="str">
        <f>HYPERLINK("http://service.sap.com/sap/support/notes/1772064","1772064")</f>
        <v>1772064</v>
      </c>
      <c r="E4566">
        <v>2</v>
      </c>
      <c r="F4566" t="s">
        <v>6061</v>
      </c>
    </row>
    <row r="4567" spans="1:6" x14ac:dyDescent="0.25">
      <c r="A4567" t="s">
        <v>4201</v>
      </c>
      <c r="B4567" t="s">
        <v>3531</v>
      </c>
      <c r="C4567" t="s">
        <v>3532</v>
      </c>
      <c r="D4567" t="str">
        <f>HYPERLINK("http://service.sap.com/sap/support/notes/1781974","1781974")</f>
        <v>1781974</v>
      </c>
      <c r="E4567">
        <v>1</v>
      </c>
      <c r="F4567" t="s">
        <v>6062</v>
      </c>
    </row>
    <row r="4568" spans="1:6" x14ac:dyDescent="0.25">
      <c r="A4568" t="s">
        <v>4201</v>
      </c>
      <c r="B4568" t="s">
        <v>3531</v>
      </c>
      <c r="C4568" t="s">
        <v>3532</v>
      </c>
      <c r="D4568" t="str">
        <f>HYPERLINK("http://service.sap.com/sap/support/notes/1782636","1782636")</f>
        <v>1782636</v>
      </c>
      <c r="E4568">
        <v>1</v>
      </c>
      <c r="F4568" t="s">
        <v>6063</v>
      </c>
    </row>
    <row r="4569" spans="1:6" x14ac:dyDescent="0.25">
      <c r="A4569" t="s">
        <v>4201</v>
      </c>
      <c r="B4569" t="s">
        <v>3531</v>
      </c>
      <c r="C4569" t="s">
        <v>3532</v>
      </c>
      <c r="D4569" t="str">
        <f>HYPERLINK("http://service.sap.com/sap/support/notes/1785099","1785099")</f>
        <v>1785099</v>
      </c>
      <c r="E4569">
        <v>2</v>
      </c>
      <c r="F4569" t="s">
        <v>6064</v>
      </c>
    </row>
    <row r="4570" spans="1:6" x14ac:dyDescent="0.25">
      <c r="A4570" t="s">
        <v>4201</v>
      </c>
      <c r="B4570" t="s">
        <v>3531</v>
      </c>
      <c r="C4570" t="s">
        <v>3532</v>
      </c>
      <c r="D4570" t="str">
        <f>HYPERLINK("http://service.sap.com/sap/support/notes/1790079","1790079")</f>
        <v>1790079</v>
      </c>
      <c r="E4570">
        <v>1</v>
      </c>
      <c r="F4570" t="s">
        <v>6065</v>
      </c>
    </row>
    <row r="4571" spans="1:6" x14ac:dyDescent="0.25">
      <c r="A4571" t="s">
        <v>4201</v>
      </c>
      <c r="B4571" t="s">
        <v>3538</v>
      </c>
      <c r="C4571" t="s">
        <v>3539</v>
      </c>
      <c r="D4571" t="str">
        <f>HYPERLINK("http://service.sap.com/sap/support/notes/1676482","1676482")</f>
        <v>1676482</v>
      </c>
      <c r="E4571">
        <v>8</v>
      </c>
      <c r="F4571" t="s">
        <v>6066</v>
      </c>
    </row>
    <row r="4572" spans="1:6" x14ac:dyDescent="0.25">
      <c r="A4572" t="s">
        <v>4201</v>
      </c>
      <c r="B4572" t="s">
        <v>3538</v>
      </c>
      <c r="C4572" t="s">
        <v>3539</v>
      </c>
      <c r="D4572" t="str">
        <f>HYPERLINK("http://service.sap.com/sap/support/notes/1776855","1776855")</f>
        <v>1776855</v>
      </c>
      <c r="E4572">
        <v>2</v>
      </c>
      <c r="F4572" t="s">
        <v>6067</v>
      </c>
    </row>
    <row r="4573" spans="1:6" x14ac:dyDescent="0.25">
      <c r="A4573" t="s">
        <v>4201</v>
      </c>
      <c r="B4573" t="s">
        <v>3545</v>
      </c>
      <c r="C4573" t="s">
        <v>3546</v>
      </c>
      <c r="D4573" t="str">
        <f>HYPERLINK("http://service.sap.com/sap/support/notes/1762291","1762291")</f>
        <v>1762291</v>
      </c>
      <c r="E4573">
        <v>1</v>
      </c>
      <c r="F4573" t="s">
        <v>3547</v>
      </c>
    </row>
    <row r="4574" spans="1:6" x14ac:dyDescent="0.25">
      <c r="A4574" t="s">
        <v>4201</v>
      </c>
      <c r="B4574" t="s">
        <v>3545</v>
      </c>
      <c r="C4574" t="s">
        <v>3546</v>
      </c>
      <c r="D4574" t="str">
        <f>HYPERLINK("http://service.sap.com/sap/support/notes/1764257","1764257")</f>
        <v>1764257</v>
      </c>
      <c r="E4574">
        <v>3</v>
      </c>
      <c r="F4574" t="s">
        <v>6068</v>
      </c>
    </row>
    <row r="4575" spans="1:6" x14ac:dyDescent="0.25">
      <c r="A4575" t="s">
        <v>4201</v>
      </c>
      <c r="B4575" t="s">
        <v>3549</v>
      </c>
      <c r="C4575" t="s">
        <v>3550</v>
      </c>
    </row>
    <row r="4576" spans="1:6" x14ac:dyDescent="0.25">
      <c r="A4576" t="s">
        <v>4201</v>
      </c>
      <c r="B4576" t="s">
        <v>3551</v>
      </c>
      <c r="C4576" t="s">
        <v>169</v>
      </c>
    </row>
    <row r="4577" spans="1:6" x14ac:dyDescent="0.25">
      <c r="A4577" t="s">
        <v>4201</v>
      </c>
      <c r="B4577" t="s">
        <v>3552</v>
      </c>
      <c r="C4577" t="s">
        <v>3553</v>
      </c>
    </row>
    <row r="4578" spans="1:6" x14ac:dyDescent="0.25">
      <c r="A4578" t="s">
        <v>4201</v>
      </c>
      <c r="B4578" t="s">
        <v>3554</v>
      </c>
      <c r="C4578" t="s">
        <v>3555</v>
      </c>
      <c r="D4578" t="str">
        <f>HYPERLINK("http://service.sap.com/sap/support/notes/1796226","1796226")</f>
        <v>1796226</v>
      </c>
      <c r="E4578">
        <v>1</v>
      </c>
      <c r="F4578" t="s">
        <v>6069</v>
      </c>
    </row>
    <row r="4579" spans="1:6" x14ac:dyDescent="0.25">
      <c r="A4579" t="s">
        <v>4201</v>
      </c>
      <c r="B4579" t="s">
        <v>3558</v>
      </c>
      <c r="C4579" t="s">
        <v>3559</v>
      </c>
    </row>
    <row r="4580" spans="1:6" x14ac:dyDescent="0.25">
      <c r="A4580" t="s">
        <v>4201</v>
      </c>
      <c r="B4580" t="s">
        <v>6070</v>
      </c>
      <c r="C4580" t="s">
        <v>3389</v>
      </c>
      <c r="D4580" t="str">
        <f>HYPERLINK("http://service.sap.com/sap/support/notes/871628","871628")</f>
        <v>871628</v>
      </c>
      <c r="E4580">
        <v>7</v>
      </c>
      <c r="F4580" t="s">
        <v>6071</v>
      </c>
    </row>
    <row r="4581" spans="1:6" x14ac:dyDescent="0.25">
      <c r="A4581" t="s">
        <v>4201</v>
      </c>
      <c r="B4581" t="s">
        <v>6070</v>
      </c>
      <c r="C4581" t="s">
        <v>3389</v>
      </c>
      <c r="D4581" t="str">
        <f>HYPERLINK("http://service.sap.com/sap/support/notes/1772896","1772896")</f>
        <v>1772896</v>
      </c>
      <c r="E4581">
        <v>2</v>
      </c>
      <c r="F4581" t="s">
        <v>6072</v>
      </c>
    </row>
    <row r="4582" spans="1:6" x14ac:dyDescent="0.25">
      <c r="A4582" t="s">
        <v>4201</v>
      </c>
      <c r="B4582" t="s">
        <v>6070</v>
      </c>
      <c r="C4582" t="s">
        <v>3389</v>
      </c>
      <c r="D4582" t="str">
        <f>HYPERLINK("http://service.sap.com/sap/support/notes/1782682","1782682")</f>
        <v>1782682</v>
      </c>
      <c r="E4582">
        <v>2</v>
      </c>
      <c r="F4582" t="s">
        <v>6073</v>
      </c>
    </row>
    <row r="4583" spans="1:6" x14ac:dyDescent="0.25">
      <c r="A4583" t="s">
        <v>4201</v>
      </c>
      <c r="B4583" t="s">
        <v>6074</v>
      </c>
      <c r="C4583" t="s">
        <v>6075</v>
      </c>
      <c r="D4583" t="str">
        <f>HYPERLINK("http://service.sap.com/sap/support/notes/1776898","1776898")</f>
        <v>1776898</v>
      </c>
      <c r="E4583">
        <v>2</v>
      </c>
      <c r="F4583" t="s">
        <v>6076</v>
      </c>
    </row>
    <row r="4584" spans="1:6" x14ac:dyDescent="0.25">
      <c r="A4584" t="s">
        <v>4201</v>
      </c>
      <c r="B4584" t="s">
        <v>3571</v>
      </c>
      <c r="C4584" t="s">
        <v>3572</v>
      </c>
      <c r="D4584" t="str">
        <f>HYPERLINK("http://service.sap.com/sap/support/notes/1553631","1553631")</f>
        <v>1553631</v>
      </c>
      <c r="E4584">
        <v>3</v>
      </c>
      <c r="F4584" t="s">
        <v>6077</v>
      </c>
    </row>
    <row r="4585" spans="1:6" x14ac:dyDescent="0.25">
      <c r="A4585" t="s">
        <v>4201</v>
      </c>
      <c r="B4585" t="s">
        <v>3571</v>
      </c>
      <c r="C4585" t="s">
        <v>3572</v>
      </c>
      <c r="D4585" t="str">
        <f>HYPERLINK("http://service.sap.com/sap/support/notes/1779782","1779782")</f>
        <v>1779782</v>
      </c>
      <c r="E4585">
        <v>2</v>
      </c>
      <c r="F4585" t="s">
        <v>6078</v>
      </c>
    </row>
    <row r="4586" spans="1:6" x14ac:dyDescent="0.25">
      <c r="A4586" t="s">
        <v>4201</v>
      </c>
      <c r="B4586" t="s">
        <v>3571</v>
      </c>
      <c r="C4586" t="s">
        <v>3572</v>
      </c>
      <c r="D4586" t="str">
        <f>HYPERLINK("http://service.sap.com/sap/support/notes/1783023","1783023")</f>
        <v>1783023</v>
      </c>
      <c r="E4586">
        <v>1</v>
      </c>
      <c r="F4586" t="s">
        <v>6079</v>
      </c>
    </row>
    <row r="4587" spans="1:6" x14ac:dyDescent="0.25">
      <c r="A4587" t="s">
        <v>4201</v>
      </c>
      <c r="B4587" t="s">
        <v>3574</v>
      </c>
      <c r="C4587" t="s">
        <v>3575</v>
      </c>
      <c r="D4587" t="str">
        <f>HYPERLINK("http://service.sap.com/sap/support/notes/944534","944534")</f>
        <v>944534</v>
      </c>
      <c r="E4587">
        <v>5</v>
      </c>
      <c r="F4587" t="s">
        <v>6080</v>
      </c>
    </row>
    <row r="4588" spans="1:6" x14ac:dyDescent="0.25">
      <c r="A4588" t="s">
        <v>4201</v>
      </c>
      <c r="B4588" t="s">
        <v>3593</v>
      </c>
      <c r="C4588" t="s">
        <v>3594</v>
      </c>
    </row>
    <row r="4589" spans="1:6" x14ac:dyDescent="0.25">
      <c r="A4589" t="s">
        <v>4201</v>
      </c>
      <c r="B4589" t="s">
        <v>3595</v>
      </c>
      <c r="C4589" t="s">
        <v>3596</v>
      </c>
      <c r="D4589" t="str">
        <f>HYPERLINK("http://service.sap.com/sap/support/notes/1754648","1754648")</f>
        <v>1754648</v>
      </c>
      <c r="E4589">
        <v>3</v>
      </c>
      <c r="F4589" t="s">
        <v>6081</v>
      </c>
    </row>
    <row r="4590" spans="1:6" x14ac:dyDescent="0.25">
      <c r="A4590" t="s">
        <v>4201</v>
      </c>
      <c r="B4590" t="s">
        <v>3595</v>
      </c>
      <c r="C4590" t="s">
        <v>3596</v>
      </c>
      <c r="D4590" t="str">
        <f>HYPERLINK("http://service.sap.com/sap/support/notes/1779400","1779400")</f>
        <v>1779400</v>
      </c>
      <c r="E4590">
        <v>1</v>
      </c>
      <c r="F4590" t="s">
        <v>6082</v>
      </c>
    </row>
    <row r="4591" spans="1:6" x14ac:dyDescent="0.25">
      <c r="A4591" t="s">
        <v>4201</v>
      </c>
      <c r="B4591" t="s">
        <v>3595</v>
      </c>
      <c r="C4591" t="s">
        <v>3596</v>
      </c>
      <c r="D4591" t="str">
        <f>HYPERLINK("http://service.sap.com/sap/support/notes/1783188","1783188")</f>
        <v>1783188</v>
      </c>
      <c r="E4591">
        <v>2</v>
      </c>
      <c r="F4591" t="s">
        <v>6083</v>
      </c>
    </row>
    <row r="4592" spans="1:6" x14ac:dyDescent="0.25">
      <c r="A4592" t="s">
        <v>4201</v>
      </c>
      <c r="B4592" t="s">
        <v>3595</v>
      </c>
      <c r="C4592" t="s">
        <v>3596</v>
      </c>
      <c r="D4592" t="str">
        <f>HYPERLINK("http://service.sap.com/sap/support/notes/1789957","1789957")</f>
        <v>1789957</v>
      </c>
      <c r="E4592">
        <v>1</v>
      </c>
      <c r="F4592" t="s">
        <v>6084</v>
      </c>
    </row>
    <row r="4593" spans="1:6" x14ac:dyDescent="0.25">
      <c r="A4593" t="s">
        <v>4201</v>
      </c>
      <c r="B4593" t="s">
        <v>3595</v>
      </c>
      <c r="C4593" t="s">
        <v>3596</v>
      </c>
      <c r="D4593" t="str">
        <f>HYPERLINK("http://service.sap.com/sap/support/notes/1793631","1793631")</f>
        <v>1793631</v>
      </c>
      <c r="E4593">
        <v>1</v>
      </c>
      <c r="F4593" t="s">
        <v>6085</v>
      </c>
    </row>
    <row r="4594" spans="1:6" x14ac:dyDescent="0.25">
      <c r="A4594" t="s">
        <v>4201</v>
      </c>
      <c r="B4594" t="s">
        <v>3603</v>
      </c>
      <c r="C4594" t="s">
        <v>3604</v>
      </c>
    </row>
    <row r="4595" spans="1:6" x14ac:dyDescent="0.25">
      <c r="A4595" t="s">
        <v>4201</v>
      </c>
      <c r="B4595" t="s">
        <v>3605</v>
      </c>
      <c r="C4595" t="s">
        <v>3606</v>
      </c>
    </row>
    <row r="4596" spans="1:6" x14ac:dyDescent="0.25">
      <c r="A4596" t="s">
        <v>4201</v>
      </c>
      <c r="B4596" t="s">
        <v>3607</v>
      </c>
      <c r="C4596" t="s">
        <v>3608</v>
      </c>
    </row>
    <row r="4597" spans="1:6" x14ac:dyDescent="0.25">
      <c r="A4597" t="s">
        <v>4201</v>
      </c>
      <c r="B4597" t="s">
        <v>3609</v>
      </c>
      <c r="C4597" t="s">
        <v>3610</v>
      </c>
    </row>
    <row r="4598" spans="1:6" x14ac:dyDescent="0.25">
      <c r="A4598" t="s">
        <v>4201</v>
      </c>
      <c r="B4598" t="s">
        <v>3614</v>
      </c>
      <c r="C4598" t="s">
        <v>218</v>
      </c>
      <c r="D4598" t="str">
        <f>HYPERLINK("http://service.sap.com/sap/support/notes/1758815","1758815")</f>
        <v>1758815</v>
      </c>
      <c r="E4598">
        <v>3</v>
      </c>
      <c r="F4598" t="s">
        <v>6086</v>
      </c>
    </row>
    <row r="4599" spans="1:6" x14ac:dyDescent="0.25">
      <c r="A4599" t="s">
        <v>4201</v>
      </c>
      <c r="B4599" t="s">
        <v>3616</v>
      </c>
      <c r="C4599" t="s">
        <v>3617</v>
      </c>
    </row>
    <row r="4600" spans="1:6" x14ac:dyDescent="0.25">
      <c r="A4600" t="s">
        <v>4201</v>
      </c>
      <c r="B4600" t="s">
        <v>3618</v>
      </c>
      <c r="C4600" t="s">
        <v>3619</v>
      </c>
      <c r="D4600" t="str">
        <f>HYPERLINK("http://service.sap.com/sap/support/notes/1767216","1767216")</f>
        <v>1767216</v>
      </c>
      <c r="E4600">
        <v>1</v>
      </c>
      <c r="F4600" t="s">
        <v>3622</v>
      </c>
    </row>
    <row r="4601" spans="1:6" x14ac:dyDescent="0.25">
      <c r="A4601" t="s">
        <v>4201</v>
      </c>
      <c r="B4601" t="s">
        <v>3623</v>
      </c>
      <c r="C4601" t="s">
        <v>3624</v>
      </c>
      <c r="D4601" t="str">
        <f>HYPERLINK("http://service.sap.com/sap/support/notes/1787428","1787428")</f>
        <v>1787428</v>
      </c>
      <c r="E4601">
        <v>1</v>
      </c>
      <c r="F4601" t="s">
        <v>6087</v>
      </c>
    </row>
    <row r="4602" spans="1:6" x14ac:dyDescent="0.25">
      <c r="A4602" t="s">
        <v>4201</v>
      </c>
      <c r="B4602" t="s">
        <v>3631</v>
      </c>
      <c r="C4602" t="s">
        <v>3632</v>
      </c>
      <c r="D4602" t="str">
        <f>HYPERLINK("http://service.sap.com/sap/support/notes/1703221","1703221")</f>
        <v>1703221</v>
      </c>
      <c r="E4602">
        <v>1</v>
      </c>
      <c r="F4602" t="s">
        <v>6088</v>
      </c>
    </row>
    <row r="4603" spans="1:6" x14ac:dyDescent="0.25">
      <c r="A4603" t="s">
        <v>4201</v>
      </c>
      <c r="B4603" t="s">
        <v>3631</v>
      </c>
      <c r="C4603" t="s">
        <v>3632</v>
      </c>
      <c r="D4603" t="str">
        <f>HYPERLINK("http://service.sap.com/sap/support/notes/1771849","1771849")</f>
        <v>1771849</v>
      </c>
      <c r="E4603">
        <v>2</v>
      </c>
      <c r="F4603" t="s">
        <v>6089</v>
      </c>
    </row>
    <row r="4604" spans="1:6" x14ac:dyDescent="0.25">
      <c r="A4604" t="s">
        <v>4201</v>
      </c>
      <c r="B4604" t="s">
        <v>6090</v>
      </c>
      <c r="C4604" t="s">
        <v>6091</v>
      </c>
      <c r="D4604" t="str">
        <f>HYPERLINK("http://service.sap.com/sap/support/notes/1767967","1767967")</f>
        <v>1767967</v>
      </c>
      <c r="E4604">
        <v>2</v>
      </c>
      <c r="F4604" t="s">
        <v>6092</v>
      </c>
    </row>
    <row r="4605" spans="1:6" x14ac:dyDescent="0.25">
      <c r="A4605" t="s">
        <v>4201</v>
      </c>
      <c r="B4605" t="s">
        <v>3638</v>
      </c>
      <c r="C4605" t="s">
        <v>3639</v>
      </c>
      <c r="D4605" t="str">
        <f>HYPERLINK("http://service.sap.com/sap/support/notes/1701728","1701728")</f>
        <v>1701728</v>
      </c>
      <c r="E4605">
        <v>1</v>
      </c>
      <c r="F4605" t="s">
        <v>6093</v>
      </c>
    </row>
    <row r="4606" spans="1:6" x14ac:dyDescent="0.25">
      <c r="A4606" t="s">
        <v>4201</v>
      </c>
      <c r="B4606" t="s">
        <v>3638</v>
      </c>
      <c r="C4606" t="s">
        <v>3639</v>
      </c>
      <c r="D4606" t="str">
        <f>HYPERLINK("http://service.sap.com/sap/support/notes/1771751","1771751")</f>
        <v>1771751</v>
      </c>
      <c r="E4606">
        <v>2</v>
      </c>
      <c r="F4606" t="s">
        <v>3644</v>
      </c>
    </row>
    <row r="4607" spans="1:6" x14ac:dyDescent="0.25">
      <c r="A4607" t="s">
        <v>4201</v>
      </c>
      <c r="B4607" t="s">
        <v>3638</v>
      </c>
      <c r="C4607" t="s">
        <v>3639</v>
      </c>
      <c r="D4607" t="str">
        <f>HYPERLINK("http://service.sap.com/sap/support/notes/1780525","1780525")</f>
        <v>1780525</v>
      </c>
      <c r="E4607">
        <v>1</v>
      </c>
      <c r="F4607" t="s">
        <v>6094</v>
      </c>
    </row>
    <row r="4608" spans="1:6" x14ac:dyDescent="0.25">
      <c r="A4608" t="s">
        <v>4201</v>
      </c>
      <c r="B4608" t="s">
        <v>3638</v>
      </c>
      <c r="C4608" t="s">
        <v>3639</v>
      </c>
      <c r="D4608" t="str">
        <f>HYPERLINK("http://service.sap.com/sap/support/notes/1782394","1782394")</f>
        <v>1782394</v>
      </c>
      <c r="E4608">
        <v>1</v>
      </c>
      <c r="F4608" t="s">
        <v>6095</v>
      </c>
    </row>
    <row r="4609" spans="1:6" x14ac:dyDescent="0.25">
      <c r="A4609" t="s">
        <v>4201</v>
      </c>
      <c r="B4609" t="s">
        <v>3638</v>
      </c>
      <c r="C4609" t="s">
        <v>3639</v>
      </c>
      <c r="D4609" t="str">
        <f>HYPERLINK("http://service.sap.com/sap/support/notes/1794549","1794549")</f>
        <v>1794549</v>
      </c>
      <c r="E4609">
        <v>1</v>
      </c>
      <c r="F4609" t="s">
        <v>6096</v>
      </c>
    </row>
    <row r="4610" spans="1:6" x14ac:dyDescent="0.25">
      <c r="A4610" t="s">
        <v>4201</v>
      </c>
      <c r="B4610" t="s">
        <v>3645</v>
      </c>
      <c r="C4610" t="s">
        <v>3646</v>
      </c>
      <c r="D4610" t="str">
        <f>HYPERLINK("http://service.sap.com/sap/support/notes/1793636","1793636")</f>
        <v>1793636</v>
      </c>
      <c r="E4610">
        <v>1</v>
      </c>
      <c r="F4610" t="s">
        <v>6097</v>
      </c>
    </row>
    <row r="4611" spans="1:6" x14ac:dyDescent="0.25">
      <c r="A4611" t="s">
        <v>4201</v>
      </c>
      <c r="B4611" t="s">
        <v>3649</v>
      </c>
      <c r="C4611" t="s">
        <v>3650</v>
      </c>
    </row>
    <row r="4612" spans="1:6" x14ac:dyDescent="0.25">
      <c r="A4612" t="s">
        <v>4201</v>
      </c>
      <c r="B4612" t="s">
        <v>3651</v>
      </c>
      <c r="C4612" t="s">
        <v>3652</v>
      </c>
    </row>
    <row r="4613" spans="1:6" x14ac:dyDescent="0.25">
      <c r="A4613" t="s">
        <v>4201</v>
      </c>
      <c r="B4613" t="s">
        <v>3653</v>
      </c>
      <c r="C4613" t="s">
        <v>1588</v>
      </c>
      <c r="D4613" t="str">
        <f>HYPERLINK("http://service.sap.com/sap/support/notes/1784952","1784952")</f>
        <v>1784952</v>
      </c>
      <c r="E4613">
        <v>3</v>
      </c>
      <c r="F4613" t="s">
        <v>6098</v>
      </c>
    </row>
    <row r="4614" spans="1:6" x14ac:dyDescent="0.25">
      <c r="A4614" t="s">
        <v>4201</v>
      </c>
      <c r="B4614" t="s">
        <v>3655</v>
      </c>
      <c r="C4614" t="s">
        <v>6099</v>
      </c>
    </row>
    <row r="4615" spans="1:6" x14ac:dyDescent="0.25">
      <c r="A4615" t="s">
        <v>4201</v>
      </c>
      <c r="B4615" t="s">
        <v>3658</v>
      </c>
      <c r="C4615" t="s">
        <v>3659</v>
      </c>
    </row>
    <row r="4616" spans="1:6" x14ac:dyDescent="0.25">
      <c r="A4616" t="s">
        <v>4201</v>
      </c>
      <c r="B4616" t="s">
        <v>6100</v>
      </c>
      <c r="C4616" t="s">
        <v>6101</v>
      </c>
    </row>
    <row r="4617" spans="1:6" x14ac:dyDescent="0.25">
      <c r="A4617" t="s">
        <v>4201</v>
      </c>
      <c r="B4617" t="s">
        <v>6102</v>
      </c>
      <c r="C4617" t="s">
        <v>6103</v>
      </c>
      <c r="D4617" t="str">
        <f>HYPERLINK("http://service.sap.com/sap/support/notes/1784078","1784078")</f>
        <v>1784078</v>
      </c>
      <c r="E4617">
        <v>2</v>
      </c>
      <c r="F4617" t="s">
        <v>6104</v>
      </c>
    </row>
    <row r="4618" spans="1:6" x14ac:dyDescent="0.25">
      <c r="A4618" t="s">
        <v>4201</v>
      </c>
      <c r="B4618" t="s">
        <v>3674</v>
      </c>
      <c r="C4618" t="s">
        <v>3675</v>
      </c>
      <c r="D4618" t="str">
        <f>HYPERLINK("http://service.sap.com/sap/support/notes/1775170","1775170")</f>
        <v>1775170</v>
      </c>
      <c r="E4618">
        <v>2</v>
      </c>
      <c r="F4618" t="s">
        <v>6105</v>
      </c>
    </row>
    <row r="4619" spans="1:6" x14ac:dyDescent="0.25">
      <c r="A4619" t="s">
        <v>4201</v>
      </c>
      <c r="B4619" t="s">
        <v>3684</v>
      </c>
      <c r="C4619" t="s">
        <v>3685</v>
      </c>
    </row>
    <row r="4620" spans="1:6" x14ac:dyDescent="0.25">
      <c r="A4620" t="s">
        <v>4201</v>
      </c>
      <c r="B4620" t="s">
        <v>3686</v>
      </c>
      <c r="C4620" t="s">
        <v>3687</v>
      </c>
    </row>
    <row r="4621" spans="1:6" x14ac:dyDescent="0.25">
      <c r="A4621" t="s">
        <v>4201</v>
      </c>
      <c r="B4621" t="s">
        <v>3688</v>
      </c>
      <c r="C4621" t="s">
        <v>6106</v>
      </c>
    </row>
    <row r="4622" spans="1:6" x14ac:dyDescent="0.25">
      <c r="A4622" t="s">
        <v>4201</v>
      </c>
      <c r="B4622" t="s">
        <v>3691</v>
      </c>
      <c r="C4622" t="s">
        <v>48</v>
      </c>
      <c r="D4622" t="str">
        <f>HYPERLINK("http://service.sap.com/sap/support/notes/1760828","1760828")</f>
        <v>1760828</v>
      </c>
      <c r="E4622">
        <v>3</v>
      </c>
      <c r="F4622" t="s">
        <v>3692</v>
      </c>
    </row>
    <row r="4623" spans="1:6" x14ac:dyDescent="0.25">
      <c r="A4623" t="s">
        <v>4201</v>
      </c>
      <c r="B4623" t="s">
        <v>70</v>
      </c>
      <c r="C4623" t="s">
        <v>71</v>
      </c>
    </row>
    <row r="4624" spans="1:6" x14ac:dyDescent="0.25">
      <c r="A4624" t="s">
        <v>4201</v>
      </c>
      <c r="B4624" t="s">
        <v>3693</v>
      </c>
      <c r="C4624" t="s">
        <v>3694</v>
      </c>
    </row>
    <row r="4625" spans="1:6" x14ac:dyDescent="0.25">
      <c r="A4625" t="s">
        <v>4201</v>
      </c>
      <c r="B4625" t="s">
        <v>3700</v>
      </c>
      <c r="C4625" t="s">
        <v>3701</v>
      </c>
      <c r="D4625" t="str">
        <f>HYPERLINK("http://service.sap.com/sap/support/notes/1344872","1344872")</f>
        <v>1344872</v>
      </c>
      <c r="E4625">
        <v>1</v>
      </c>
      <c r="F4625" t="s">
        <v>3702</v>
      </c>
    </row>
    <row r="4626" spans="1:6" x14ac:dyDescent="0.25">
      <c r="A4626" t="s">
        <v>4201</v>
      </c>
      <c r="B4626" t="s">
        <v>3700</v>
      </c>
      <c r="C4626" t="s">
        <v>3701</v>
      </c>
      <c r="D4626" t="str">
        <f>HYPERLINK("http://service.sap.com/sap/support/notes/1731250","1731250")</f>
        <v>1731250</v>
      </c>
      <c r="E4626">
        <v>3</v>
      </c>
      <c r="F4626" t="s">
        <v>6107</v>
      </c>
    </row>
    <row r="4627" spans="1:6" x14ac:dyDescent="0.25">
      <c r="A4627" t="s">
        <v>4201</v>
      </c>
      <c r="B4627" t="s">
        <v>3700</v>
      </c>
      <c r="C4627" t="s">
        <v>3701</v>
      </c>
      <c r="D4627" t="str">
        <f>HYPERLINK("http://service.sap.com/sap/support/notes/1738961","1738961")</f>
        <v>1738961</v>
      </c>
      <c r="E4627">
        <v>4</v>
      </c>
      <c r="F4627" t="s">
        <v>6108</v>
      </c>
    </row>
    <row r="4628" spans="1:6" x14ac:dyDescent="0.25">
      <c r="A4628" t="s">
        <v>4201</v>
      </c>
      <c r="B4628" t="s">
        <v>3700</v>
      </c>
      <c r="C4628" t="s">
        <v>3701</v>
      </c>
      <c r="D4628" t="str">
        <f>HYPERLINK("http://service.sap.com/sap/support/notes/1765196","1765196")</f>
        <v>1765196</v>
      </c>
      <c r="E4628">
        <v>1</v>
      </c>
      <c r="F4628" t="s">
        <v>6109</v>
      </c>
    </row>
    <row r="4629" spans="1:6" x14ac:dyDescent="0.25">
      <c r="A4629" t="s">
        <v>4201</v>
      </c>
      <c r="B4629" t="s">
        <v>3700</v>
      </c>
      <c r="C4629" t="s">
        <v>3701</v>
      </c>
      <c r="D4629" t="str">
        <f>HYPERLINK("http://service.sap.com/sap/support/notes/1778579","1778579")</f>
        <v>1778579</v>
      </c>
      <c r="E4629">
        <v>1</v>
      </c>
      <c r="F4629" t="s">
        <v>6110</v>
      </c>
    </row>
    <row r="4630" spans="1:6" x14ac:dyDescent="0.25">
      <c r="A4630" t="s">
        <v>4201</v>
      </c>
      <c r="B4630" t="s">
        <v>3700</v>
      </c>
      <c r="C4630" t="s">
        <v>3701</v>
      </c>
      <c r="D4630" t="str">
        <f>HYPERLINK("http://service.sap.com/sap/support/notes/1783772","1783772")</f>
        <v>1783772</v>
      </c>
      <c r="E4630">
        <v>1</v>
      </c>
      <c r="F4630" t="s">
        <v>6111</v>
      </c>
    </row>
    <row r="4631" spans="1:6" x14ac:dyDescent="0.25">
      <c r="A4631" t="s">
        <v>4201</v>
      </c>
      <c r="B4631" t="s">
        <v>3700</v>
      </c>
      <c r="C4631" t="s">
        <v>3701</v>
      </c>
      <c r="D4631" t="str">
        <f>HYPERLINK("http://service.sap.com/sap/support/notes/1789590","1789590")</f>
        <v>1789590</v>
      </c>
      <c r="E4631">
        <v>2</v>
      </c>
      <c r="F4631" t="s">
        <v>6111</v>
      </c>
    </row>
    <row r="4632" spans="1:6" x14ac:dyDescent="0.25">
      <c r="A4632" t="s">
        <v>4201</v>
      </c>
      <c r="B4632" t="s">
        <v>3700</v>
      </c>
      <c r="C4632" t="s">
        <v>3701</v>
      </c>
      <c r="D4632" t="str">
        <f>HYPERLINK("http://service.sap.com/sap/support/notes/1793093","1793093")</f>
        <v>1793093</v>
      </c>
      <c r="E4632">
        <v>1</v>
      </c>
      <c r="F4632" t="s">
        <v>6111</v>
      </c>
    </row>
    <row r="4633" spans="1:6" x14ac:dyDescent="0.25">
      <c r="A4633" t="s">
        <v>4201</v>
      </c>
      <c r="B4633" t="s">
        <v>3700</v>
      </c>
      <c r="C4633" t="s">
        <v>3701</v>
      </c>
      <c r="D4633" t="str">
        <f>HYPERLINK("http://service.sap.com/sap/support/notes/1793635","1793635")</f>
        <v>1793635</v>
      </c>
      <c r="E4633">
        <v>1</v>
      </c>
      <c r="F4633" t="s">
        <v>6109</v>
      </c>
    </row>
    <row r="4634" spans="1:6" x14ac:dyDescent="0.25">
      <c r="A4634" t="s">
        <v>4201</v>
      </c>
      <c r="B4634" t="s">
        <v>3719</v>
      </c>
      <c r="C4634" t="s">
        <v>2999</v>
      </c>
      <c r="D4634" t="str">
        <f>HYPERLINK("http://service.sap.com/sap/support/notes/1666334","1666334")</f>
        <v>1666334</v>
      </c>
      <c r="E4634">
        <v>4</v>
      </c>
      <c r="F4634" t="s">
        <v>6112</v>
      </c>
    </row>
    <row r="4635" spans="1:6" x14ac:dyDescent="0.25">
      <c r="A4635" t="s">
        <v>4201</v>
      </c>
      <c r="B4635" t="s">
        <v>3719</v>
      </c>
      <c r="C4635" t="s">
        <v>2999</v>
      </c>
      <c r="D4635" t="str">
        <f>HYPERLINK("http://service.sap.com/sap/support/notes/1732274","1732274")</f>
        <v>1732274</v>
      </c>
      <c r="E4635">
        <v>3</v>
      </c>
      <c r="F4635" t="s">
        <v>6113</v>
      </c>
    </row>
    <row r="4636" spans="1:6" x14ac:dyDescent="0.25">
      <c r="A4636" t="s">
        <v>4201</v>
      </c>
      <c r="B4636" t="s">
        <v>3719</v>
      </c>
      <c r="C4636" t="s">
        <v>2999</v>
      </c>
      <c r="D4636" t="str">
        <f>HYPERLINK("http://service.sap.com/sap/support/notes/1733110","1733110")</f>
        <v>1733110</v>
      </c>
      <c r="E4636">
        <v>2</v>
      </c>
      <c r="F4636" t="s">
        <v>6114</v>
      </c>
    </row>
    <row r="4637" spans="1:6" x14ac:dyDescent="0.25">
      <c r="A4637" t="s">
        <v>4201</v>
      </c>
      <c r="B4637" t="s">
        <v>3719</v>
      </c>
      <c r="C4637" t="s">
        <v>2999</v>
      </c>
      <c r="D4637" t="str">
        <f>HYPERLINK("http://service.sap.com/sap/support/notes/1741608","1741608")</f>
        <v>1741608</v>
      </c>
      <c r="E4637">
        <v>4</v>
      </c>
      <c r="F4637" t="s">
        <v>6115</v>
      </c>
    </row>
    <row r="4638" spans="1:6" x14ac:dyDescent="0.25">
      <c r="A4638" t="s">
        <v>4201</v>
      </c>
      <c r="B4638" t="s">
        <v>3719</v>
      </c>
      <c r="C4638" t="s">
        <v>2999</v>
      </c>
      <c r="D4638" t="str">
        <f>HYPERLINK("http://service.sap.com/sap/support/notes/1747589","1747589")</f>
        <v>1747589</v>
      </c>
      <c r="E4638">
        <v>3</v>
      </c>
      <c r="F4638" t="s">
        <v>6116</v>
      </c>
    </row>
    <row r="4639" spans="1:6" x14ac:dyDescent="0.25">
      <c r="A4639" t="s">
        <v>4201</v>
      </c>
      <c r="B4639" t="s">
        <v>3719</v>
      </c>
      <c r="C4639" t="s">
        <v>2999</v>
      </c>
      <c r="D4639" t="str">
        <f>HYPERLINK("http://service.sap.com/sap/support/notes/1769771","1769771")</f>
        <v>1769771</v>
      </c>
      <c r="E4639">
        <v>3</v>
      </c>
      <c r="F4639" t="s">
        <v>6117</v>
      </c>
    </row>
    <row r="4640" spans="1:6" x14ac:dyDescent="0.25">
      <c r="A4640" t="s">
        <v>4201</v>
      </c>
      <c r="B4640" t="s">
        <v>3719</v>
      </c>
      <c r="C4640" t="s">
        <v>2999</v>
      </c>
      <c r="D4640" t="str">
        <f>HYPERLINK("http://service.sap.com/sap/support/notes/1770259","1770259")</f>
        <v>1770259</v>
      </c>
      <c r="E4640">
        <v>3</v>
      </c>
      <c r="F4640" t="s">
        <v>6118</v>
      </c>
    </row>
    <row r="4641" spans="1:6" x14ac:dyDescent="0.25">
      <c r="A4641" t="s">
        <v>4201</v>
      </c>
      <c r="B4641" t="s">
        <v>3719</v>
      </c>
      <c r="C4641" t="s">
        <v>2999</v>
      </c>
      <c r="D4641" t="str">
        <f>HYPERLINK("http://service.sap.com/sap/support/notes/1773836","1773836")</f>
        <v>1773836</v>
      </c>
      <c r="E4641">
        <v>3</v>
      </c>
      <c r="F4641" t="s">
        <v>6119</v>
      </c>
    </row>
    <row r="4642" spans="1:6" x14ac:dyDescent="0.25">
      <c r="A4642" t="s">
        <v>4201</v>
      </c>
      <c r="B4642" t="s">
        <v>3719</v>
      </c>
      <c r="C4642" t="s">
        <v>2999</v>
      </c>
      <c r="D4642" t="str">
        <f>HYPERLINK("http://service.sap.com/sap/support/notes/1773894","1773894")</f>
        <v>1773894</v>
      </c>
      <c r="E4642">
        <v>2</v>
      </c>
      <c r="F4642" t="s">
        <v>6120</v>
      </c>
    </row>
    <row r="4643" spans="1:6" x14ac:dyDescent="0.25">
      <c r="A4643" t="s">
        <v>4201</v>
      </c>
      <c r="B4643" t="s">
        <v>3719</v>
      </c>
      <c r="C4643" t="s">
        <v>2999</v>
      </c>
      <c r="D4643" t="str">
        <f>HYPERLINK("http://service.sap.com/sap/support/notes/1783904","1783904")</f>
        <v>1783904</v>
      </c>
      <c r="E4643">
        <v>2</v>
      </c>
      <c r="F4643" t="s">
        <v>6121</v>
      </c>
    </row>
    <row r="4644" spans="1:6" x14ac:dyDescent="0.25">
      <c r="A4644" t="s">
        <v>4201</v>
      </c>
      <c r="B4644" t="s">
        <v>3719</v>
      </c>
      <c r="C4644" t="s">
        <v>2999</v>
      </c>
      <c r="D4644" t="str">
        <f>HYPERLINK("http://service.sap.com/sap/support/notes/1785530","1785530")</f>
        <v>1785530</v>
      </c>
      <c r="E4644">
        <v>2</v>
      </c>
      <c r="F4644" t="s">
        <v>6122</v>
      </c>
    </row>
    <row r="4645" spans="1:6" x14ac:dyDescent="0.25">
      <c r="A4645" t="s">
        <v>4201</v>
      </c>
      <c r="B4645" t="s">
        <v>3719</v>
      </c>
      <c r="C4645" t="s">
        <v>2999</v>
      </c>
      <c r="D4645" t="str">
        <f>HYPERLINK("http://service.sap.com/sap/support/notes/1788819","1788819")</f>
        <v>1788819</v>
      </c>
      <c r="E4645">
        <v>2</v>
      </c>
      <c r="F4645" t="s">
        <v>6123</v>
      </c>
    </row>
    <row r="4646" spans="1:6" x14ac:dyDescent="0.25">
      <c r="A4646" t="s">
        <v>4201</v>
      </c>
      <c r="B4646" t="s">
        <v>3727</v>
      </c>
      <c r="C4646" t="s">
        <v>3728</v>
      </c>
      <c r="D4646" t="str">
        <f>HYPERLINK("http://service.sap.com/sap/support/notes/1652741","1652741")</f>
        <v>1652741</v>
      </c>
      <c r="E4646">
        <v>4</v>
      </c>
      <c r="F4646" t="s">
        <v>6124</v>
      </c>
    </row>
    <row r="4647" spans="1:6" x14ac:dyDescent="0.25">
      <c r="A4647" t="s">
        <v>4201</v>
      </c>
      <c r="B4647" t="s">
        <v>3727</v>
      </c>
      <c r="C4647" t="s">
        <v>3728</v>
      </c>
      <c r="D4647" t="str">
        <f>HYPERLINK("http://service.sap.com/sap/support/notes/1696634","1696634")</f>
        <v>1696634</v>
      </c>
      <c r="E4647">
        <v>4</v>
      </c>
      <c r="F4647" t="s">
        <v>6125</v>
      </c>
    </row>
    <row r="4648" spans="1:6" x14ac:dyDescent="0.25">
      <c r="A4648" t="s">
        <v>4201</v>
      </c>
      <c r="B4648" t="s">
        <v>3727</v>
      </c>
      <c r="C4648" t="s">
        <v>3728</v>
      </c>
      <c r="D4648" t="str">
        <f>HYPERLINK("http://service.sap.com/sap/support/notes/1705636","1705636")</f>
        <v>1705636</v>
      </c>
      <c r="E4648">
        <v>4</v>
      </c>
      <c r="F4648" t="s">
        <v>6126</v>
      </c>
    </row>
    <row r="4649" spans="1:6" x14ac:dyDescent="0.25">
      <c r="A4649" t="s">
        <v>4201</v>
      </c>
      <c r="B4649" t="s">
        <v>3727</v>
      </c>
      <c r="C4649" t="s">
        <v>3728</v>
      </c>
      <c r="D4649" t="str">
        <f>HYPERLINK("http://service.sap.com/sap/support/notes/1706309","1706309")</f>
        <v>1706309</v>
      </c>
      <c r="E4649">
        <v>2</v>
      </c>
      <c r="F4649" t="s">
        <v>3729</v>
      </c>
    </row>
    <row r="4650" spans="1:6" x14ac:dyDescent="0.25">
      <c r="A4650" t="s">
        <v>4201</v>
      </c>
      <c r="B4650" t="s">
        <v>3727</v>
      </c>
      <c r="C4650" t="s">
        <v>3728</v>
      </c>
      <c r="D4650" t="str">
        <f>HYPERLINK("http://service.sap.com/sap/support/notes/1750023","1750023")</f>
        <v>1750023</v>
      </c>
      <c r="E4650">
        <v>3</v>
      </c>
      <c r="F4650" t="s">
        <v>6127</v>
      </c>
    </row>
    <row r="4651" spans="1:6" x14ac:dyDescent="0.25">
      <c r="A4651" t="s">
        <v>4201</v>
      </c>
      <c r="B4651" t="s">
        <v>3727</v>
      </c>
      <c r="C4651" t="s">
        <v>3728</v>
      </c>
      <c r="D4651" t="str">
        <f>HYPERLINK("http://service.sap.com/sap/support/notes/1755123","1755123")</f>
        <v>1755123</v>
      </c>
      <c r="E4651">
        <v>3</v>
      </c>
      <c r="F4651" t="s">
        <v>6128</v>
      </c>
    </row>
    <row r="4652" spans="1:6" x14ac:dyDescent="0.25">
      <c r="A4652" t="s">
        <v>4201</v>
      </c>
      <c r="B4652" t="s">
        <v>3727</v>
      </c>
      <c r="C4652" t="s">
        <v>3728</v>
      </c>
      <c r="D4652" t="str">
        <f>HYPERLINK("http://service.sap.com/sap/support/notes/1768049","1768049")</f>
        <v>1768049</v>
      </c>
      <c r="E4652">
        <v>2</v>
      </c>
      <c r="F4652" t="s">
        <v>6129</v>
      </c>
    </row>
    <row r="4653" spans="1:6" x14ac:dyDescent="0.25">
      <c r="A4653" t="s">
        <v>4201</v>
      </c>
      <c r="B4653" t="s">
        <v>3727</v>
      </c>
      <c r="C4653" t="s">
        <v>3728</v>
      </c>
      <c r="D4653" t="str">
        <f>HYPERLINK("http://service.sap.com/sap/support/notes/1768052","1768052")</f>
        <v>1768052</v>
      </c>
      <c r="E4653">
        <v>2</v>
      </c>
      <c r="F4653" t="s">
        <v>6130</v>
      </c>
    </row>
    <row r="4654" spans="1:6" x14ac:dyDescent="0.25">
      <c r="A4654" t="s">
        <v>4201</v>
      </c>
      <c r="B4654" t="s">
        <v>3727</v>
      </c>
      <c r="C4654" t="s">
        <v>3728</v>
      </c>
      <c r="D4654" t="str">
        <f>HYPERLINK("http://service.sap.com/sap/support/notes/1773766","1773766")</f>
        <v>1773766</v>
      </c>
      <c r="E4654">
        <v>4</v>
      </c>
      <c r="F4654" t="s">
        <v>6131</v>
      </c>
    </row>
    <row r="4655" spans="1:6" x14ac:dyDescent="0.25">
      <c r="A4655" t="s">
        <v>4201</v>
      </c>
      <c r="B4655" t="s">
        <v>3727</v>
      </c>
      <c r="C4655" t="s">
        <v>3728</v>
      </c>
      <c r="D4655" t="str">
        <f>HYPERLINK("http://service.sap.com/sap/support/notes/1773796","1773796")</f>
        <v>1773796</v>
      </c>
      <c r="E4655">
        <v>1</v>
      </c>
      <c r="F4655" t="s">
        <v>6132</v>
      </c>
    </row>
    <row r="4656" spans="1:6" x14ac:dyDescent="0.25">
      <c r="A4656" t="s">
        <v>4201</v>
      </c>
      <c r="B4656" t="s">
        <v>3727</v>
      </c>
      <c r="C4656" t="s">
        <v>3728</v>
      </c>
      <c r="D4656" t="str">
        <f>HYPERLINK("http://service.sap.com/sap/support/notes/1774051","1774051")</f>
        <v>1774051</v>
      </c>
      <c r="E4656">
        <v>1</v>
      </c>
      <c r="F4656" t="s">
        <v>6133</v>
      </c>
    </row>
    <row r="4657" spans="1:6" x14ac:dyDescent="0.25">
      <c r="A4657" t="s">
        <v>4201</v>
      </c>
      <c r="B4657" t="s">
        <v>3727</v>
      </c>
      <c r="C4657" t="s">
        <v>3728</v>
      </c>
      <c r="D4657" t="str">
        <f>HYPERLINK("http://service.sap.com/sap/support/notes/1777925","1777925")</f>
        <v>1777925</v>
      </c>
      <c r="E4657">
        <v>2</v>
      </c>
      <c r="F4657" t="s">
        <v>6134</v>
      </c>
    </row>
    <row r="4658" spans="1:6" x14ac:dyDescent="0.25">
      <c r="A4658" t="s">
        <v>4201</v>
      </c>
      <c r="B4658" t="s">
        <v>3727</v>
      </c>
      <c r="C4658" t="s">
        <v>3728</v>
      </c>
      <c r="D4658" t="str">
        <f>HYPERLINK("http://service.sap.com/sap/support/notes/1782326","1782326")</f>
        <v>1782326</v>
      </c>
      <c r="E4658">
        <v>4</v>
      </c>
      <c r="F4658" t="s">
        <v>6135</v>
      </c>
    </row>
    <row r="4659" spans="1:6" x14ac:dyDescent="0.25">
      <c r="A4659" t="s">
        <v>4201</v>
      </c>
      <c r="B4659" t="s">
        <v>3727</v>
      </c>
      <c r="C4659" t="s">
        <v>3728</v>
      </c>
      <c r="D4659" t="str">
        <f>HYPERLINK("http://service.sap.com/sap/support/notes/1782327","1782327")</f>
        <v>1782327</v>
      </c>
      <c r="E4659">
        <v>2</v>
      </c>
      <c r="F4659" t="s">
        <v>6136</v>
      </c>
    </row>
    <row r="4660" spans="1:6" x14ac:dyDescent="0.25">
      <c r="A4660" t="s">
        <v>4201</v>
      </c>
      <c r="B4660" t="s">
        <v>3727</v>
      </c>
      <c r="C4660" t="s">
        <v>3728</v>
      </c>
      <c r="D4660" t="str">
        <f>HYPERLINK("http://service.sap.com/sap/support/notes/1782959","1782959")</f>
        <v>1782959</v>
      </c>
      <c r="E4660">
        <v>4</v>
      </c>
      <c r="F4660" t="s">
        <v>6137</v>
      </c>
    </row>
    <row r="4661" spans="1:6" x14ac:dyDescent="0.25">
      <c r="A4661" t="s">
        <v>4201</v>
      </c>
      <c r="B4661" t="s">
        <v>3727</v>
      </c>
      <c r="C4661" t="s">
        <v>3728</v>
      </c>
      <c r="D4661" t="str">
        <f>HYPERLINK("http://service.sap.com/sap/support/notes/1786732","1786732")</f>
        <v>1786732</v>
      </c>
      <c r="E4661">
        <v>2</v>
      </c>
      <c r="F4661" t="s">
        <v>6138</v>
      </c>
    </row>
    <row r="4662" spans="1:6" x14ac:dyDescent="0.25">
      <c r="A4662" t="s">
        <v>4201</v>
      </c>
      <c r="B4662" t="s">
        <v>3727</v>
      </c>
      <c r="C4662" t="s">
        <v>3728</v>
      </c>
      <c r="D4662" t="str">
        <f>HYPERLINK("http://service.sap.com/sap/support/notes/1791864","1791864")</f>
        <v>1791864</v>
      </c>
      <c r="E4662">
        <v>1</v>
      </c>
      <c r="F4662" t="s">
        <v>6139</v>
      </c>
    </row>
    <row r="4663" spans="1:6" x14ac:dyDescent="0.25">
      <c r="A4663" t="s">
        <v>4201</v>
      </c>
      <c r="B4663" t="s">
        <v>3727</v>
      </c>
      <c r="C4663" t="s">
        <v>3728</v>
      </c>
      <c r="D4663" t="str">
        <f>HYPERLINK("http://service.sap.com/sap/support/notes/1792936","1792936")</f>
        <v>1792936</v>
      </c>
      <c r="E4663">
        <v>1</v>
      </c>
      <c r="F4663" t="s">
        <v>6140</v>
      </c>
    </row>
    <row r="4664" spans="1:6" x14ac:dyDescent="0.25">
      <c r="A4664" t="s">
        <v>4201</v>
      </c>
      <c r="B4664" t="s">
        <v>3727</v>
      </c>
      <c r="C4664" t="s">
        <v>3728</v>
      </c>
      <c r="D4664" t="str">
        <f>HYPERLINK("http://service.sap.com/sap/support/notes/1794087","1794087")</f>
        <v>1794087</v>
      </c>
      <c r="E4664">
        <v>2</v>
      </c>
      <c r="F4664" t="s">
        <v>6141</v>
      </c>
    </row>
    <row r="4665" spans="1:6" x14ac:dyDescent="0.25">
      <c r="A4665" t="s">
        <v>4201</v>
      </c>
      <c r="B4665" t="s">
        <v>3727</v>
      </c>
      <c r="C4665" t="s">
        <v>3728</v>
      </c>
      <c r="D4665" t="str">
        <f>HYPERLINK("http://service.sap.com/sap/support/notes/1794602","1794602")</f>
        <v>1794602</v>
      </c>
      <c r="E4665">
        <v>1</v>
      </c>
      <c r="F4665" t="s">
        <v>6142</v>
      </c>
    </row>
    <row r="4666" spans="1:6" x14ac:dyDescent="0.25">
      <c r="A4666" t="s">
        <v>4201</v>
      </c>
      <c r="B4666" t="s">
        <v>3727</v>
      </c>
      <c r="C4666" t="s">
        <v>3728</v>
      </c>
      <c r="D4666" t="str">
        <f>HYPERLINK("http://service.sap.com/sap/support/notes/1794951","1794951")</f>
        <v>1794951</v>
      </c>
      <c r="E4666">
        <v>2</v>
      </c>
      <c r="F4666" t="s">
        <v>6137</v>
      </c>
    </row>
    <row r="4667" spans="1:6" x14ac:dyDescent="0.25">
      <c r="A4667" t="s">
        <v>4201</v>
      </c>
      <c r="B4667" t="s">
        <v>3738</v>
      </c>
      <c r="C4667" t="s">
        <v>3739</v>
      </c>
      <c r="D4667" t="str">
        <f>HYPERLINK("http://service.sap.com/sap/support/notes/1767203","1767203")</f>
        <v>1767203</v>
      </c>
      <c r="E4667">
        <v>3</v>
      </c>
      <c r="F4667" t="s">
        <v>6143</v>
      </c>
    </row>
    <row r="4668" spans="1:6" x14ac:dyDescent="0.25">
      <c r="A4668" t="s">
        <v>4201</v>
      </c>
      <c r="B4668" t="s">
        <v>3738</v>
      </c>
      <c r="C4668" t="s">
        <v>3739</v>
      </c>
      <c r="D4668" t="str">
        <f>HYPERLINK("http://service.sap.com/sap/support/notes/1781726","1781726")</f>
        <v>1781726</v>
      </c>
      <c r="E4668">
        <v>1</v>
      </c>
      <c r="F4668" t="s">
        <v>6144</v>
      </c>
    </row>
    <row r="4669" spans="1:6" x14ac:dyDescent="0.25">
      <c r="A4669" t="s">
        <v>4201</v>
      </c>
      <c r="B4669" t="s">
        <v>3751</v>
      </c>
      <c r="C4669" t="s">
        <v>218</v>
      </c>
      <c r="D4669" t="str">
        <f>HYPERLINK("http://service.sap.com/sap/support/notes/1677806","1677806")</f>
        <v>1677806</v>
      </c>
      <c r="E4669">
        <v>5</v>
      </c>
      <c r="F4669" t="s">
        <v>6145</v>
      </c>
    </row>
    <row r="4670" spans="1:6" x14ac:dyDescent="0.25">
      <c r="A4670" t="s">
        <v>4201</v>
      </c>
      <c r="B4670" t="s">
        <v>3751</v>
      </c>
      <c r="C4670" t="s">
        <v>218</v>
      </c>
      <c r="D4670" t="str">
        <f>HYPERLINK("http://service.sap.com/sap/support/notes/1697517","1697517")</f>
        <v>1697517</v>
      </c>
      <c r="E4670">
        <v>8</v>
      </c>
      <c r="F4670" t="s">
        <v>6146</v>
      </c>
    </row>
    <row r="4671" spans="1:6" x14ac:dyDescent="0.25">
      <c r="A4671" t="s">
        <v>4201</v>
      </c>
      <c r="B4671" t="s">
        <v>3751</v>
      </c>
      <c r="C4671" t="s">
        <v>218</v>
      </c>
      <c r="D4671" t="str">
        <f>HYPERLINK("http://service.sap.com/sap/support/notes/1749912","1749912")</f>
        <v>1749912</v>
      </c>
      <c r="E4671">
        <v>4</v>
      </c>
      <c r="F4671" t="s">
        <v>6147</v>
      </c>
    </row>
    <row r="4672" spans="1:6" x14ac:dyDescent="0.25">
      <c r="A4672" t="s">
        <v>4201</v>
      </c>
      <c r="B4672" t="s">
        <v>3751</v>
      </c>
      <c r="C4672" t="s">
        <v>218</v>
      </c>
      <c r="D4672" t="str">
        <f>HYPERLINK("http://service.sap.com/sap/support/notes/1754077","1754077")</f>
        <v>1754077</v>
      </c>
      <c r="E4672">
        <v>2</v>
      </c>
      <c r="F4672" t="s">
        <v>6148</v>
      </c>
    </row>
    <row r="4673" spans="1:6" x14ac:dyDescent="0.25">
      <c r="A4673" t="s">
        <v>4201</v>
      </c>
      <c r="B4673" t="s">
        <v>3751</v>
      </c>
      <c r="C4673" t="s">
        <v>218</v>
      </c>
      <c r="D4673" t="str">
        <f>HYPERLINK("http://service.sap.com/sap/support/notes/1779697","1779697")</f>
        <v>1779697</v>
      </c>
      <c r="E4673">
        <v>1</v>
      </c>
      <c r="F4673" t="s">
        <v>6149</v>
      </c>
    </row>
    <row r="4674" spans="1:6" x14ac:dyDescent="0.25">
      <c r="A4674" t="s">
        <v>4201</v>
      </c>
      <c r="B4674" t="s">
        <v>3751</v>
      </c>
      <c r="C4674" t="s">
        <v>218</v>
      </c>
      <c r="D4674" t="str">
        <f>HYPERLINK("http://service.sap.com/sap/support/notes/1783065","1783065")</f>
        <v>1783065</v>
      </c>
      <c r="E4674">
        <v>4</v>
      </c>
      <c r="F4674" t="s">
        <v>6150</v>
      </c>
    </row>
    <row r="4675" spans="1:6" x14ac:dyDescent="0.25">
      <c r="A4675" t="s">
        <v>4201</v>
      </c>
      <c r="B4675" t="s">
        <v>3751</v>
      </c>
      <c r="C4675" t="s">
        <v>218</v>
      </c>
      <c r="D4675" t="str">
        <f>HYPERLINK("http://service.sap.com/sap/support/notes/1787411","1787411")</f>
        <v>1787411</v>
      </c>
      <c r="E4675">
        <v>2</v>
      </c>
      <c r="F4675" t="s">
        <v>6151</v>
      </c>
    </row>
    <row r="4676" spans="1:6" x14ac:dyDescent="0.25">
      <c r="A4676" t="s">
        <v>4201</v>
      </c>
      <c r="B4676" t="s">
        <v>3764</v>
      </c>
      <c r="C4676" t="s">
        <v>3765</v>
      </c>
      <c r="D4676" t="str">
        <f>HYPERLINK("http://service.sap.com/sap/support/notes/1711095","1711095")</f>
        <v>1711095</v>
      </c>
      <c r="E4676">
        <v>12</v>
      </c>
      <c r="F4676" t="s">
        <v>6152</v>
      </c>
    </row>
    <row r="4677" spans="1:6" x14ac:dyDescent="0.25">
      <c r="A4677" t="s">
        <v>4201</v>
      </c>
      <c r="B4677" t="s">
        <v>3764</v>
      </c>
      <c r="C4677" t="s">
        <v>3765</v>
      </c>
      <c r="D4677" t="str">
        <f>HYPERLINK("http://service.sap.com/sap/support/notes/1746671","1746671")</f>
        <v>1746671</v>
      </c>
      <c r="E4677">
        <v>3</v>
      </c>
      <c r="F4677" t="s">
        <v>6153</v>
      </c>
    </row>
    <row r="4678" spans="1:6" x14ac:dyDescent="0.25">
      <c r="A4678" t="s">
        <v>4201</v>
      </c>
      <c r="B4678" t="s">
        <v>3764</v>
      </c>
      <c r="C4678" t="s">
        <v>3765</v>
      </c>
      <c r="D4678" t="str">
        <f>HYPERLINK("http://service.sap.com/sap/support/notes/1751895","1751895")</f>
        <v>1751895</v>
      </c>
      <c r="E4678">
        <v>3</v>
      </c>
      <c r="F4678" t="s">
        <v>6154</v>
      </c>
    </row>
    <row r="4679" spans="1:6" x14ac:dyDescent="0.25">
      <c r="A4679" t="s">
        <v>4201</v>
      </c>
      <c r="B4679" t="s">
        <v>3764</v>
      </c>
      <c r="C4679" t="s">
        <v>3765</v>
      </c>
      <c r="D4679" t="str">
        <f>HYPERLINK("http://service.sap.com/sap/support/notes/1758473","1758473")</f>
        <v>1758473</v>
      </c>
      <c r="E4679">
        <v>3</v>
      </c>
      <c r="F4679" t="s">
        <v>6155</v>
      </c>
    </row>
    <row r="4680" spans="1:6" x14ac:dyDescent="0.25">
      <c r="A4680" t="s">
        <v>4201</v>
      </c>
      <c r="B4680" t="s">
        <v>3764</v>
      </c>
      <c r="C4680" t="s">
        <v>3765</v>
      </c>
      <c r="D4680" t="str">
        <f>HYPERLINK("http://service.sap.com/sap/support/notes/1763565","1763565")</f>
        <v>1763565</v>
      </c>
      <c r="E4680">
        <v>3</v>
      </c>
      <c r="F4680" t="s">
        <v>6156</v>
      </c>
    </row>
    <row r="4681" spans="1:6" x14ac:dyDescent="0.25">
      <c r="A4681" t="s">
        <v>4201</v>
      </c>
      <c r="B4681" t="s">
        <v>3764</v>
      </c>
      <c r="C4681" t="s">
        <v>3765</v>
      </c>
      <c r="D4681" t="str">
        <f>HYPERLINK("http://service.sap.com/sap/support/notes/1765030","1765030")</f>
        <v>1765030</v>
      </c>
      <c r="E4681">
        <v>1</v>
      </c>
      <c r="F4681" t="s">
        <v>6157</v>
      </c>
    </row>
    <row r="4682" spans="1:6" x14ac:dyDescent="0.25">
      <c r="A4682" t="s">
        <v>4201</v>
      </c>
      <c r="B4682" t="s">
        <v>3764</v>
      </c>
      <c r="C4682" t="s">
        <v>3765</v>
      </c>
      <c r="D4682" t="str">
        <f>HYPERLINK("http://service.sap.com/sap/support/notes/1767815","1767815")</f>
        <v>1767815</v>
      </c>
      <c r="E4682">
        <v>1</v>
      </c>
      <c r="F4682" t="s">
        <v>6158</v>
      </c>
    </row>
    <row r="4683" spans="1:6" x14ac:dyDescent="0.25">
      <c r="A4683" t="s">
        <v>4201</v>
      </c>
      <c r="B4683" t="s">
        <v>3764</v>
      </c>
      <c r="C4683" t="s">
        <v>3765</v>
      </c>
      <c r="D4683" t="str">
        <f>HYPERLINK("http://service.sap.com/sap/support/notes/1767984","1767984")</f>
        <v>1767984</v>
      </c>
      <c r="E4683">
        <v>1</v>
      </c>
      <c r="F4683" t="s">
        <v>6159</v>
      </c>
    </row>
    <row r="4684" spans="1:6" x14ac:dyDescent="0.25">
      <c r="A4684" t="s">
        <v>4201</v>
      </c>
      <c r="B4684" t="s">
        <v>3764</v>
      </c>
      <c r="C4684" t="s">
        <v>3765</v>
      </c>
      <c r="D4684" t="str">
        <f>HYPERLINK("http://service.sap.com/sap/support/notes/1768140","1768140")</f>
        <v>1768140</v>
      </c>
      <c r="E4684">
        <v>2</v>
      </c>
      <c r="F4684" t="s">
        <v>6160</v>
      </c>
    </row>
    <row r="4685" spans="1:6" x14ac:dyDescent="0.25">
      <c r="A4685" t="s">
        <v>4201</v>
      </c>
      <c r="B4685" t="s">
        <v>3764</v>
      </c>
      <c r="C4685" t="s">
        <v>3765</v>
      </c>
      <c r="D4685" t="str">
        <f>HYPERLINK("http://service.sap.com/sap/support/notes/1768622","1768622")</f>
        <v>1768622</v>
      </c>
      <c r="E4685">
        <v>2</v>
      </c>
      <c r="F4685" t="s">
        <v>6161</v>
      </c>
    </row>
    <row r="4686" spans="1:6" x14ac:dyDescent="0.25">
      <c r="A4686" t="s">
        <v>4201</v>
      </c>
      <c r="B4686" t="s">
        <v>3764</v>
      </c>
      <c r="C4686" t="s">
        <v>3765</v>
      </c>
      <c r="D4686" t="str">
        <f>HYPERLINK("http://service.sap.com/sap/support/notes/1769228","1769228")</f>
        <v>1769228</v>
      </c>
      <c r="E4686">
        <v>2</v>
      </c>
      <c r="F4686" t="s">
        <v>6162</v>
      </c>
    </row>
    <row r="4687" spans="1:6" x14ac:dyDescent="0.25">
      <c r="A4687" t="s">
        <v>4201</v>
      </c>
      <c r="B4687" t="s">
        <v>3764</v>
      </c>
      <c r="C4687" t="s">
        <v>3765</v>
      </c>
      <c r="D4687" t="str">
        <f>HYPERLINK("http://service.sap.com/sap/support/notes/1770458","1770458")</f>
        <v>1770458</v>
      </c>
      <c r="E4687">
        <v>2</v>
      </c>
      <c r="F4687" t="s">
        <v>6163</v>
      </c>
    </row>
    <row r="4688" spans="1:6" x14ac:dyDescent="0.25">
      <c r="A4688" t="s">
        <v>4201</v>
      </c>
      <c r="B4688" t="s">
        <v>3764</v>
      </c>
      <c r="C4688" t="s">
        <v>3765</v>
      </c>
      <c r="D4688" t="str">
        <f>HYPERLINK("http://service.sap.com/sap/support/notes/1771953","1771953")</f>
        <v>1771953</v>
      </c>
      <c r="E4688">
        <v>2</v>
      </c>
      <c r="F4688" t="s">
        <v>6164</v>
      </c>
    </row>
    <row r="4689" spans="1:6" x14ac:dyDescent="0.25">
      <c r="A4689" t="s">
        <v>4201</v>
      </c>
      <c r="B4689" t="s">
        <v>3764</v>
      </c>
      <c r="C4689" t="s">
        <v>3765</v>
      </c>
      <c r="D4689" t="str">
        <f>HYPERLINK("http://service.sap.com/sap/support/notes/1772585","1772585")</f>
        <v>1772585</v>
      </c>
      <c r="E4689">
        <v>2</v>
      </c>
      <c r="F4689" t="s">
        <v>6165</v>
      </c>
    </row>
    <row r="4690" spans="1:6" x14ac:dyDescent="0.25">
      <c r="A4690" t="s">
        <v>4201</v>
      </c>
      <c r="B4690" t="s">
        <v>3764</v>
      </c>
      <c r="C4690" t="s">
        <v>3765</v>
      </c>
      <c r="D4690" t="str">
        <f>HYPERLINK("http://service.sap.com/sap/support/notes/1772654","1772654")</f>
        <v>1772654</v>
      </c>
      <c r="E4690">
        <v>2</v>
      </c>
      <c r="F4690" t="s">
        <v>6166</v>
      </c>
    </row>
    <row r="4691" spans="1:6" x14ac:dyDescent="0.25">
      <c r="A4691" t="s">
        <v>4201</v>
      </c>
      <c r="B4691" t="s">
        <v>3764</v>
      </c>
      <c r="C4691" t="s">
        <v>3765</v>
      </c>
      <c r="D4691" t="str">
        <f>HYPERLINK("http://service.sap.com/sap/support/notes/1773093","1773093")</f>
        <v>1773093</v>
      </c>
      <c r="E4691">
        <v>1</v>
      </c>
      <c r="F4691" t="s">
        <v>6167</v>
      </c>
    </row>
    <row r="4692" spans="1:6" x14ac:dyDescent="0.25">
      <c r="A4692" t="s">
        <v>4201</v>
      </c>
      <c r="B4692" t="s">
        <v>3764</v>
      </c>
      <c r="C4692" t="s">
        <v>3765</v>
      </c>
      <c r="D4692" t="str">
        <f>HYPERLINK("http://service.sap.com/sap/support/notes/1773709","1773709")</f>
        <v>1773709</v>
      </c>
      <c r="E4692">
        <v>2</v>
      </c>
      <c r="F4692" t="s">
        <v>6168</v>
      </c>
    </row>
    <row r="4693" spans="1:6" x14ac:dyDescent="0.25">
      <c r="A4693" t="s">
        <v>4201</v>
      </c>
      <c r="B4693" t="s">
        <v>3764</v>
      </c>
      <c r="C4693" t="s">
        <v>3765</v>
      </c>
      <c r="D4693" t="str">
        <f>HYPERLINK("http://service.sap.com/sap/support/notes/1774636","1774636")</f>
        <v>1774636</v>
      </c>
      <c r="E4693">
        <v>5</v>
      </c>
      <c r="F4693" t="s">
        <v>6169</v>
      </c>
    </row>
    <row r="4694" spans="1:6" x14ac:dyDescent="0.25">
      <c r="A4694" t="s">
        <v>4201</v>
      </c>
      <c r="B4694" t="s">
        <v>3764</v>
      </c>
      <c r="C4694" t="s">
        <v>3765</v>
      </c>
      <c r="D4694" t="str">
        <f>HYPERLINK("http://service.sap.com/sap/support/notes/1774793","1774793")</f>
        <v>1774793</v>
      </c>
      <c r="E4694">
        <v>1</v>
      </c>
      <c r="F4694" t="s">
        <v>6170</v>
      </c>
    </row>
    <row r="4695" spans="1:6" x14ac:dyDescent="0.25">
      <c r="A4695" t="s">
        <v>4201</v>
      </c>
      <c r="B4695" t="s">
        <v>3764</v>
      </c>
      <c r="C4695" t="s">
        <v>3765</v>
      </c>
      <c r="D4695" t="str">
        <f>HYPERLINK("http://service.sap.com/sap/support/notes/1775723","1775723")</f>
        <v>1775723</v>
      </c>
      <c r="E4695">
        <v>1</v>
      </c>
      <c r="F4695" t="s">
        <v>6171</v>
      </c>
    </row>
    <row r="4696" spans="1:6" x14ac:dyDescent="0.25">
      <c r="A4696" t="s">
        <v>4201</v>
      </c>
      <c r="B4696" t="s">
        <v>3764</v>
      </c>
      <c r="C4696" t="s">
        <v>3765</v>
      </c>
      <c r="D4696" t="str">
        <f>HYPERLINK("http://service.sap.com/sap/support/notes/1776965","1776965")</f>
        <v>1776965</v>
      </c>
      <c r="E4696">
        <v>3</v>
      </c>
      <c r="F4696" t="s">
        <v>6172</v>
      </c>
    </row>
    <row r="4697" spans="1:6" x14ac:dyDescent="0.25">
      <c r="A4697" t="s">
        <v>4201</v>
      </c>
      <c r="B4697" t="s">
        <v>3764</v>
      </c>
      <c r="C4697" t="s">
        <v>3765</v>
      </c>
      <c r="D4697" t="str">
        <f>HYPERLINK("http://service.sap.com/sap/support/notes/1777253","1777253")</f>
        <v>1777253</v>
      </c>
      <c r="E4697">
        <v>1</v>
      </c>
      <c r="F4697" t="s">
        <v>6173</v>
      </c>
    </row>
    <row r="4698" spans="1:6" x14ac:dyDescent="0.25">
      <c r="A4698" t="s">
        <v>4201</v>
      </c>
      <c r="B4698" t="s">
        <v>3764</v>
      </c>
      <c r="C4698" t="s">
        <v>3765</v>
      </c>
      <c r="D4698" t="str">
        <f>HYPERLINK("http://service.sap.com/sap/support/notes/1777685","1777685")</f>
        <v>1777685</v>
      </c>
      <c r="E4698">
        <v>1</v>
      </c>
      <c r="F4698" t="s">
        <v>6174</v>
      </c>
    </row>
    <row r="4699" spans="1:6" x14ac:dyDescent="0.25">
      <c r="A4699" t="s">
        <v>4201</v>
      </c>
      <c r="B4699" t="s">
        <v>3764</v>
      </c>
      <c r="C4699" t="s">
        <v>3765</v>
      </c>
      <c r="D4699" t="str">
        <f>HYPERLINK("http://service.sap.com/sap/support/notes/1777776","1777776")</f>
        <v>1777776</v>
      </c>
      <c r="E4699">
        <v>1</v>
      </c>
      <c r="F4699" t="s">
        <v>6175</v>
      </c>
    </row>
    <row r="4700" spans="1:6" x14ac:dyDescent="0.25">
      <c r="A4700" t="s">
        <v>4201</v>
      </c>
      <c r="B4700" t="s">
        <v>3764</v>
      </c>
      <c r="C4700" t="s">
        <v>3765</v>
      </c>
      <c r="D4700" t="str">
        <f>HYPERLINK("http://service.sap.com/sap/support/notes/1778415","1778415")</f>
        <v>1778415</v>
      </c>
      <c r="E4700">
        <v>2</v>
      </c>
      <c r="F4700" t="s">
        <v>6176</v>
      </c>
    </row>
    <row r="4701" spans="1:6" x14ac:dyDescent="0.25">
      <c r="A4701" t="s">
        <v>4201</v>
      </c>
      <c r="B4701" t="s">
        <v>3764</v>
      </c>
      <c r="C4701" t="s">
        <v>3765</v>
      </c>
      <c r="D4701" t="str">
        <f>HYPERLINK("http://service.sap.com/sap/support/notes/1779143","1779143")</f>
        <v>1779143</v>
      </c>
      <c r="E4701">
        <v>1</v>
      </c>
      <c r="F4701" t="s">
        <v>6177</v>
      </c>
    </row>
    <row r="4702" spans="1:6" x14ac:dyDescent="0.25">
      <c r="A4702" t="s">
        <v>4201</v>
      </c>
      <c r="B4702" t="s">
        <v>3764</v>
      </c>
      <c r="C4702" t="s">
        <v>3765</v>
      </c>
      <c r="D4702" t="str">
        <f>HYPERLINK("http://service.sap.com/sap/support/notes/1779216","1779216")</f>
        <v>1779216</v>
      </c>
      <c r="E4702">
        <v>1</v>
      </c>
      <c r="F4702" t="s">
        <v>6178</v>
      </c>
    </row>
    <row r="4703" spans="1:6" x14ac:dyDescent="0.25">
      <c r="A4703" t="s">
        <v>4201</v>
      </c>
      <c r="B4703" t="s">
        <v>3764</v>
      </c>
      <c r="C4703" t="s">
        <v>3765</v>
      </c>
      <c r="D4703" t="str">
        <f>HYPERLINK("http://service.sap.com/sap/support/notes/1779693","1779693")</f>
        <v>1779693</v>
      </c>
      <c r="E4703">
        <v>3</v>
      </c>
      <c r="F4703" t="s">
        <v>6179</v>
      </c>
    </row>
    <row r="4704" spans="1:6" x14ac:dyDescent="0.25">
      <c r="A4704" t="s">
        <v>4201</v>
      </c>
      <c r="B4704" t="s">
        <v>3764</v>
      </c>
      <c r="C4704" t="s">
        <v>3765</v>
      </c>
      <c r="D4704" t="str">
        <f>HYPERLINK("http://service.sap.com/sap/support/notes/1781245","1781245")</f>
        <v>1781245</v>
      </c>
      <c r="E4704">
        <v>1</v>
      </c>
      <c r="F4704" t="s">
        <v>6180</v>
      </c>
    </row>
    <row r="4705" spans="1:6" x14ac:dyDescent="0.25">
      <c r="A4705" t="s">
        <v>4201</v>
      </c>
      <c r="B4705" t="s">
        <v>3764</v>
      </c>
      <c r="C4705" t="s">
        <v>3765</v>
      </c>
      <c r="D4705" t="str">
        <f>HYPERLINK("http://service.sap.com/sap/support/notes/1781257","1781257")</f>
        <v>1781257</v>
      </c>
      <c r="E4705">
        <v>1</v>
      </c>
      <c r="F4705" t="s">
        <v>6181</v>
      </c>
    </row>
    <row r="4706" spans="1:6" x14ac:dyDescent="0.25">
      <c r="A4706" t="s">
        <v>4201</v>
      </c>
      <c r="B4706" t="s">
        <v>3764</v>
      </c>
      <c r="C4706" t="s">
        <v>3765</v>
      </c>
      <c r="D4706" t="str">
        <f>HYPERLINK("http://service.sap.com/sap/support/notes/1781930","1781930")</f>
        <v>1781930</v>
      </c>
      <c r="E4706">
        <v>1</v>
      </c>
      <c r="F4706" t="s">
        <v>6182</v>
      </c>
    </row>
    <row r="4707" spans="1:6" x14ac:dyDescent="0.25">
      <c r="A4707" t="s">
        <v>4201</v>
      </c>
      <c r="B4707" t="s">
        <v>3764</v>
      </c>
      <c r="C4707" t="s">
        <v>3765</v>
      </c>
      <c r="D4707" t="str">
        <f>HYPERLINK("http://service.sap.com/sap/support/notes/1785471","1785471")</f>
        <v>1785471</v>
      </c>
      <c r="E4707">
        <v>3</v>
      </c>
      <c r="F4707" t="s">
        <v>6183</v>
      </c>
    </row>
    <row r="4708" spans="1:6" x14ac:dyDescent="0.25">
      <c r="A4708" t="s">
        <v>4201</v>
      </c>
      <c r="B4708" t="s">
        <v>3764</v>
      </c>
      <c r="C4708" t="s">
        <v>3765</v>
      </c>
      <c r="D4708" t="str">
        <f>HYPERLINK("http://service.sap.com/sap/support/notes/1789219","1789219")</f>
        <v>1789219</v>
      </c>
      <c r="E4708">
        <v>2</v>
      </c>
      <c r="F4708" t="s">
        <v>6184</v>
      </c>
    </row>
    <row r="4709" spans="1:6" x14ac:dyDescent="0.25">
      <c r="A4709" t="s">
        <v>4201</v>
      </c>
      <c r="B4709" t="s">
        <v>3764</v>
      </c>
      <c r="C4709" t="s">
        <v>3765</v>
      </c>
      <c r="D4709" t="str">
        <f>HYPERLINK("http://service.sap.com/sap/support/notes/1791888","1791888")</f>
        <v>1791888</v>
      </c>
      <c r="E4709">
        <v>1</v>
      </c>
      <c r="F4709" t="s">
        <v>6185</v>
      </c>
    </row>
    <row r="4710" spans="1:6" x14ac:dyDescent="0.25">
      <c r="A4710" t="s">
        <v>4201</v>
      </c>
      <c r="B4710" t="s">
        <v>3797</v>
      </c>
      <c r="C4710" t="s">
        <v>3798</v>
      </c>
      <c r="D4710" t="str">
        <f>HYPERLINK("http://service.sap.com/sap/support/notes/1763469","1763469")</f>
        <v>1763469</v>
      </c>
      <c r="E4710">
        <v>1</v>
      </c>
      <c r="F4710" t="s">
        <v>6186</v>
      </c>
    </row>
    <row r="4711" spans="1:6" x14ac:dyDescent="0.25">
      <c r="A4711" t="s">
        <v>4201</v>
      </c>
      <c r="B4711" t="s">
        <v>3797</v>
      </c>
      <c r="C4711" t="s">
        <v>3798</v>
      </c>
      <c r="D4711" t="str">
        <f>HYPERLINK("http://service.sap.com/sap/support/notes/1769137","1769137")</f>
        <v>1769137</v>
      </c>
      <c r="E4711">
        <v>1</v>
      </c>
      <c r="F4711" t="s">
        <v>6187</v>
      </c>
    </row>
    <row r="4712" spans="1:6" x14ac:dyDescent="0.25">
      <c r="A4712" t="s">
        <v>4201</v>
      </c>
      <c r="B4712" t="s">
        <v>3797</v>
      </c>
      <c r="C4712" t="s">
        <v>3798</v>
      </c>
      <c r="D4712" t="str">
        <f>HYPERLINK("http://service.sap.com/sap/support/notes/1773064","1773064")</f>
        <v>1773064</v>
      </c>
      <c r="E4712">
        <v>2</v>
      </c>
      <c r="F4712" t="s">
        <v>6188</v>
      </c>
    </row>
    <row r="4713" spans="1:6" x14ac:dyDescent="0.25">
      <c r="A4713" t="s">
        <v>4201</v>
      </c>
      <c r="B4713" t="s">
        <v>3797</v>
      </c>
      <c r="C4713" t="s">
        <v>3798</v>
      </c>
      <c r="D4713" t="str">
        <f>HYPERLINK("http://service.sap.com/sap/support/notes/1779115","1779115")</f>
        <v>1779115</v>
      </c>
      <c r="E4713">
        <v>2</v>
      </c>
      <c r="F4713" t="s">
        <v>6189</v>
      </c>
    </row>
    <row r="4714" spans="1:6" x14ac:dyDescent="0.25">
      <c r="A4714" t="s">
        <v>4201</v>
      </c>
      <c r="B4714" t="s">
        <v>3797</v>
      </c>
      <c r="C4714" t="s">
        <v>3798</v>
      </c>
      <c r="D4714" t="str">
        <f>HYPERLINK("http://service.sap.com/sap/support/notes/1787194","1787194")</f>
        <v>1787194</v>
      </c>
      <c r="E4714">
        <v>1</v>
      </c>
      <c r="F4714" t="s">
        <v>6190</v>
      </c>
    </row>
    <row r="4715" spans="1:6" x14ac:dyDescent="0.25">
      <c r="A4715" t="s">
        <v>4201</v>
      </c>
      <c r="B4715" t="s">
        <v>3817</v>
      </c>
      <c r="C4715" t="s">
        <v>2477</v>
      </c>
      <c r="D4715" t="str">
        <f>HYPERLINK("http://service.sap.com/sap/support/notes/1725234","1725234")</f>
        <v>1725234</v>
      </c>
      <c r="E4715">
        <v>2</v>
      </c>
      <c r="F4715" t="s">
        <v>6191</v>
      </c>
    </row>
    <row r="4716" spans="1:6" x14ac:dyDescent="0.25">
      <c r="A4716" t="s">
        <v>4201</v>
      </c>
      <c r="B4716" t="s">
        <v>3817</v>
      </c>
      <c r="C4716" t="s">
        <v>2477</v>
      </c>
      <c r="D4716" t="str">
        <f>HYPERLINK("http://service.sap.com/sap/support/notes/1733244","1733244")</f>
        <v>1733244</v>
      </c>
      <c r="E4716">
        <v>3</v>
      </c>
      <c r="F4716" t="s">
        <v>6192</v>
      </c>
    </row>
    <row r="4717" spans="1:6" x14ac:dyDescent="0.25">
      <c r="A4717" t="s">
        <v>4201</v>
      </c>
      <c r="B4717" t="s">
        <v>3817</v>
      </c>
      <c r="C4717" t="s">
        <v>2477</v>
      </c>
      <c r="D4717" t="str">
        <f>HYPERLINK("http://service.sap.com/sap/support/notes/1733712","1733712")</f>
        <v>1733712</v>
      </c>
      <c r="E4717">
        <v>3</v>
      </c>
      <c r="F4717" t="s">
        <v>6193</v>
      </c>
    </row>
    <row r="4718" spans="1:6" x14ac:dyDescent="0.25">
      <c r="A4718" t="s">
        <v>4201</v>
      </c>
      <c r="B4718" t="s">
        <v>3817</v>
      </c>
      <c r="C4718" t="s">
        <v>2477</v>
      </c>
      <c r="D4718" t="str">
        <f>HYPERLINK("http://service.sap.com/sap/support/notes/1733829","1733829")</f>
        <v>1733829</v>
      </c>
      <c r="E4718">
        <v>8</v>
      </c>
      <c r="F4718" t="s">
        <v>6194</v>
      </c>
    </row>
    <row r="4719" spans="1:6" x14ac:dyDescent="0.25">
      <c r="A4719" t="s">
        <v>4201</v>
      </c>
      <c r="B4719" t="s">
        <v>3817</v>
      </c>
      <c r="C4719" t="s">
        <v>2477</v>
      </c>
      <c r="D4719" t="str">
        <f>HYPERLINK("http://service.sap.com/sap/support/notes/1759281","1759281")</f>
        <v>1759281</v>
      </c>
      <c r="E4719">
        <v>1</v>
      </c>
      <c r="F4719" t="s">
        <v>6195</v>
      </c>
    </row>
    <row r="4720" spans="1:6" x14ac:dyDescent="0.25">
      <c r="A4720" t="s">
        <v>4201</v>
      </c>
      <c r="B4720" t="s">
        <v>3817</v>
      </c>
      <c r="C4720" t="s">
        <v>2477</v>
      </c>
      <c r="D4720" t="str">
        <f>HYPERLINK("http://service.sap.com/sap/support/notes/1760457","1760457")</f>
        <v>1760457</v>
      </c>
      <c r="E4720">
        <v>2</v>
      </c>
      <c r="F4720" t="s">
        <v>6196</v>
      </c>
    </row>
    <row r="4721" spans="1:6" x14ac:dyDescent="0.25">
      <c r="A4721" t="s">
        <v>4201</v>
      </c>
      <c r="B4721" t="s">
        <v>3817</v>
      </c>
      <c r="C4721" t="s">
        <v>2477</v>
      </c>
      <c r="D4721" t="str">
        <f>HYPERLINK("http://service.sap.com/sap/support/notes/1760779","1760779")</f>
        <v>1760779</v>
      </c>
      <c r="E4721">
        <v>1</v>
      </c>
      <c r="F4721" t="s">
        <v>6197</v>
      </c>
    </row>
    <row r="4722" spans="1:6" x14ac:dyDescent="0.25">
      <c r="A4722" t="s">
        <v>4201</v>
      </c>
      <c r="B4722" t="s">
        <v>3817</v>
      </c>
      <c r="C4722" t="s">
        <v>2477</v>
      </c>
      <c r="D4722" t="str">
        <f>HYPERLINK("http://service.sap.com/sap/support/notes/1764503","1764503")</f>
        <v>1764503</v>
      </c>
      <c r="E4722">
        <v>1</v>
      </c>
      <c r="F4722" t="s">
        <v>6198</v>
      </c>
    </row>
    <row r="4723" spans="1:6" x14ac:dyDescent="0.25">
      <c r="A4723" t="s">
        <v>4201</v>
      </c>
      <c r="B4723" t="s">
        <v>3817</v>
      </c>
      <c r="C4723" t="s">
        <v>2477</v>
      </c>
      <c r="D4723" t="str">
        <f>HYPERLINK("http://service.sap.com/sap/support/notes/1766205","1766205")</f>
        <v>1766205</v>
      </c>
      <c r="E4723">
        <v>5</v>
      </c>
      <c r="F4723" t="s">
        <v>6199</v>
      </c>
    </row>
    <row r="4724" spans="1:6" x14ac:dyDescent="0.25">
      <c r="A4724" t="s">
        <v>4201</v>
      </c>
      <c r="B4724" t="s">
        <v>3817</v>
      </c>
      <c r="C4724" t="s">
        <v>2477</v>
      </c>
      <c r="D4724" t="str">
        <f>HYPERLINK("http://service.sap.com/sap/support/notes/1770301","1770301")</f>
        <v>1770301</v>
      </c>
      <c r="E4724">
        <v>2</v>
      </c>
      <c r="F4724" t="s">
        <v>6200</v>
      </c>
    </row>
    <row r="4725" spans="1:6" x14ac:dyDescent="0.25">
      <c r="A4725" t="s">
        <v>4201</v>
      </c>
      <c r="B4725" t="s">
        <v>3817</v>
      </c>
      <c r="C4725" t="s">
        <v>2477</v>
      </c>
      <c r="D4725" t="str">
        <f>HYPERLINK("http://service.sap.com/sap/support/notes/1771707","1771707")</f>
        <v>1771707</v>
      </c>
      <c r="E4725">
        <v>3</v>
      </c>
      <c r="F4725" t="s">
        <v>6201</v>
      </c>
    </row>
    <row r="4726" spans="1:6" x14ac:dyDescent="0.25">
      <c r="A4726" t="s">
        <v>4201</v>
      </c>
      <c r="B4726" t="s">
        <v>3817</v>
      </c>
      <c r="C4726" t="s">
        <v>2477</v>
      </c>
      <c r="D4726" t="str">
        <f>HYPERLINK("http://service.sap.com/sap/support/notes/1774208","1774208")</f>
        <v>1774208</v>
      </c>
      <c r="E4726">
        <v>2</v>
      </c>
      <c r="F4726" t="s">
        <v>6202</v>
      </c>
    </row>
    <row r="4727" spans="1:6" x14ac:dyDescent="0.25">
      <c r="A4727" t="s">
        <v>4201</v>
      </c>
      <c r="B4727" t="s">
        <v>3817</v>
      </c>
      <c r="C4727" t="s">
        <v>2477</v>
      </c>
      <c r="D4727" t="str">
        <f>HYPERLINK("http://service.sap.com/sap/support/notes/1777409","1777409")</f>
        <v>1777409</v>
      </c>
      <c r="E4727">
        <v>1</v>
      </c>
      <c r="F4727" t="s">
        <v>6203</v>
      </c>
    </row>
    <row r="4728" spans="1:6" x14ac:dyDescent="0.25">
      <c r="A4728" t="s">
        <v>4201</v>
      </c>
      <c r="B4728" t="s">
        <v>3817</v>
      </c>
      <c r="C4728" t="s">
        <v>2477</v>
      </c>
      <c r="D4728" t="str">
        <f>HYPERLINK("http://service.sap.com/sap/support/notes/1778173","1778173")</f>
        <v>1778173</v>
      </c>
      <c r="E4728">
        <v>1</v>
      </c>
      <c r="F4728" t="s">
        <v>6204</v>
      </c>
    </row>
    <row r="4729" spans="1:6" x14ac:dyDescent="0.25">
      <c r="A4729" t="s">
        <v>4201</v>
      </c>
      <c r="B4729" t="s">
        <v>3817</v>
      </c>
      <c r="C4729" t="s">
        <v>2477</v>
      </c>
      <c r="D4729" t="str">
        <f>HYPERLINK("http://service.sap.com/sap/support/notes/1778507","1778507")</f>
        <v>1778507</v>
      </c>
      <c r="E4729">
        <v>1</v>
      </c>
      <c r="F4729" t="s">
        <v>6205</v>
      </c>
    </row>
    <row r="4730" spans="1:6" x14ac:dyDescent="0.25">
      <c r="A4730" t="s">
        <v>4201</v>
      </c>
      <c r="B4730" t="s">
        <v>3817</v>
      </c>
      <c r="C4730" t="s">
        <v>2477</v>
      </c>
      <c r="D4730" t="str">
        <f>HYPERLINK("http://service.sap.com/sap/support/notes/1780378","1780378")</f>
        <v>1780378</v>
      </c>
      <c r="E4730">
        <v>1</v>
      </c>
      <c r="F4730" t="s">
        <v>6206</v>
      </c>
    </row>
    <row r="4731" spans="1:6" x14ac:dyDescent="0.25">
      <c r="A4731" t="s">
        <v>4201</v>
      </c>
      <c r="B4731" t="s">
        <v>3817</v>
      </c>
      <c r="C4731" t="s">
        <v>2477</v>
      </c>
      <c r="D4731" t="str">
        <f>HYPERLINK("http://service.sap.com/sap/support/notes/1781972","1781972")</f>
        <v>1781972</v>
      </c>
      <c r="E4731">
        <v>1</v>
      </c>
      <c r="F4731" t="s">
        <v>6207</v>
      </c>
    </row>
    <row r="4732" spans="1:6" x14ac:dyDescent="0.25">
      <c r="A4732" t="s">
        <v>4201</v>
      </c>
      <c r="B4732" t="s">
        <v>3817</v>
      </c>
      <c r="C4732" t="s">
        <v>2477</v>
      </c>
      <c r="D4732" t="str">
        <f>HYPERLINK("http://service.sap.com/sap/support/notes/1783045","1783045")</f>
        <v>1783045</v>
      </c>
      <c r="E4732">
        <v>1</v>
      </c>
      <c r="F4732" t="s">
        <v>6208</v>
      </c>
    </row>
    <row r="4733" spans="1:6" x14ac:dyDescent="0.25">
      <c r="A4733" t="s">
        <v>4201</v>
      </c>
      <c r="B4733" t="s">
        <v>3841</v>
      </c>
      <c r="C4733" t="s">
        <v>3842</v>
      </c>
      <c r="D4733" t="str">
        <f>HYPERLINK("http://service.sap.com/sap/support/notes/1759830","1759830")</f>
        <v>1759830</v>
      </c>
      <c r="E4733">
        <v>4</v>
      </c>
      <c r="F4733" t="s">
        <v>6209</v>
      </c>
    </row>
    <row r="4734" spans="1:6" x14ac:dyDescent="0.25">
      <c r="A4734" t="s">
        <v>4201</v>
      </c>
      <c r="B4734" t="s">
        <v>3841</v>
      </c>
      <c r="C4734" t="s">
        <v>3842</v>
      </c>
      <c r="D4734" t="str">
        <f>HYPERLINK("http://service.sap.com/sap/support/notes/1777411","1777411")</f>
        <v>1777411</v>
      </c>
      <c r="E4734">
        <v>4</v>
      </c>
      <c r="F4734" t="s">
        <v>6210</v>
      </c>
    </row>
    <row r="4735" spans="1:6" x14ac:dyDescent="0.25">
      <c r="A4735" t="s">
        <v>4201</v>
      </c>
      <c r="B4735" t="s">
        <v>3841</v>
      </c>
      <c r="C4735" t="s">
        <v>3842</v>
      </c>
      <c r="D4735" t="str">
        <f>HYPERLINK("http://service.sap.com/sap/support/notes/1779526","1779526")</f>
        <v>1779526</v>
      </c>
      <c r="E4735">
        <v>2</v>
      </c>
      <c r="F4735" t="s">
        <v>6211</v>
      </c>
    </row>
    <row r="4736" spans="1:6" x14ac:dyDescent="0.25">
      <c r="A4736" t="s">
        <v>4201</v>
      </c>
      <c r="B4736" t="s">
        <v>3841</v>
      </c>
      <c r="C4736" t="s">
        <v>3842</v>
      </c>
      <c r="D4736" t="str">
        <f>HYPERLINK("http://service.sap.com/sap/support/notes/1780215","1780215")</f>
        <v>1780215</v>
      </c>
      <c r="E4736">
        <v>3</v>
      </c>
      <c r="F4736" t="s">
        <v>6212</v>
      </c>
    </row>
    <row r="4737" spans="1:6" x14ac:dyDescent="0.25">
      <c r="A4737" t="s">
        <v>4201</v>
      </c>
      <c r="B4737" t="s">
        <v>3841</v>
      </c>
      <c r="C4737" t="s">
        <v>3842</v>
      </c>
      <c r="D4737" t="str">
        <f>HYPERLINK("http://service.sap.com/sap/support/notes/1794956","1794956")</f>
        <v>1794956</v>
      </c>
      <c r="E4737">
        <v>1</v>
      </c>
      <c r="F4737" t="s">
        <v>6142</v>
      </c>
    </row>
    <row r="4738" spans="1:6" x14ac:dyDescent="0.25">
      <c r="A4738" t="s">
        <v>4201</v>
      </c>
      <c r="B4738" t="s">
        <v>3845</v>
      </c>
      <c r="C4738" t="s">
        <v>1762</v>
      </c>
      <c r="D4738" t="str">
        <f>HYPERLINK("http://service.sap.com/sap/support/notes/1766209","1766209")</f>
        <v>1766209</v>
      </c>
      <c r="E4738">
        <v>6</v>
      </c>
      <c r="F4738" t="s">
        <v>6213</v>
      </c>
    </row>
    <row r="4739" spans="1:6" x14ac:dyDescent="0.25">
      <c r="A4739" t="s">
        <v>4201</v>
      </c>
      <c r="B4739" t="s">
        <v>3845</v>
      </c>
      <c r="C4739" t="s">
        <v>1762</v>
      </c>
      <c r="D4739" t="str">
        <f>HYPERLINK("http://service.sap.com/sap/support/notes/1771066","1771066")</f>
        <v>1771066</v>
      </c>
      <c r="E4739">
        <v>4</v>
      </c>
      <c r="F4739" t="s">
        <v>6214</v>
      </c>
    </row>
    <row r="4740" spans="1:6" x14ac:dyDescent="0.25">
      <c r="A4740" t="s">
        <v>4201</v>
      </c>
      <c r="B4740" t="s">
        <v>3845</v>
      </c>
      <c r="C4740" t="s">
        <v>1762</v>
      </c>
      <c r="D4740" t="str">
        <f>HYPERLINK("http://service.sap.com/sap/support/notes/1776434","1776434")</f>
        <v>1776434</v>
      </c>
      <c r="E4740">
        <v>1</v>
      </c>
      <c r="F4740" t="s">
        <v>6215</v>
      </c>
    </row>
    <row r="4741" spans="1:6" x14ac:dyDescent="0.25">
      <c r="A4741" t="s">
        <v>4201</v>
      </c>
      <c r="B4741" t="s">
        <v>3845</v>
      </c>
      <c r="C4741" t="s">
        <v>1762</v>
      </c>
      <c r="D4741" t="str">
        <f>HYPERLINK("http://service.sap.com/sap/support/notes/1782182","1782182")</f>
        <v>1782182</v>
      </c>
      <c r="E4741">
        <v>2</v>
      </c>
      <c r="F4741" t="s">
        <v>6216</v>
      </c>
    </row>
    <row r="4742" spans="1:6" x14ac:dyDescent="0.25">
      <c r="A4742" t="s">
        <v>4201</v>
      </c>
      <c r="B4742" t="s">
        <v>3845</v>
      </c>
      <c r="C4742" t="s">
        <v>1762</v>
      </c>
      <c r="D4742" t="str">
        <f>HYPERLINK("http://service.sap.com/sap/support/notes/1782267","1782267")</f>
        <v>1782267</v>
      </c>
      <c r="E4742">
        <v>2</v>
      </c>
      <c r="F4742" t="s">
        <v>6217</v>
      </c>
    </row>
    <row r="4743" spans="1:6" x14ac:dyDescent="0.25">
      <c r="A4743" t="s">
        <v>4201</v>
      </c>
      <c r="B4743" t="s">
        <v>3845</v>
      </c>
      <c r="C4743" t="s">
        <v>1762</v>
      </c>
      <c r="D4743" t="str">
        <f>HYPERLINK("http://service.sap.com/sap/support/notes/1789253","1789253")</f>
        <v>1789253</v>
      </c>
      <c r="E4743">
        <v>1</v>
      </c>
      <c r="F4743" t="s">
        <v>6218</v>
      </c>
    </row>
    <row r="4744" spans="1:6" x14ac:dyDescent="0.25">
      <c r="A4744" t="s">
        <v>4201</v>
      </c>
      <c r="B4744" t="s">
        <v>3853</v>
      </c>
      <c r="C4744" t="s">
        <v>3854</v>
      </c>
      <c r="D4744" t="str">
        <f>HYPERLINK("http://service.sap.com/sap/support/notes/1748397","1748397")</f>
        <v>1748397</v>
      </c>
      <c r="E4744">
        <v>3</v>
      </c>
      <c r="F4744" t="s">
        <v>6219</v>
      </c>
    </row>
    <row r="4745" spans="1:6" x14ac:dyDescent="0.25">
      <c r="A4745" t="s">
        <v>4201</v>
      </c>
      <c r="B4745" t="s">
        <v>3857</v>
      </c>
      <c r="C4745" t="s">
        <v>3858</v>
      </c>
      <c r="D4745" t="str">
        <f>HYPERLINK("http://service.sap.com/sap/support/notes/1776607","1776607")</f>
        <v>1776607</v>
      </c>
      <c r="E4745">
        <v>2</v>
      </c>
      <c r="F4745" t="s">
        <v>6220</v>
      </c>
    </row>
    <row r="4746" spans="1:6" x14ac:dyDescent="0.25">
      <c r="A4746" t="s">
        <v>4201</v>
      </c>
      <c r="B4746" t="s">
        <v>6221</v>
      </c>
      <c r="C4746" t="s">
        <v>6222</v>
      </c>
      <c r="D4746" t="str">
        <f>HYPERLINK("http://service.sap.com/sap/support/notes/1782537","1782537")</f>
        <v>1782537</v>
      </c>
      <c r="E4746">
        <v>1</v>
      </c>
      <c r="F4746" t="s">
        <v>6223</v>
      </c>
    </row>
    <row r="4747" spans="1:6" x14ac:dyDescent="0.25">
      <c r="A4747" t="s">
        <v>4201</v>
      </c>
      <c r="B4747" t="s">
        <v>3859</v>
      </c>
      <c r="C4747" t="s">
        <v>3860</v>
      </c>
      <c r="D4747" t="str">
        <f>HYPERLINK("http://service.sap.com/sap/support/notes/1722666","1722666")</f>
        <v>1722666</v>
      </c>
      <c r="E4747">
        <v>1</v>
      </c>
      <c r="F4747" t="s">
        <v>3861</v>
      </c>
    </row>
    <row r="4748" spans="1:6" x14ac:dyDescent="0.25">
      <c r="A4748" t="s">
        <v>4201</v>
      </c>
      <c r="B4748" t="s">
        <v>3859</v>
      </c>
      <c r="C4748" t="s">
        <v>3860</v>
      </c>
      <c r="D4748" t="str">
        <f>HYPERLINK("http://service.sap.com/sap/support/notes/1747999","1747999")</f>
        <v>1747999</v>
      </c>
      <c r="E4748">
        <v>1</v>
      </c>
      <c r="F4748" t="s">
        <v>3864</v>
      </c>
    </row>
    <row r="4749" spans="1:6" x14ac:dyDescent="0.25">
      <c r="A4749" t="s">
        <v>4201</v>
      </c>
      <c r="B4749" t="s">
        <v>3859</v>
      </c>
      <c r="C4749" t="s">
        <v>3860</v>
      </c>
      <c r="D4749" t="str">
        <f>HYPERLINK("http://service.sap.com/sap/support/notes/1770695","1770695")</f>
        <v>1770695</v>
      </c>
      <c r="E4749">
        <v>2</v>
      </c>
      <c r="F4749" t="s">
        <v>3866</v>
      </c>
    </row>
    <row r="4750" spans="1:6" x14ac:dyDescent="0.25">
      <c r="A4750" t="s">
        <v>4201</v>
      </c>
      <c r="B4750" t="s">
        <v>3859</v>
      </c>
      <c r="C4750" t="s">
        <v>3860</v>
      </c>
      <c r="D4750" t="str">
        <f>HYPERLINK("http://service.sap.com/sap/support/notes/1770696","1770696")</f>
        <v>1770696</v>
      </c>
      <c r="E4750">
        <v>1</v>
      </c>
      <c r="F4750" t="s">
        <v>6224</v>
      </c>
    </row>
    <row r="4751" spans="1:6" x14ac:dyDescent="0.25">
      <c r="A4751" t="s">
        <v>4201</v>
      </c>
      <c r="B4751" t="s">
        <v>3859</v>
      </c>
      <c r="C4751" t="s">
        <v>3860</v>
      </c>
      <c r="D4751" t="str">
        <f>HYPERLINK("http://service.sap.com/sap/support/notes/1774144","1774144")</f>
        <v>1774144</v>
      </c>
      <c r="E4751">
        <v>1</v>
      </c>
      <c r="F4751" t="s">
        <v>6225</v>
      </c>
    </row>
    <row r="4752" spans="1:6" x14ac:dyDescent="0.25">
      <c r="A4752" t="s">
        <v>4201</v>
      </c>
      <c r="B4752" t="s">
        <v>3859</v>
      </c>
      <c r="C4752" t="s">
        <v>3860</v>
      </c>
      <c r="D4752" t="str">
        <f>HYPERLINK("http://service.sap.com/sap/support/notes/1788286","1788286")</f>
        <v>1788286</v>
      </c>
      <c r="E4752">
        <v>1</v>
      </c>
      <c r="F4752" t="s">
        <v>6226</v>
      </c>
    </row>
    <row r="4753" spans="1:6" x14ac:dyDescent="0.25">
      <c r="A4753" t="s">
        <v>4201</v>
      </c>
      <c r="B4753" t="s">
        <v>3867</v>
      </c>
      <c r="C4753" t="s">
        <v>198</v>
      </c>
      <c r="D4753" t="str">
        <f>HYPERLINK("http://service.sap.com/sap/support/notes/1696173","1696173")</f>
        <v>1696173</v>
      </c>
      <c r="E4753">
        <v>5</v>
      </c>
      <c r="F4753" t="s">
        <v>6227</v>
      </c>
    </row>
    <row r="4754" spans="1:6" x14ac:dyDescent="0.25">
      <c r="A4754" t="s">
        <v>4201</v>
      </c>
      <c r="B4754" t="s">
        <v>3867</v>
      </c>
      <c r="C4754" t="s">
        <v>198</v>
      </c>
      <c r="D4754" t="str">
        <f>HYPERLINK("http://service.sap.com/sap/support/notes/1759488","1759488")</f>
        <v>1759488</v>
      </c>
      <c r="E4754">
        <v>6</v>
      </c>
      <c r="F4754" t="s">
        <v>3877</v>
      </c>
    </row>
    <row r="4755" spans="1:6" x14ac:dyDescent="0.25">
      <c r="A4755" t="s">
        <v>4201</v>
      </c>
      <c r="B4755" t="s">
        <v>3867</v>
      </c>
      <c r="C4755" t="s">
        <v>198</v>
      </c>
      <c r="D4755" t="str">
        <f>HYPERLINK("http://service.sap.com/sap/support/notes/1767298","1767298")</f>
        <v>1767298</v>
      </c>
      <c r="E4755">
        <v>3</v>
      </c>
      <c r="F4755" t="s">
        <v>6228</v>
      </c>
    </row>
    <row r="4756" spans="1:6" x14ac:dyDescent="0.25">
      <c r="A4756" t="s">
        <v>4201</v>
      </c>
      <c r="B4756" t="s">
        <v>3867</v>
      </c>
      <c r="C4756" t="s">
        <v>198</v>
      </c>
      <c r="D4756" t="str">
        <f>HYPERLINK("http://service.sap.com/sap/support/notes/1771799","1771799")</f>
        <v>1771799</v>
      </c>
      <c r="E4756">
        <v>3</v>
      </c>
      <c r="F4756" t="s">
        <v>6229</v>
      </c>
    </row>
    <row r="4757" spans="1:6" x14ac:dyDescent="0.25">
      <c r="A4757" t="s">
        <v>4201</v>
      </c>
      <c r="B4757" t="s">
        <v>3867</v>
      </c>
      <c r="C4757" t="s">
        <v>198</v>
      </c>
      <c r="D4757" t="str">
        <f>HYPERLINK("http://service.sap.com/sap/support/notes/1772317","1772317")</f>
        <v>1772317</v>
      </c>
      <c r="E4757">
        <v>2</v>
      </c>
      <c r="F4757" t="s">
        <v>6230</v>
      </c>
    </row>
    <row r="4758" spans="1:6" x14ac:dyDescent="0.25">
      <c r="A4758" t="s">
        <v>4201</v>
      </c>
      <c r="B4758" t="s">
        <v>3867</v>
      </c>
      <c r="C4758" t="s">
        <v>198</v>
      </c>
      <c r="D4758" t="str">
        <f>HYPERLINK("http://service.sap.com/sap/support/notes/1773122","1773122")</f>
        <v>1773122</v>
      </c>
      <c r="E4758">
        <v>5</v>
      </c>
      <c r="F4758" t="s">
        <v>6231</v>
      </c>
    </row>
    <row r="4759" spans="1:6" x14ac:dyDescent="0.25">
      <c r="A4759" t="s">
        <v>4201</v>
      </c>
      <c r="B4759" t="s">
        <v>3867</v>
      </c>
      <c r="C4759" t="s">
        <v>198</v>
      </c>
      <c r="D4759" t="str">
        <f>HYPERLINK("http://service.sap.com/sap/support/notes/1773886","1773886")</f>
        <v>1773886</v>
      </c>
      <c r="E4759">
        <v>2</v>
      </c>
      <c r="F4759" t="s">
        <v>6232</v>
      </c>
    </row>
    <row r="4760" spans="1:6" x14ac:dyDescent="0.25">
      <c r="A4760" t="s">
        <v>4201</v>
      </c>
      <c r="B4760" t="s">
        <v>3867</v>
      </c>
      <c r="C4760" t="s">
        <v>198</v>
      </c>
      <c r="D4760" t="str">
        <f>HYPERLINK("http://service.sap.com/sap/support/notes/1777188","1777188")</f>
        <v>1777188</v>
      </c>
      <c r="E4760">
        <v>2</v>
      </c>
      <c r="F4760" t="s">
        <v>6233</v>
      </c>
    </row>
    <row r="4761" spans="1:6" x14ac:dyDescent="0.25">
      <c r="A4761" t="s">
        <v>4201</v>
      </c>
      <c r="B4761" t="s">
        <v>3867</v>
      </c>
      <c r="C4761" t="s">
        <v>198</v>
      </c>
      <c r="D4761" t="str">
        <f>HYPERLINK("http://service.sap.com/sap/support/notes/1778929","1778929")</f>
        <v>1778929</v>
      </c>
      <c r="E4761">
        <v>1</v>
      </c>
      <c r="F4761" t="s">
        <v>6234</v>
      </c>
    </row>
    <row r="4762" spans="1:6" x14ac:dyDescent="0.25">
      <c r="A4762" t="s">
        <v>4201</v>
      </c>
      <c r="B4762" t="s">
        <v>3867</v>
      </c>
      <c r="C4762" t="s">
        <v>198</v>
      </c>
      <c r="D4762" t="str">
        <f>HYPERLINK("http://service.sap.com/sap/support/notes/1779384","1779384")</f>
        <v>1779384</v>
      </c>
      <c r="E4762">
        <v>2</v>
      </c>
      <c r="F4762" t="s">
        <v>6235</v>
      </c>
    </row>
    <row r="4763" spans="1:6" x14ac:dyDescent="0.25">
      <c r="A4763" t="s">
        <v>4201</v>
      </c>
      <c r="B4763" t="s">
        <v>3867</v>
      </c>
      <c r="C4763" t="s">
        <v>198</v>
      </c>
      <c r="D4763" t="str">
        <f>HYPERLINK("http://service.sap.com/sap/support/notes/1779997","1779997")</f>
        <v>1779997</v>
      </c>
      <c r="E4763">
        <v>12</v>
      </c>
      <c r="F4763" t="s">
        <v>6236</v>
      </c>
    </row>
    <row r="4764" spans="1:6" x14ac:dyDescent="0.25">
      <c r="A4764" t="s">
        <v>4201</v>
      </c>
      <c r="B4764" t="s">
        <v>3867</v>
      </c>
      <c r="C4764" t="s">
        <v>198</v>
      </c>
      <c r="D4764" t="str">
        <f>HYPERLINK("http://service.sap.com/sap/support/notes/1784869","1784869")</f>
        <v>1784869</v>
      </c>
      <c r="E4764">
        <v>2</v>
      </c>
      <c r="F4764" t="s">
        <v>6237</v>
      </c>
    </row>
    <row r="4765" spans="1:6" x14ac:dyDescent="0.25">
      <c r="A4765" t="s">
        <v>4201</v>
      </c>
      <c r="B4765" t="s">
        <v>3867</v>
      </c>
      <c r="C4765" t="s">
        <v>198</v>
      </c>
      <c r="D4765" t="str">
        <f>HYPERLINK("http://service.sap.com/sap/support/notes/1785409","1785409")</f>
        <v>1785409</v>
      </c>
      <c r="E4765">
        <v>2</v>
      </c>
      <c r="F4765" t="s">
        <v>6238</v>
      </c>
    </row>
    <row r="4766" spans="1:6" x14ac:dyDescent="0.25">
      <c r="A4766" t="s">
        <v>4201</v>
      </c>
      <c r="B4766" t="s">
        <v>3867</v>
      </c>
      <c r="C4766" t="s">
        <v>198</v>
      </c>
      <c r="D4766" t="str">
        <f>HYPERLINK("http://service.sap.com/sap/support/notes/1789453","1789453")</f>
        <v>1789453</v>
      </c>
      <c r="E4766">
        <v>1</v>
      </c>
      <c r="F4766" t="s">
        <v>6239</v>
      </c>
    </row>
    <row r="4767" spans="1:6" x14ac:dyDescent="0.25">
      <c r="A4767" t="s">
        <v>4201</v>
      </c>
      <c r="B4767" t="s">
        <v>3867</v>
      </c>
      <c r="C4767" t="s">
        <v>198</v>
      </c>
      <c r="D4767" t="str">
        <f>HYPERLINK("http://service.sap.com/sap/support/notes/1794780","1794780")</f>
        <v>1794780</v>
      </c>
      <c r="E4767">
        <v>1</v>
      </c>
      <c r="F4767" t="s">
        <v>6240</v>
      </c>
    </row>
    <row r="4768" spans="1:6" x14ac:dyDescent="0.25">
      <c r="A4768" t="s">
        <v>4201</v>
      </c>
      <c r="B4768" t="s">
        <v>3882</v>
      </c>
      <c r="C4768" t="s">
        <v>3883</v>
      </c>
      <c r="D4768" t="str">
        <f>HYPERLINK("http://service.sap.com/sap/support/notes/1760547","1760547")</f>
        <v>1760547</v>
      </c>
      <c r="E4768">
        <v>2</v>
      </c>
      <c r="F4768" t="s">
        <v>3891</v>
      </c>
    </row>
    <row r="4769" spans="1:6" x14ac:dyDescent="0.25">
      <c r="A4769" t="s">
        <v>4201</v>
      </c>
      <c r="B4769" t="s">
        <v>3882</v>
      </c>
      <c r="C4769" t="s">
        <v>3883</v>
      </c>
      <c r="D4769" t="str">
        <f>HYPERLINK("http://service.sap.com/sap/support/notes/1767256","1767256")</f>
        <v>1767256</v>
      </c>
      <c r="E4769">
        <v>3</v>
      </c>
      <c r="F4769" t="s">
        <v>6241</v>
      </c>
    </row>
    <row r="4770" spans="1:6" x14ac:dyDescent="0.25">
      <c r="A4770" t="s">
        <v>4201</v>
      </c>
      <c r="B4770" t="s">
        <v>3882</v>
      </c>
      <c r="C4770" t="s">
        <v>3883</v>
      </c>
      <c r="D4770" t="str">
        <f>HYPERLINK("http://service.sap.com/sap/support/notes/1769108","1769108")</f>
        <v>1769108</v>
      </c>
      <c r="E4770">
        <v>5</v>
      </c>
      <c r="F4770" t="s">
        <v>6242</v>
      </c>
    </row>
    <row r="4771" spans="1:6" x14ac:dyDescent="0.25">
      <c r="A4771" t="s">
        <v>4201</v>
      </c>
      <c r="B4771" t="s">
        <v>3882</v>
      </c>
      <c r="C4771" t="s">
        <v>3883</v>
      </c>
      <c r="D4771" t="str">
        <f>HYPERLINK("http://service.sap.com/sap/support/notes/1770604","1770604")</f>
        <v>1770604</v>
      </c>
      <c r="E4771">
        <v>3</v>
      </c>
      <c r="F4771" t="s">
        <v>6243</v>
      </c>
    </row>
    <row r="4772" spans="1:6" x14ac:dyDescent="0.25">
      <c r="A4772" t="s">
        <v>4201</v>
      </c>
      <c r="B4772" t="s">
        <v>3882</v>
      </c>
      <c r="C4772" t="s">
        <v>3883</v>
      </c>
      <c r="D4772" t="str">
        <f>HYPERLINK("http://service.sap.com/sap/support/notes/1772916","1772916")</f>
        <v>1772916</v>
      </c>
      <c r="E4772">
        <v>2</v>
      </c>
      <c r="F4772" t="s">
        <v>3894</v>
      </c>
    </row>
    <row r="4773" spans="1:6" x14ac:dyDescent="0.25">
      <c r="A4773" t="s">
        <v>4201</v>
      </c>
      <c r="B4773" t="s">
        <v>3882</v>
      </c>
      <c r="C4773" t="s">
        <v>3883</v>
      </c>
      <c r="D4773" t="str">
        <f>HYPERLINK("http://service.sap.com/sap/support/notes/1773853","1773853")</f>
        <v>1773853</v>
      </c>
      <c r="E4773">
        <v>1</v>
      </c>
      <c r="F4773" t="s">
        <v>6244</v>
      </c>
    </row>
    <row r="4774" spans="1:6" x14ac:dyDescent="0.25">
      <c r="A4774" t="s">
        <v>4201</v>
      </c>
      <c r="B4774" t="s">
        <v>3882</v>
      </c>
      <c r="C4774" t="s">
        <v>3883</v>
      </c>
      <c r="D4774" t="str">
        <f>HYPERLINK("http://service.sap.com/sap/support/notes/1774900","1774900")</f>
        <v>1774900</v>
      </c>
      <c r="E4774">
        <v>2</v>
      </c>
      <c r="F4774" t="s">
        <v>6245</v>
      </c>
    </row>
    <row r="4775" spans="1:6" x14ac:dyDescent="0.25">
      <c r="A4775" t="s">
        <v>4201</v>
      </c>
      <c r="B4775" t="s">
        <v>3882</v>
      </c>
      <c r="C4775" t="s">
        <v>3883</v>
      </c>
      <c r="D4775" t="str">
        <f>HYPERLINK("http://service.sap.com/sap/support/notes/1778817","1778817")</f>
        <v>1778817</v>
      </c>
      <c r="E4775">
        <v>2</v>
      </c>
      <c r="F4775" t="s">
        <v>6246</v>
      </c>
    </row>
    <row r="4776" spans="1:6" x14ac:dyDescent="0.25">
      <c r="A4776" t="s">
        <v>4201</v>
      </c>
      <c r="B4776" t="s">
        <v>3882</v>
      </c>
      <c r="C4776" t="s">
        <v>3883</v>
      </c>
      <c r="D4776" t="str">
        <f>HYPERLINK("http://service.sap.com/sap/support/notes/1778837","1778837")</f>
        <v>1778837</v>
      </c>
      <c r="E4776">
        <v>1</v>
      </c>
      <c r="F4776" t="s">
        <v>6247</v>
      </c>
    </row>
    <row r="4777" spans="1:6" x14ac:dyDescent="0.25">
      <c r="A4777" t="s">
        <v>4201</v>
      </c>
      <c r="B4777" t="s">
        <v>3882</v>
      </c>
      <c r="C4777" t="s">
        <v>3883</v>
      </c>
      <c r="D4777" t="str">
        <f>HYPERLINK("http://service.sap.com/sap/support/notes/1778881","1778881")</f>
        <v>1778881</v>
      </c>
      <c r="E4777">
        <v>1</v>
      </c>
      <c r="F4777" t="s">
        <v>6248</v>
      </c>
    </row>
    <row r="4778" spans="1:6" x14ac:dyDescent="0.25">
      <c r="A4778" t="s">
        <v>4201</v>
      </c>
      <c r="B4778" t="s">
        <v>3882</v>
      </c>
      <c r="C4778" t="s">
        <v>3883</v>
      </c>
      <c r="D4778" t="str">
        <f>HYPERLINK("http://service.sap.com/sap/support/notes/1778935","1778935")</f>
        <v>1778935</v>
      </c>
      <c r="E4778">
        <v>3</v>
      </c>
      <c r="F4778" t="s">
        <v>6249</v>
      </c>
    </row>
    <row r="4779" spans="1:6" x14ac:dyDescent="0.25">
      <c r="A4779" t="s">
        <v>4201</v>
      </c>
      <c r="B4779" t="s">
        <v>3882</v>
      </c>
      <c r="C4779" t="s">
        <v>3883</v>
      </c>
      <c r="D4779" t="str">
        <f>HYPERLINK("http://service.sap.com/sap/support/notes/1779014","1779014")</f>
        <v>1779014</v>
      </c>
      <c r="E4779">
        <v>2</v>
      </c>
      <c r="F4779" t="s">
        <v>6250</v>
      </c>
    </row>
    <row r="4780" spans="1:6" x14ac:dyDescent="0.25">
      <c r="A4780" t="s">
        <v>4201</v>
      </c>
      <c r="B4780" t="s">
        <v>3882</v>
      </c>
      <c r="C4780" t="s">
        <v>3883</v>
      </c>
      <c r="D4780" t="str">
        <f>HYPERLINK("http://service.sap.com/sap/support/notes/1784334","1784334")</f>
        <v>1784334</v>
      </c>
      <c r="E4780">
        <v>1</v>
      </c>
      <c r="F4780" t="s">
        <v>6251</v>
      </c>
    </row>
    <row r="4781" spans="1:6" x14ac:dyDescent="0.25">
      <c r="A4781" t="s">
        <v>4201</v>
      </c>
      <c r="B4781" t="s">
        <v>3882</v>
      </c>
      <c r="C4781" t="s">
        <v>3883</v>
      </c>
      <c r="D4781" t="str">
        <f>HYPERLINK("http://service.sap.com/sap/support/notes/1785996","1785996")</f>
        <v>1785996</v>
      </c>
      <c r="E4781">
        <v>1</v>
      </c>
      <c r="F4781" t="s">
        <v>6252</v>
      </c>
    </row>
    <row r="4782" spans="1:6" x14ac:dyDescent="0.25">
      <c r="A4782" t="s">
        <v>4201</v>
      </c>
      <c r="B4782" t="s">
        <v>3882</v>
      </c>
      <c r="C4782" t="s">
        <v>3883</v>
      </c>
      <c r="D4782" t="str">
        <f>HYPERLINK("http://service.sap.com/sap/support/notes/1786537","1786537")</f>
        <v>1786537</v>
      </c>
      <c r="E4782">
        <v>1</v>
      </c>
      <c r="F4782" t="s">
        <v>6253</v>
      </c>
    </row>
    <row r="4783" spans="1:6" x14ac:dyDescent="0.25">
      <c r="A4783" t="s">
        <v>4201</v>
      </c>
      <c r="B4783" t="s">
        <v>3882</v>
      </c>
      <c r="C4783" t="s">
        <v>3883</v>
      </c>
      <c r="D4783" t="str">
        <f>HYPERLINK("http://service.sap.com/sap/support/notes/1793673","1793673")</f>
        <v>1793673</v>
      </c>
      <c r="E4783">
        <v>1</v>
      </c>
      <c r="F4783" t="s">
        <v>6254</v>
      </c>
    </row>
    <row r="4784" spans="1:6" x14ac:dyDescent="0.25">
      <c r="A4784" t="s">
        <v>4201</v>
      </c>
      <c r="B4784" t="s">
        <v>3882</v>
      </c>
      <c r="C4784" t="s">
        <v>3883</v>
      </c>
      <c r="D4784" t="str">
        <f>HYPERLINK("http://service.sap.com/sap/support/notes/1794188","1794188")</f>
        <v>1794188</v>
      </c>
      <c r="E4784">
        <v>1</v>
      </c>
      <c r="F4784" t="s">
        <v>6255</v>
      </c>
    </row>
    <row r="4785" spans="1:6" x14ac:dyDescent="0.25">
      <c r="A4785" t="s">
        <v>4201</v>
      </c>
      <c r="B4785" t="s">
        <v>3895</v>
      </c>
      <c r="C4785" t="s">
        <v>3896</v>
      </c>
      <c r="D4785" t="str">
        <f>HYPERLINK("http://service.sap.com/sap/support/notes/1684442","1684442")</f>
        <v>1684442</v>
      </c>
      <c r="E4785">
        <v>2</v>
      </c>
      <c r="F4785" t="s">
        <v>6256</v>
      </c>
    </row>
    <row r="4786" spans="1:6" x14ac:dyDescent="0.25">
      <c r="A4786" t="s">
        <v>4201</v>
      </c>
      <c r="B4786" t="s">
        <v>3895</v>
      </c>
      <c r="C4786" t="s">
        <v>3896</v>
      </c>
      <c r="D4786" t="str">
        <f>HYPERLINK("http://service.sap.com/sap/support/notes/1727674","1727674")</f>
        <v>1727674</v>
      </c>
      <c r="E4786">
        <v>3</v>
      </c>
      <c r="F4786" t="s">
        <v>6257</v>
      </c>
    </row>
    <row r="4787" spans="1:6" x14ac:dyDescent="0.25">
      <c r="A4787" t="s">
        <v>4201</v>
      </c>
      <c r="B4787" t="s">
        <v>3895</v>
      </c>
      <c r="C4787" t="s">
        <v>3896</v>
      </c>
      <c r="D4787" t="str">
        <f>HYPERLINK("http://service.sap.com/sap/support/notes/1735344","1735344")</f>
        <v>1735344</v>
      </c>
      <c r="E4787">
        <v>5</v>
      </c>
      <c r="F4787" t="s">
        <v>6258</v>
      </c>
    </row>
    <row r="4788" spans="1:6" x14ac:dyDescent="0.25">
      <c r="A4788" t="s">
        <v>4201</v>
      </c>
      <c r="B4788" t="s">
        <v>3895</v>
      </c>
      <c r="C4788" t="s">
        <v>3896</v>
      </c>
      <c r="D4788" t="str">
        <f>HYPERLINK("http://service.sap.com/sap/support/notes/1739678","1739678")</f>
        <v>1739678</v>
      </c>
      <c r="E4788">
        <v>2</v>
      </c>
      <c r="F4788" t="s">
        <v>6259</v>
      </c>
    </row>
    <row r="4789" spans="1:6" x14ac:dyDescent="0.25">
      <c r="A4789" t="s">
        <v>4201</v>
      </c>
      <c r="B4789" t="s">
        <v>3895</v>
      </c>
      <c r="C4789" t="s">
        <v>3896</v>
      </c>
      <c r="D4789" t="str">
        <f>HYPERLINK("http://service.sap.com/sap/support/notes/1740777","1740777")</f>
        <v>1740777</v>
      </c>
      <c r="E4789">
        <v>1</v>
      </c>
      <c r="F4789" t="s">
        <v>6260</v>
      </c>
    </row>
    <row r="4790" spans="1:6" x14ac:dyDescent="0.25">
      <c r="A4790" t="s">
        <v>4201</v>
      </c>
      <c r="B4790" t="s">
        <v>3895</v>
      </c>
      <c r="C4790" t="s">
        <v>3896</v>
      </c>
      <c r="D4790" t="str">
        <f>HYPERLINK("http://service.sap.com/sap/support/notes/1748412","1748412")</f>
        <v>1748412</v>
      </c>
      <c r="E4790">
        <v>3</v>
      </c>
      <c r="F4790" t="s">
        <v>6261</v>
      </c>
    </row>
    <row r="4791" spans="1:6" x14ac:dyDescent="0.25">
      <c r="A4791" t="s">
        <v>4201</v>
      </c>
      <c r="B4791" t="s">
        <v>3895</v>
      </c>
      <c r="C4791" t="s">
        <v>3896</v>
      </c>
      <c r="D4791" t="str">
        <f>HYPERLINK("http://service.sap.com/sap/support/notes/1749772","1749772")</f>
        <v>1749772</v>
      </c>
      <c r="E4791">
        <v>3</v>
      </c>
      <c r="F4791" t="s">
        <v>6262</v>
      </c>
    </row>
    <row r="4792" spans="1:6" x14ac:dyDescent="0.25">
      <c r="A4792" t="s">
        <v>4201</v>
      </c>
      <c r="B4792" t="s">
        <v>3895</v>
      </c>
      <c r="C4792" t="s">
        <v>3896</v>
      </c>
      <c r="D4792" t="str">
        <f>HYPERLINK("http://service.sap.com/sap/support/notes/1759477","1759477")</f>
        <v>1759477</v>
      </c>
      <c r="E4792">
        <v>2</v>
      </c>
      <c r="F4792" t="s">
        <v>6263</v>
      </c>
    </row>
    <row r="4793" spans="1:6" x14ac:dyDescent="0.25">
      <c r="A4793" t="s">
        <v>4201</v>
      </c>
      <c r="B4793" t="s">
        <v>3895</v>
      </c>
      <c r="C4793" t="s">
        <v>3896</v>
      </c>
      <c r="D4793" t="str">
        <f>HYPERLINK("http://service.sap.com/sap/support/notes/1767523","1767523")</f>
        <v>1767523</v>
      </c>
      <c r="E4793">
        <v>5</v>
      </c>
      <c r="F4793" t="s">
        <v>6264</v>
      </c>
    </row>
    <row r="4794" spans="1:6" x14ac:dyDescent="0.25">
      <c r="A4794" t="s">
        <v>4201</v>
      </c>
      <c r="B4794" t="s">
        <v>3895</v>
      </c>
      <c r="C4794" t="s">
        <v>3896</v>
      </c>
      <c r="D4794" t="str">
        <f>HYPERLINK("http://service.sap.com/sap/support/notes/1779564","1779564")</f>
        <v>1779564</v>
      </c>
      <c r="E4794">
        <v>1</v>
      </c>
      <c r="F4794" t="s">
        <v>6265</v>
      </c>
    </row>
    <row r="4795" spans="1:6" x14ac:dyDescent="0.25">
      <c r="A4795" t="s">
        <v>4201</v>
      </c>
      <c r="B4795" t="s">
        <v>3895</v>
      </c>
      <c r="C4795" t="s">
        <v>3896</v>
      </c>
      <c r="D4795" t="str">
        <f>HYPERLINK("http://service.sap.com/sap/support/notes/1780134","1780134")</f>
        <v>1780134</v>
      </c>
      <c r="E4795">
        <v>1</v>
      </c>
      <c r="F4795" t="s">
        <v>6266</v>
      </c>
    </row>
    <row r="4796" spans="1:6" x14ac:dyDescent="0.25">
      <c r="A4796" t="s">
        <v>4201</v>
      </c>
      <c r="B4796" t="s">
        <v>3895</v>
      </c>
      <c r="C4796" t="s">
        <v>3896</v>
      </c>
      <c r="D4796" t="str">
        <f>HYPERLINK("http://service.sap.com/sap/support/notes/1782124","1782124")</f>
        <v>1782124</v>
      </c>
      <c r="E4796">
        <v>1</v>
      </c>
      <c r="F4796" t="s">
        <v>6267</v>
      </c>
    </row>
    <row r="4797" spans="1:6" x14ac:dyDescent="0.25">
      <c r="A4797" t="s">
        <v>4201</v>
      </c>
      <c r="B4797" t="s">
        <v>3895</v>
      </c>
      <c r="C4797" t="s">
        <v>3896</v>
      </c>
      <c r="D4797" t="str">
        <f>HYPERLINK("http://service.sap.com/sap/support/notes/1782673","1782673")</f>
        <v>1782673</v>
      </c>
      <c r="E4797">
        <v>2</v>
      </c>
      <c r="F4797" t="s">
        <v>6268</v>
      </c>
    </row>
    <row r="4798" spans="1:6" x14ac:dyDescent="0.25">
      <c r="A4798" t="s">
        <v>4201</v>
      </c>
      <c r="B4798" t="s">
        <v>3895</v>
      </c>
      <c r="C4798" t="s">
        <v>3896</v>
      </c>
      <c r="D4798" t="str">
        <f>HYPERLINK("http://service.sap.com/sap/support/notes/1784410","1784410")</f>
        <v>1784410</v>
      </c>
      <c r="E4798">
        <v>1</v>
      </c>
      <c r="F4798" t="s">
        <v>6269</v>
      </c>
    </row>
    <row r="4799" spans="1:6" x14ac:dyDescent="0.25">
      <c r="A4799" t="s">
        <v>4201</v>
      </c>
      <c r="B4799" t="s">
        <v>3895</v>
      </c>
      <c r="C4799" t="s">
        <v>3896</v>
      </c>
      <c r="D4799" t="str">
        <f>HYPERLINK("http://service.sap.com/sap/support/notes/1788873","1788873")</f>
        <v>1788873</v>
      </c>
      <c r="E4799">
        <v>1</v>
      </c>
      <c r="F4799" t="s">
        <v>6270</v>
      </c>
    </row>
    <row r="4800" spans="1:6" x14ac:dyDescent="0.25">
      <c r="A4800" t="s">
        <v>4201</v>
      </c>
      <c r="B4800" t="s">
        <v>3895</v>
      </c>
      <c r="C4800" t="s">
        <v>3896</v>
      </c>
      <c r="D4800" t="str">
        <f>HYPERLINK("http://service.sap.com/sap/support/notes/1793572","1793572")</f>
        <v>1793572</v>
      </c>
      <c r="E4800">
        <v>1</v>
      </c>
      <c r="F4800" t="s">
        <v>6271</v>
      </c>
    </row>
    <row r="4801" spans="1:6" x14ac:dyDescent="0.25">
      <c r="A4801" t="s">
        <v>4201</v>
      </c>
      <c r="B4801" t="s">
        <v>3904</v>
      </c>
      <c r="C4801" t="s">
        <v>3905</v>
      </c>
    </row>
    <row r="4802" spans="1:6" x14ac:dyDescent="0.25">
      <c r="A4802" t="s">
        <v>4201</v>
      </c>
      <c r="B4802" t="s">
        <v>3906</v>
      </c>
      <c r="C4802" t="s">
        <v>198</v>
      </c>
      <c r="D4802" t="str">
        <f>HYPERLINK("http://service.sap.com/sap/support/notes/1760084","1760084")</f>
        <v>1760084</v>
      </c>
      <c r="E4802">
        <v>2</v>
      </c>
      <c r="F4802" t="s">
        <v>6272</v>
      </c>
    </row>
    <row r="4803" spans="1:6" x14ac:dyDescent="0.25">
      <c r="A4803" t="s">
        <v>4201</v>
      </c>
      <c r="B4803" t="s">
        <v>6273</v>
      </c>
      <c r="C4803" t="s">
        <v>2999</v>
      </c>
      <c r="D4803" t="str">
        <f>HYPERLINK("http://service.sap.com/sap/support/notes/1738861","1738861")</f>
        <v>1738861</v>
      </c>
      <c r="E4803">
        <v>2</v>
      </c>
      <c r="F4803" t="s">
        <v>6274</v>
      </c>
    </row>
    <row r="4804" spans="1:6" x14ac:dyDescent="0.25">
      <c r="A4804" t="s">
        <v>4201</v>
      </c>
      <c r="B4804" t="s">
        <v>6275</v>
      </c>
      <c r="C4804" t="s">
        <v>6276</v>
      </c>
      <c r="D4804" t="str">
        <f>HYPERLINK("http://service.sap.com/sap/support/notes/1745547","1745547")</f>
        <v>1745547</v>
      </c>
      <c r="E4804">
        <v>2</v>
      </c>
      <c r="F4804" t="s">
        <v>6277</v>
      </c>
    </row>
    <row r="4805" spans="1:6" x14ac:dyDescent="0.25">
      <c r="A4805" t="s">
        <v>4201</v>
      </c>
      <c r="B4805" t="s">
        <v>3908</v>
      </c>
      <c r="C4805" t="s">
        <v>3909</v>
      </c>
      <c r="D4805" t="str">
        <f>HYPERLINK("http://service.sap.com/sap/support/notes/1743574","1743574")</f>
        <v>1743574</v>
      </c>
      <c r="E4805">
        <v>4</v>
      </c>
      <c r="F4805" t="s">
        <v>6278</v>
      </c>
    </row>
    <row r="4806" spans="1:6" x14ac:dyDescent="0.25">
      <c r="A4806" t="s">
        <v>4201</v>
      </c>
      <c r="B4806" t="s">
        <v>3908</v>
      </c>
      <c r="C4806" t="s">
        <v>3909</v>
      </c>
      <c r="D4806" t="str">
        <f>HYPERLINK("http://service.sap.com/sap/support/notes/1754797","1754797")</f>
        <v>1754797</v>
      </c>
      <c r="E4806">
        <v>1</v>
      </c>
      <c r="F4806" t="s">
        <v>6279</v>
      </c>
    </row>
    <row r="4807" spans="1:6" x14ac:dyDescent="0.25">
      <c r="A4807" t="s">
        <v>4201</v>
      </c>
      <c r="B4807" t="s">
        <v>3914</v>
      </c>
      <c r="C4807" t="s">
        <v>3915</v>
      </c>
      <c r="D4807" t="str">
        <f>HYPERLINK("http://service.sap.com/sap/support/notes/1755800","1755800")</f>
        <v>1755800</v>
      </c>
      <c r="E4807">
        <v>4</v>
      </c>
      <c r="F4807" t="s">
        <v>6280</v>
      </c>
    </row>
    <row r="4808" spans="1:6" x14ac:dyDescent="0.25">
      <c r="A4808" t="s">
        <v>4201</v>
      </c>
      <c r="B4808" t="s">
        <v>3914</v>
      </c>
      <c r="C4808" t="s">
        <v>3915</v>
      </c>
      <c r="D4808" t="str">
        <f>HYPERLINK("http://service.sap.com/sap/support/notes/1761158","1761158")</f>
        <v>1761158</v>
      </c>
      <c r="E4808">
        <v>2</v>
      </c>
      <c r="F4808" t="s">
        <v>3937</v>
      </c>
    </row>
    <row r="4809" spans="1:6" x14ac:dyDescent="0.25">
      <c r="A4809" t="s">
        <v>4201</v>
      </c>
      <c r="B4809" t="s">
        <v>3914</v>
      </c>
      <c r="C4809" t="s">
        <v>3915</v>
      </c>
      <c r="D4809" t="str">
        <f>HYPERLINK("http://service.sap.com/sap/support/notes/1762701","1762701")</f>
        <v>1762701</v>
      </c>
      <c r="E4809">
        <v>3</v>
      </c>
      <c r="F4809" t="s">
        <v>6281</v>
      </c>
    </row>
    <row r="4810" spans="1:6" x14ac:dyDescent="0.25">
      <c r="A4810" t="s">
        <v>4201</v>
      </c>
      <c r="B4810" t="s">
        <v>3914</v>
      </c>
      <c r="C4810" t="s">
        <v>3915</v>
      </c>
      <c r="D4810" t="str">
        <f>HYPERLINK("http://service.sap.com/sap/support/notes/1770285","1770285")</f>
        <v>1770285</v>
      </c>
      <c r="E4810">
        <v>1</v>
      </c>
      <c r="F4810" t="s">
        <v>6282</v>
      </c>
    </row>
    <row r="4811" spans="1:6" x14ac:dyDescent="0.25">
      <c r="A4811" t="s">
        <v>4201</v>
      </c>
      <c r="B4811" t="s">
        <v>3914</v>
      </c>
      <c r="C4811" t="s">
        <v>3915</v>
      </c>
      <c r="D4811" t="str">
        <f>HYPERLINK("http://service.sap.com/sap/support/notes/1770878","1770878")</f>
        <v>1770878</v>
      </c>
      <c r="E4811">
        <v>2</v>
      </c>
      <c r="F4811" t="s">
        <v>6283</v>
      </c>
    </row>
    <row r="4812" spans="1:6" x14ac:dyDescent="0.25">
      <c r="A4812" t="s">
        <v>4201</v>
      </c>
      <c r="B4812" t="s">
        <v>3914</v>
      </c>
      <c r="C4812" t="s">
        <v>3915</v>
      </c>
      <c r="D4812" t="str">
        <f>HYPERLINK("http://service.sap.com/sap/support/notes/1771254","1771254")</f>
        <v>1771254</v>
      </c>
      <c r="E4812">
        <v>3</v>
      </c>
      <c r="F4812" t="s">
        <v>6284</v>
      </c>
    </row>
    <row r="4813" spans="1:6" x14ac:dyDescent="0.25">
      <c r="A4813" t="s">
        <v>4201</v>
      </c>
      <c r="B4813" t="s">
        <v>3914</v>
      </c>
      <c r="C4813" t="s">
        <v>3915</v>
      </c>
      <c r="D4813" t="str">
        <f>HYPERLINK("http://service.sap.com/sap/support/notes/1773940","1773940")</f>
        <v>1773940</v>
      </c>
      <c r="E4813">
        <v>4</v>
      </c>
      <c r="F4813" t="s">
        <v>6285</v>
      </c>
    </row>
    <row r="4814" spans="1:6" x14ac:dyDescent="0.25">
      <c r="A4814" t="s">
        <v>4201</v>
      </c>
      <c r="B4814" t="s">
        <v>3914</v>
      </c>
      <c r="C4814" t="s">
        <v>3915</v>
      </c>
      <c r="D4814" t="str">
        <f>HYPERLINK("http://service.sap.com/sap/support/notes/1776590","1776590")</f>
        <v>1776590</v>
      </c>
      <c r="E4814">
        <v>2</v>
      </c>
      <c r="F4814" t="s">
        <v>6286</v>
      </c>
    </row>
    <row r="4815" spans="1:6" x14ac:dyDescent="0.25">
      <c r="A4815" t="s">
        <v>4201</v>
      </c>
      <c r="B4815" t="s">
        <v>3914</v>
      </c>
      <c r="C4815" t="s">
        <v>3915</v>
      </c>
      <c r="D4815" t="str">
        <f>HYPERLINK("http://service.sap.com/sap/support/notes/1781440","1781440")</f>
        <v>1781440</v>
      </c>
      <c r="E4815">
        <v>3</v>
      </c>
      <c r="F4815" t="s">
        <v>6287</v>
      </c>
    </row>
    <row r="4816" spans="1:6" x14ac:dyDescent="0.25">
      <c r="A4816" t="s">
        <v>4201</v>
      </c>
      <c r="B4816" t="s">
        <v>3914</v>
      </c>
      <c r="C4816" t="s">
        <v>3915</v>
      </c>
      <c r="D4816" t="str">
        <f>HYPERLINK("http://service.sap.com/sap/support/notes/1784288","1784288")</f>
        <v>1784288</v>
      </c>
      <c r="E4816">
        <v>2</v>
      </c>
      <c r="F4816" t="s">
        <v>6288</v>
      </c>
    </row>
    <row r="4817" spans="1:6" x14ac:dyDescent="0.25">
      <c r="A4817" t="s">
        <v>4201</v>
      </c>
      <c r="B4817" t="s">
        <v>3914</v>
      </c>
      <c r="C4817" t="s">
        <v>3915</v>
      </c>
      <c r="D4817" t="str">
        <f>HYPERLINK("http://service.sap.com/sap/support/notes/1785941","1785941")</f>
        <v>1785941</v>
      </c>
      <c r="E4817">
        <v>2</v>
      </c>
      <c r="F4817" t="s">
        <v>6289</v>
      </c>
    </row>
    <row r="4818" spans="1:6" x14ac:dyDescent="0.25">
      <c r="A4818" t="s">
        <v>4201</v>
      </c>
      <c r="B4818" t="s">
        <v>3938</v>
      </c>
      <c r="C4818" t="s">
        <v>3939</v>
      </c>
      <c r="D4818" t="str">
        <f>HYPERLINK("http://service.sap.com/sap/support/notes/1697159","1697159")</f>
        <v>1697159</v>
      </c>
      <c r="E4818">
        <v>6</v>
      </c>
      <c r="F4818" t="s">
        <v>6290</v>
      </c>
    </row>
    <row r="4819" spans="1:6" x14ac:dyDescent="0.25">
      <c r="A4819" t="s">
        <v>4201</v>
      </c>
      <c r="B4819" t="s">
        <v>3938</v>
      </c>
      <c r="C4819" t="s">
        <v>3939</v>
      </c>
      <c r="D4819" t="str">
        <f>HYPERLINK("http://service.sap.com/sap/support/notes/1705142","1705142")</f>
        <v>1705142</v>
      </c>
      <c r="E4819">
        <v>3</v>
      </c>
      <c r="F4819" t="s">
        <v>6291</v>
      </c>
    </row>
    <row r="4820" spans="1:6" x14ac:dyDescent="0.25">
      <c r="A4820" t="s">
        <v>4201</v>
      </c>
      <c r="B4820" t="s">
        <v>3938</v>
      </c>
      <c r="C4820" t="s">
        <v>3939</v>
      </c>
      <c r="D4820" t="str">
        <f>HYPERLINK("http://service.sap.com/sap/support/notes/1708408","1708408")</f>
        <v>1708408</v>
      </c>
      <c r="E4820">
        <v>6</v>
      </c>
      <c r="F4820" t="s">
        <v>6292</v>
      </c>
    </row>
    <row r="4821" spans="1:6" x14ac:dyDescent="0.25">
      <c r="A4821" t="s">
        <v>4201</v>
      </c>
      <c r="B4821" t="s">
        <v>3938</v>
      </c>
      <c r="C4821" t="s">
        <v>3939</v>
      </c>
      <c r="D4821" t="str">
        <f>HYPERLINK("http://service.sap.com/sap/support/notes/1716814","1716814")</f>
        <v>1716814</v>
      </c>
      <c r="E4821">
        <v>2</v>
      </c>
      <c r="F4821" t="s">
        <v>6293</v>
      </c>
    </row>
    <row r="4822" spans="1:6" x14ac:dyDescent="0.25">
      <c r="A4822" t="s">
        <v>4201</v>
      </c>
      <c r="B4822" t="s">
        <v>3938</v>
      </c>
      <c r="C4822" t="s">
        <v>3939</v>
      </c>
      <c r="D4822" t="str">
        <f>HYPERLINK("http://service.sap.com/sap/support/notes/1720057","1720057")</f>
        <v>1720057</v>
      </c>
      <c r="E4822">
        <v>4</v>
      </c>
      <c r="F4822" t="s">
        <v>6294</v>
      </c>
    </row>
    <row r="4823" spans="1:6" x14ac:dyDescent="0.25">
      <c r="A4823" t="s">
        <v>4201</v>
      </c>
      <c r="B4823" t="s">
        <v>3938</v>
      </c>
      <c r="C4823" t="s">
        <v>3939</v>
      </c>
      <c r="D4823" t="str">
        <f>HYPERLINK("http://service.sap.com/sap/support/notes/1721137","1721137")</f>
        <v>1721137</v>
      </c>
      <c r="E4823">
        <v>3</v>
      </c>
      <c r="F4823" t="s">
        <v>6295</v>
      </c>
    </row>
    <row r="4824" spans="1:6" x14ac:dyDescent="0.25">
      <c r="A4824" t="s">
        <v>4201</v>
      </c>
      <c r="B4824" t="s">
        <v>3938</v>
      </c>
      <c r="C4824" t="s">
        <v>3939</v>
      </c>
      <c r="D4824" t="str">
        <f>HYPERLINK("http://service.sap.com/sap/support/notes/1721923","1721923")</f>
        <v>1721923</v>
      </c>
      <c r="E4824">
        <v>2</v>
      </c>
      <c r="F4824" t="s">
        <v>6296</v>
      </c>
    </row>
    <row r="4825" spans="1:6" x14ac:dyDescent="0.25">
      <c r="A4825" t="s">
        <v>4201</v>
      </c>
      <c r="B4825" t="s">
        <v>3938</v>
      </c>
      <c r="C4825" t="s">
        <v>3939</v>
      </c>
      <c r="D4825" t="str">
        <f>HYPERLINK("http://service.sap.com/sap/support/notes/1728050","1728050")</f>
        <v>1728050</v>
      </c>
      <c r="E4825">
        <v>3</v>
      </c>
      <c r="F4825" t="s">
        <v>6297</v>
      </c>
    </row>
    <row r="4826" spans="1:6" x14ac:dyDescent="0.25">
      <c r="A4826" t="s">
        <v>4201</v>
      </c>
      <c r="B4826" t="s">
        <v>3938</v>
      </c>
      <c r="C4826" t="s">
        <v>3939</v>
      </c>
      <c r="D4826" t="str">
        <f>HYPERLINK("http://service.sap.com/sap/support/notes/1744475","1744475")</f>
        <v>1744475</v>
      </c>
      <c r="E4826">
        <v>3</v>
      </c>
      <c r="F4826" t="s">
        <v>6298</v>
      </c>
    </row>
    <row r="4827" spans="1:6" x14ac:dyDescent="0.25">
      <c r="A4827" t="s">
        <v>4201</v>
      </c>
      <c r="B4827" t="s">
        <v>3938</v>
      </c>
      <c r="C4827" t="s">
        <v>3939</v>
      </c>
      <c r="D4827" t="str">
        <f>HYPERLINK("http://service.sap.com/sap/support/notes/1752255","1752255")</f>
        <v>1752255</v>
      </c>
      <c r="E4827">
        <v>2</v>
      </c>
      <c r="F4827" t="s">
        <v>6299</v>
      </c>
    </row>
    <row r="4828" spans="1:6" x14ac:dyDescent="0.25">
      <c r="A4828" t="s">
        <v>4201</v>
      </c>
      <c r="B4828" t="s">
        <v>3938</v>
      </c>
      <c r="C4828" t="s">
        <v>3939</v>
      </c>
      <c r="D4828" t="str">
        <f>HYPERLINK("http://service.sap.com/sap/support/notes/1762004","1762004")</f>
        <v>1762004</v>
      </c>
      <c r="E4828">
        <v>3</v>
      </c>
      <c r="F4828" t="s">
        <v>6300</v>
      </c>
    </row>
    <row r="4829" spans="1:6" x14ac:dyDescent="0.25">
      <c r="A4829" t="s">
        <v>4201</v>
      </c>
      <c r="B4829" t="s">
        <v>3938</v>
      </c>
      <c r="C4829" t="s">
        <v>3939</v>
      </c>
      <c r="D4829" t="str">
        <f>HYPERLINK("http://service.sap.com/sap/support/notes/1763764","1763764")</f>
        <v>1763764</v>
      </c>
      <c r="E4829">
        <v>2</v>
      </c>
      <c r="F4829" t="s">
        <v>6301</v>
      </c>
    </row>
    <row r="4830" spans="1:6" x14ac:dyDescent="0.25">
      <c r="A4830" t="s">
        <v>4201</v>
      </c>
      <c r="B4830" t="s">
        <v>3938</v>
      </c>
      <c r="C4830" t="s">
        <v>3939</v>
      </c>
      <c r="D4830" t="str">
        <f>HYPERLINK("http://service.sap.com/sap/support/notes/1770177","1770177")</f>
        <v>1770177</v>
      </c>
      <c r="E4830">
        <v>1</v>
      </c>
      <c r="F4830" t="s">
        <v>6302</v>
      </c>
    </row>
    <row r="4831" spans="1:6" x14ac:dyDescent="0.25">
      <c r="A4831" t="s">
        <v>4201</v>
      </c>
      <c r="B4831" t="s">
        <v>3938</v>
      </c>
      <c r="C4831" t="s">
        <v>3939</v>
      </c>
      <c r="D4831" t="str">
        <f>HYPERLINK("http://service.sap.com/sap/support/notes/1778274","1778274")</f>
        <v>1778274</v>
      </c>
      <c r="E4831">
        <v>2</v>
      </c>
      <c r="F4831" t="s">
        <v>6303</v>
      </c>
    </row>
    <row r="4832" spans="1:6" x14ac:dyDescent="0.25">
      <c r="A4832" t="s">
        <v>4201</v>
      </c>
      <c r="B4832" t="s">
        <v>3938</v>
      </c>
      <c r="C4832" t="s">
        <v>3939</v>
      </c>
      <c r="D4832" t="str">
        <f>HYPERLINK("http://service.sap.com/sap/support/notes/1779402","1779402")</f>
        <v>1779402</v>
      </c>
      <c r="E4832">
        <v>2</v>
      </c>
      <c r="F4832" t="s">
        <v>6304</v>
      </c>
    </row>
    <row r="4833" spans="1:6" x14ac:dyDescent="0.25">
      <c r="A4833" t="s">
        <v>4201</v>
      </c>
      <c r="B4833" t="s">
        <v>3958</v>
      </c>
      <c r="C4833" t="s">
        <v>3959</v>
      </c>
      <c r="D4833" t="str">
        <f>HYPERLINK("http://service.sap.com/sap/support/notes/1737957","1737957")</f>
        <v>1737957</v>
      </c>
      <c r="E4833">
        <v>3</v>
      </c>
      <c r="F4833" t="s">
        <v>6305</v>
      </c>
    </row>
    <row r="4834" spans="1:6" x14ac:dyDescent="0.25">
      <c r="A4834" t="s">
        <v>4201</v>
      </c>
      <c r="B4834" t="s">
        <v>3958</v>
      </c>
      <c r="C4834" t="s">
        <v>3959</v>
      </c>
      <c r="D4834" t="str">
        <f>HYPERLINK("http://service.sap.com/sap/support/notes/1743507","1743507")</f>
        <v>1743507</v>
      </c>
      <c r="E4834">
        <v>2</v>
      </c>
      <c r="F4834" t="s">
        <v>6306</v>
      </c>
    </row>
    <row r="4835" spans="1:6" x14ac:dyDescent="0.25">
      <c r="A4835" t="s">
        <v>4201</v>
      </c>
      <c r="B4835" t="s">
        <v>3958</v>
      </c>
      <c r="C4835" t="s">
        <v>3959</v>
      </c>
      <c r="D4835" t="str">
        <f>HYPERLINK("http://service.sap.com/sap/support/notes/1771512","1771512")</f>
        <v>1771512</v>
      </c>
      <c r="E4835">
        <v>2</v>
      </c>
      <c r="F4835" t="s">
        <v>6307</v>
      </c>
    </row>
    <row r="4836" spans="1:6" x14ac:dyDescent="0.25">
      <c r="A4836" t="s">
        <v>4201</v>
      </c>
      <c r="B4836" t="s">
        <v>3958</v>
      </c>
      <c r="C4836" t="s">
        <v>3959</v>
      </c>
      <c r="D4836" t="str">
        <f>HYPERLINK("http://service.sap.com/sap/support/notes/1772851","1772851")</f>
        <v>1772851</v>
      </c>
      <c r="E4836">
        <v>2</v>
      </c>
      <c r="F4836" t="s">
        <v>6308</v>
      </c>
    </row>
    <row r="4837" spans="1:6" x14ac:dyDescent="0.25">
      <c r="A4837" t="s">
        <v>4201</v>
      </c>
      <c r="B4837" t="s">
        <v>3966</v>
      </c>
      <c r="C4837" t="s">
        <v>3967</v>
      </c>
    </row>
    <row r="4838" spans="1:6" x14ac:dyDescent="0.25">
      <c r="A4838" t="s">
        <v>4201</v>
      </c>
      <c r="B4838" t="s">
        <v>3968</v>
      </c>
      <c r="C4838" t="s">
        <v>198</v>
      </c>
      <c r="D4838" t="str">
        <f>HYPERLINK("http://service.sap.com/sap/support/notes/1786539","1786539")</f>
        <v>1786539</v>
      </c>
      <c r="E4838">
        <v>1</v>
      </c>
      <c r="F4838" t="s">
        <v>6309</v>
      </c>
    </row>
    <row r="4839" spans="1:6" x14ac:dyDescent="0.25">
      <c r="A4839" t="s">
        <v>4201</v>
      </c>
      <c r="B4839" t="s">
        <v>6310</v>
      </c>
      <c r="C4839" t="s">
        <v>6311</v>
      </c>
      <c r="D4839" t="str">
        <f>HYPERLINK("http://service.sap.com/sap/support/notes/1748633","1748633")</f>
        <v>1748633</v>
      </c>
      <c r="E4839">
        <v>3</v>
      </c>
      <c r="F4839" t="s">
        <v>6312</v>
      </c>
    </row>
    <row r="4840" spans="1:6" x14ac:dyDescent="0.25">
      <c r="A4840" t="s">
        <v>4201</v>
      </c>
      <c r="B4840" t="s">
        <v>6310</v>
      </c>
      <c r="C4840" t="s">
        <v>6311</v>
      </c>
      <c r="D4840" t="str">
        <f>HYPERLINK("http://service.sap.com/sap/support/notes/1756401","1756401")</f>
        <v>1756401</v>
      </c>
      <c r="E4840">
        <v>3</v>
      </c>
      <c r="F4840" t="s">
        <v>6313</v>
      </c>
    </row>
    <row r="4841" spans="1:6" x14ac:dyDescent="0.25">
      <c r="A4841" t="s">
        <v>4201</v>
      </c>
      <c r="B4841" t="s">
        <v>3971</v>
      </c>
      <c r="C4841" t="s">
        <v>3972</v>
      </c>
      <c r="D4841" t="str">
        <f>HYPERLINK("http://service.sap.com/sap/support/notes/1761008","1761008")</f>
        <v>1761008</v>
      </c>
      <c r="E4841">
        <v>1</v>
      </c>
      <c r="F4841" t="s">
        <v>6314</v>
      </c>
    </row>
    <row r="4842" spans="1:6" x14ac:dyDescent="0.25">
      <c r="A4842" t="s">
        <v>4201</v>
      </c>
      <c r="B4842" t="s">
        <v>3971</v>
      </c>
      <c r="C4842" t="s">
        <v>3972</v>
      </c>
      <c r="D4842" t="str">
        <f>HYPERLINK("http://service.sap.com/sap/support/notes/1766097","1766097")</f>
        <v>1766097</v>
      </c>
      <c r="E4842">
        <v>2</v>
      </c>
      <c r="F4842" t="s">
        <v>6315</v>
      </c>
    </row>
    <row r="4843" spans="1:6" x14ac:dyDescent="0.25">
      <c r="A4843" t="s">
        <v>4201</v>
      </c>
      <c r="B4843" t="s">
        <v>3971</v>
      </c>
      <c r="C4843" t="s">
        <v>3972</v>
      </c>
      <c r="D4843" t="str">
        <f>HYPERLINK("http://service.sap.com/sap/support/notes/1780251","1780251")</f>
        <v>1780251</v>
      </c>
      <c r="E4843">
        <v>3</v>
      </c>
      <c r="F4843" t="s">
        <v>6316</v>
      </c>
    </row>
    <row r="4844" spans="1:6" x14ac:dyDescent="0.25">
      <c r="A4844" t="s">
        <v>4201</v>
      </c>
      <c r="B4844" t="s">
        <v>3971</v>
      </c>
      <c r="C4844" t="s">
        <v>3972</v>
      </c>
      <c r="D4844" t="str">
        <f>HYPERLINK("http://service.sap.com/sap/support/notes/1794319","1794319")</f>
        <v>1794319</v>
      </c>
    </row>
    <row r="4845" spans="1:6" x14ac:dyDescent="0.25">
      <c r="A4845" t="s">
        <v>4201</v>
      </c>
      <c r="B4845" t="s">
        <v>3976</v>
      </c>
      <c r="C4845" t="s">
        <v>3977</v>
      </c>
      <c r="D4845" t="str">
        <f>HYPERLINK("http://service.sap.com/sap/support/notes/1726114","1726114")</f>
        <v>1726114</v>
      </c>
      <c r="E4845">
        <v>2</v>
      </c>
      <c r="F4845" t="s">
        <v>6317</v>
      </c>
    </row>
    <row r="4846" spans="1:6" x14ac:dyDescent="0.25">
      <c r="A4846" t="s">
        <v>4201</v>
      </c>
      <c r="B4846" t="s">
        <v>3976</v>
      </c>
      <c r="C4846" t="s">
        <v>3977</v>
      </c>
      <c r="D4846" t="str">
        <f>HYPERLINK("http://service.sap.com/sap/support/notes/1790173","1790173")</f>
        <v>1790173</v>
      </c>
      <c r="E4846">
        <v>1</v>
      </c>
      <c r="F4846" t="s">
        <v>6318</v>
      </c>
    </row>
    <row r="4847" spans="1:6" x14ac:dyDescent="0.25">
      <c r="A4847" t="s">
        <v>4201</v>
      </c>
      <c r="B4847" t="s">
        <v>3981</v>
      </c>
      <c r="C4847" t="s">
        <v>3982</v>
      </c>
    </row>
    <row r="4848" spans="1:6" x14ac:dyDescent="0.25">
      <c r="A4848" t="s">
        <v>4201</v>
      </c>
      <c r="B4848" t="s">
        <v>3983</v>
      </c>
      <c r="C4848" t="s">
        <v>198</v>
      </c>
      <c r="D4848" t="str">
        <f>HYPERLINK("http://service.sap.com/sap/support/notes/1769697","1769697")</f>
        <v>1769697</v>
      </c>
      <c r="E4848">
        <v>2</v>
      </c>
      <c r="F4848" t="s">
        <v>6319</v>
      </c>
    </row>
    <row r="4849" spans="1:6" x14ac:dyDescent="0.25">
      <c r="A4849" t="s">
        <v>4201</v>
      </c>
      <c r="B4849" t="s">
        <v>3983</v>
      </c>
      <c r="C4849" t="s">
        <v>198</v>
      </c>
      <c r="D4849" t="str">
        <f>HYPERLINK("http://service.sap.com/sap/support/notes/1795816","1795816")</f>
        <v>1795816</v>
      </c>
      <c r="E4849">
        <v>1</v>
      </c>
      <c r="F4849" t="s">
        <v>6320</v>
      </c>
    </row>
    <row r="4850" spans="1:6" x14ac:dyDescent="0.25">
      <c r="A4850" t="s">
        <v>4201</v>
      </c>
      <c r="B4850" t="s">
        <v>3985</v>
      </c>
      <c r="C4850" t="s">
        <v>3986</v>
      </c>
      <c r="D4850" t="str">
        <f>HYPERLINK("http://service.sap.com/sap/support/notes/1779019","1779019")</f>
        <v>1779019</v>
      </c>
      <c r="E4850">
        <v>1</v>
      </c>
      <c r="F4850" t="s">
        <v>6321</v>
      </c>
    </row>
    <row r="4851" spans="1:6" x14ac:dyDescent="0.25">
      <c r="A4851" t="s">
        <v>4201</v>
      </c>
      <c r="B4851" t="s">
        <v>3985</v>
      </c>
      <c r="C4851" t="s">
        <v>3986</v>
      </c>
      <c r="D4851" t="str">
        <f>HYPERLINK("http://service.sap.com/sap/support/notes/1792517","1792517")</f>
        <v>1792517</v>
      </c>
      <c r="E4851">
        <v>1</v>
      </c>
      <c r="F4851" t="s">
        <v>6322</v>
      </c>
    </row>
    <row r="4852" spans="1:6" x14ac:dyDescent="0.25">
      <c r="A4852" t="s">
        <v>4201</v>
      </c>
      <c r="B4852" t="s">
        <v>6323</v>
      </c>
      <c r="C4852" t="s">
        <v>6324</v>
      </c>
      <c r="D4852" t="str">
        <f>HYPERLINK("http://service.sap.com/sap/support/notes/1760489","1760489")</f>
        <v>1760489</v>
      </c>
      <c r="E4852">
        <v>2</v>
      </c>
      <c r="F4852" t="s">
        <v>6325</v>
      </c>
    </row>
    <row r="4853" spans="1:6" x14ac:dyDescent="0.25">
      <c r="A4853" t="s">
        <v>4201</v>
      </c>
      <c r="B4853" t="s">
        <v>6326</v>
      </c>
      <c r="C4853" t="s">
        <v>6327</v>
      </c>
      <c r="D4853" t="str">
        <f>HYPERLINK("http://service.sap.com/sap/support/notes/1797832","1797832")</f>
        <v>1797832</v>
      </c>
      <c r="E4853">
        <v>1</v>
      </c>
      <c r="F4853" t="s">
        <v>6328</v>
      </c>
    </row>
    <row r="4854" spans="1:6" x14ac:dyDescent="0.25">
      <c r="A4854" t="s">
        <v>4201</v>
      </c>
      <c r="B4854" t="s">
        <v>6326</v>
      </c>
      <c r="C4854" t="s">
        <v>6327</v>
      </c>
      <c r="D4854" t="str">
        <f>HYPERLINK("http://service.sap.com/sap/support/notes/1797948","1797948")</f>
        <v>1797948</v>
      </c>
      <c r="E4854">
        <v>1</v>
      </c>
      <c r="F4854" t="s">
        <v>6329</v>
      </c>
    </row>
    <row r="4855" spans="1:6" x14ac:dyDescent="0.25">
      <c r="A4855" t="s">
        <v>4201</v>
      </c>
      <c r="B4855" t="s">
        <v>6330</v>
      </c>
      <c r="C4855" t="s">
        <v>6331</v>
      </c>
      <c r="D4855" t="str">
        <f>HYPERLINK("http://service.sap.com/sap/support/notes/1743316","1743316")</f>
        <v>1743316</v>
      </c>
      <c r="E4855">
        <v>1</v>
      </c>
      <c r="F4855" t="s">
        <v>6332</v>
      </c>
    </row>
    <row r="4856" spans="1:6" x14ac:dyDescent="0.25">
      <c r="A4856" t="s">
        <v>4201</v>
      </c>
      <c r="B4856" t="s">
        <v>3992</v>
      </c>
      <c r="C4856" t="s">
        <v>3993</v>
      </c>
    </row>
    <row r="4857" spans="1:6" x14ac:dyDescent="0.25">
      <c r="A4857" t="s">
        <v>4201</v>
      </c>
      <c r="B4857" t="s">
        <v>3996</v>
      </c>
      <c r="C4857" t="s">
        <v>2999</v>
      </c>
      <c r="D4857" t="str">
        <f>HYPERLINK("http://service.sap.com/sap/support/notes/1755412","1755412")</f>
        <v>1755412</v>
      </c>
      <c r="E4857">
        <v>4</v>
      </c>
      <c r="F4857" t="s">
        <v>6333</v>
      </c>
    </row>
    <row r="4858" spans="1:6" x14ac:dyDescent="0.25">
      <c r="A4858" t="s">
        <v>4201</v>
      </c>
      <c r="B4858" t="s">
        <v>3996</v>
      </c>
      <c r="C4858" t="s">
        <v>2999</v>
      </c>
      <c r="D4858" t="str">
        <f>HYPERLINK("http://service.sap.com/sap/support/notes/1777286","1777286")</f>
        <v>1777286</v>
      </c>
      <c r="E4858">
        <v>3</v>
      </c>
      <c r="F4858" t="s">
        <v>6334</v>
      </c>
    </row>
    <row r="4859" spans="1:6" x14ac:dyDescent="0.25">
      <c r="A4859" t="s">
        <v>4201</v>
      </c>
      <c r="B4859" t="s">
        <v>3996</v>
      </c>
      <c r="C4859" t="s">
        <v>2999</v>
      </c>
      <c r="D4859" t="str">
        <f>HYPERLINK("http://service.sap.com/sap/support/notes/1783729","1783729")</f>
        <v>1783729</v>
      </c>
      <c r="E4859">
        <v>3</v>
      </c>
      <c r="F4859" t="s">
        <v>6335</v>
      </c>
    </row>
    <row r="4860" spans="1:6" x14ac:dyDescent="0.25">
      <c r="A4860" t="s">
        <v>4201</v>
      </c>
      <c r="B4860" t="s">
        <v>4005</v>
      </c>
      <c r="C4860" t="s">
        <v>4006</v>
      </c>
      <c r="D4860" t="str">
        <f>HYPERLINK("http://service.sap.com/sap/support/notes/1659985","1659985")</f>
        <v>1659985</v>
      </c>
      <c r="E4860">
        <v>2</v>
      </c>
      <c r="F4860" t="s">
        <v>6336</v>
      </c>
    </row>
    <row r="4861" spans="1:6" x14ac:dyDescent="0.25">
      <c r="A4861" t="s">
        <v>4201</v>
      </c>
      <c r="B4861" t="s">
        <v>4005</v>
      </c>
      <c r="C4861" t="s">
        <v>4006</v>
      </c>
      <c r="D4861" t="str">
        <f>HYPERLINK("http://service.sap.com/sap/support/notes/1746136","1746136")</f>
        <v>1746136</v>
      </c>
      <c r="E4861">
        <v>4</v>
      </c>
      <c r="F4861" t="s">
        <v>6337</v>
      </c>
    </row>
    <row r="4862" spans="1:6" x14ac:dyDescent="0.25">
      <c r="A4862" t="s">
        <v>4201</v>
      </c>
      <c r="B4862" t="s">
        <v>4005</v>
      </c>
      <c r="C4862" t="s">
        <v>4006</v>
      </c>
      <c r="D4862" t="str">
        <f>HYPERLINK("http://service.sap.com/sap/support/notes/1755842","1755842")</f>
        <v>1755842</v>
      </c>
      <c r="E4862">
        <v>2</v>
      </c>
      <c r="F4862" t="s">
        <v>6338</v>
      </c>
    </row>
    <row r="4863" spans="1:6" x14ac:dyDescent="0.25">
      <c r="A4863" t="s">
        <v>4201</v>
      </c>
      <c r="B4863" t="s">
        <v>4005</v>
      </c>
      <c r="C4863" t="s">
        <v>4006</v>
      </c>
      <c r="D4863" t="str">
        <f>HYPERLINK("http://service.sap.com/sap/support/notes/1771982","1771982")</f>
        <v>1771982</v>
      </c>
      <c r="E4863">
        <v>2</v>
      </c>
      <c r="F4863" t="s">
        <v>6339</v>
      </c>
    </row>
    <row r="4864" spans="1:6" x14ac:dyDescent="0.25">
      <c r="A4864" t="s">
        <v>4201</v>
      </c>
      <c r="B4864" t="s">
        <v>4005</v>
      </c>
      <c r="C4864" t="s">
        <v>4006</v>
      </c>
      <c r="D4864" t="str">
        <f>HYPERLINK("http://service.sap.com/sap/support/notes/1789993","1789993")</f>
        <v>1789993</v>
      </c>
      <c r="E4864">
        <v>4</v>
      </c>
      <c r="F4864" t="s">
        <v>6340</v>
      </c>
    </row>
    <row r="4865" spans="1:6" x14ac:dyDescent="0.25">
      <c r="A4865" t="s">
        <v>4201</v>
      </c>
      <c r="B4865" t="s">
        <v>4019</v>
      </c>
      <c r="C4865" t="s">
        <v>201</v>
      </c>
      <c r="D4865" t="str">
        <f>HYPERLINK("http://service.sap.com/sap/support/notes/1762254","1762254")</f>
        <v>1762254</v>
      </c>
      <c r="E4865">
        <v>11</v>
      </c>
      <c r="F4865" t="s">
        <v>6341</v>
      </c>
    </row>
    <row r="4866" spans="1:6" x14ac:dyDescent="0.25">
      <c r="A4866" t="s">
        <v>4201</v>
      </c>
      <c r="B4866" t="s">
        <v>4019</v>
      </c>
      <c r="C4866" t="s">
        <v>201</v>
      </c>
      <c r="D4866" t="str">
        <f>HYPERLINK("http://service.sap.com/sap/support/notes/1771802","1771802")</f>
        <v>1771802</v>
      </c>
      <c r="E4866">
        <v>3</v>
      </c>
      <c r="F4866" t="s">
        <v>6342</v>
      </c>
    </row>
    <row r="4867" spans="1:6" x14ac:dyDescent="0.25">
      <c r="A4867" t="s">
        <v>4201</v>
      </c>
      <c r="B4867" t="s">
        <v>4019</v>
      </c>
      <c r="C4867" t="s">
        <v>201</v>
      </c>
      <c r="D4867" t="str">
        <f>HYPERLINK("http://service.sap.com/sap/support/notes/1775027","1775027")</f>
        <v>1775027</v>
      </c>
      <c r="E4867">
        <v>1</v>
      </c>
      <c r="F4867" t="s">
        <v>6343</v>
      </c>
    </row>
    <row r="4868" spans="1:6" x14ac:dyDescent="0.25">
      <c r="A4868" t="s">
        <v>4201</v>
      </c>
      <c r="B4868" t="s">
        <v>4019</v>
      </c>
      <c r="C4868" t="s">
        <v>201</v>
      </c>
      <c r="D4868" t="str">
        <f>HYPERLINK("http://service.sap.com/sap/support/notes/1777793","1777793")</f>
        <v>1777793</v>
      </c>
      <c r="E4868">
        <v>1</v>
      </c>
      <c r="F4868" t="s">
        <v>6344</v>
      </c>
    </row>
    <row r="4869" spans="1:6" x14ac:dyDescent="0.25">
      <c r="A4869" t="s">
        <v>4201</v>
      </c>
      <c r="B4869" t="s">
        <v>4019</v>
      </c>
      <c r="C4869" t="s">
        <v>201</v>
      </c>
      <c r="D4869" t="str">
        <f>HYPERLINK("http://service.sap.com/sap/support/notes/1781121","1781121")</f>
        <v>1781121</v>
      </c>
      <c r="E4869">
        <v>2</v>
      </c>
      <c r="F4869" t="s">
        <v>6345</v>
      </c>
    </row>
    <row r="4870" spans="1:6" x14ac:dyDescent="0.25">
      <c r="A4870" t="s">
        <v>4201</v>
      </c>
      <c r="B4870" t="s">
        <v>4019</v>
      </c>
      <c r="C4870" t="s">
        <v>201</v>
      </c>
      <c r="D4870" t="str">
        <f>HYPERLINK("http://service.sap.com/sap/support/notes/1781750","1781750")</f>
        <v>1781750</v>
      </c>
      <c r="E4870">
        <v>2</v>
      </c>
      <c r="F4870" t="s">
        <v>6346</v>
      </c>
    </row>
    <row r="4871" spans="1:6" x14ac:dyDescent="0.25">
      <c r="A4871" t="s">
        <v>4201</v>
      </c>
      <c r="B4871" t="s">
        <v>4019</v>
      </c>
      <c r="C4871" t="s">
        <v>201</v>
      </c>
      <c r="D4871" t="str">
        <f>HYPERLINK("http://service.sap.com/sap/support/notes/1784987","1784987")</f>
        <v>1784987</v>
      </c>
      <c r="E4871">
        <v>1</v>
      </c>
      <c r="F4871" t="s">
        <v>6347</v>
      </c>
    </row>
    <row r="4872" spans="1:6" x14ac:dyDescent="0.25">
      <c r="A4872" t="s">
        <v>4201</v>
      </c>
      <c r="B4872" t="s">
        <v>4019</v>
      </c>
      <c r="C4872" t="s">
        <v>201</v>
      </c>
      <c r="D4872" t="str">
        <f>HYPERLINK("http://service.sap.com/sap/support/notes/1788871","1788871")</f>
        <v>1788871</v>
      </c>
      <c r="E4872">
        <v>1</v>
      </c>
      <c r="F4872" t="s">
        <v>6348</v>
      </c>
    </row>
    <row r="4873" spans="1:6" x14ac:dyDescent="0.25">
      <c r="A4873" t="s">
        <v>4201</v>
      </c>
      <c r="B4873" t="s">
        <v>4019</v>
      </c>
      <c r="C4873" t="s">
        <v>201</v>
      </c>
      <c r="D4873" t="str">
        <f>HYPERLINK("http://service.sap.com/sap/support/notes/1790792","1790792")</f>
        <v>1790792</v>
      </c>
      <c r="E4873">
        <v>1</v>
      </c>
      <c r="F4873" t="s">
        <v>6349</v>
      </c>
    </row>
    <row r="4874" spans="1:6" x14ac:dyDescent="0.25">
      <c r="A4874" t="s">
        <v>4201</v>
      </c>
      <c r="B4874" t="s">
        <v>4019</v>
      </c>
      <c r="C4874" t="s">
        <v>201</v>
      </c>
      <c r="D4874" t="str">
        <f>HYPERLINK("http://service.sap.com/sap/support/notes/1791159","1791159")</f>
        <v>1791159</v>
      </c>
      <c r="E4874">
        <v>1</v>
      </c>
      <c r="F4874" t="s">
        <v>6350</v>
      </c>
    </row>
    <row r="4875" spans="1:6" x14ac:dyDescent="0.25">
      <c r="A4875" t="s">
        <v>4201</v>
      </c>
      <c r="B4875" t="s">
        <v>4019</v>
      </c>
      <c r="C4875" t="s">
        <v>201</v>
      </c>
      <c r="D4875" t="str">
        <f>HYPERLINK("http://service.sap.com/sap/support/notes/1791456","1791456")</f>
        <v>1791456</v>
      </c>
      <c r="E4875">
        <v>1</v>
      </c>
      <c r="F4875" t="s">
        <v>6351</v>
      </c>
    </row>
    <row r="4876" spans="1:6" x14ac:dyDescent="0.25">
      <c r="A4876" t="s">
        <v>4201</v>
      </c>
      <c r="B4876" t="s">
        <v>4019</v>
      </c>
      <c r="C4876" t="s">
        <v>201</v>
      </c>
      <c r="D4876" t="str">
        <f>HYPERLINK("http://service.sap.com/sap/support/notes/1792397","1792397")</f>
        <v>1792397</v>
      </c>
      <c r="E4876">
        <v>3</v>
      </c>
      <c r="F4876" t="s">
        <v>6352</v>
      </c>
    </row>
    <row r="4877" spans="1:6" x14ac:dyDescent="0.25">
      <c r="A4877" t="s">
        <v>4201</v>
      </c>
      <c r="B4877" t="s">
        <v>4019</v>
      </c>
      <c r="C4877" t="s">
        <v>201</v>
      </c>
      <c r="D4877" t="str">
        <f>HYPERLINK("http://service.sap.com/sap/support/notes/1794189","1794189")</f>
        <v>1794189</v>
      </c>
      <c r="E4877">
        <v>2</v>
      </c>
      <c r="F4877" t="s">
        <v>6353</v>
      </c>
    </row>
    <row r="4878" spans="1:6" x14ac:dyDescent="0.25">
      <c r="A4878" t="s">
        <v>4201</v>
      </c>
      <c r="B4878" t="s">
        <v>4053</v>
      </c>
      <c r="C4878" t="s">
        <v>4054</v>
      </c>
      <c r="D4878" t="str">
        <f>HYPERLINK("http://service.sap.com/sap/support/notes/1785558","1785558")</f>
        <v>1785558</v>
      </c>
      <c r="E4878">
        <v>3</v>
      </c>
      <c r="F4878" t="s">
        <v>6354</v>
      </c>
    </row>
    <row r="4879" spans="1:6" x14ac:dyDescent="0.25">
      <c r="A4879" t="s">
        <v>4201</v>
      </c>
      <c r="B4879" t="s">
        <v>4053</v>
      </c>
      <c r="C4879" t="s">
        <v>4054</v>
      </c>
      <c r="D4879" t="str">
        <f>HYPERLINK("http://service.sap.com/sap/support/notes/1785962","1785962")</f>
        <v>1785962</v>
      </c>
      <c r="E4879">
        <v>2</v>
      </c>
      <c r="F4879" t="s">
        <v>6355</v>
      </c>
    </row>
    <row r="4880" spans="1:6" x14ac:dyDescent="0.25">
      <c r="A4880" t="s">
        <v>4201</v>
      </c>
      <c r="B4880" t="s">
        <v>4053</v>
      </c>
      <c r="C4880" t="s">
        <v>4054</v>
      </c>
      <c r="D4880" t="str">
        <f>HYPERLINK("http://service.sap.com/sap/support/notes/1789026","1789026")</f>
        <v>1789026</v>
      </c>
      <c r="E4880">
        <v>2</v>
      </c>
      <c r="F4880" t="s">
        <v>6356</v>
      </c>
    </row>
    <row r="4881" spans="1:6" x14ac:dyDescent="0.25">
      <c r="A4881" t="s">
        <v>4201</v>
      </c>
      <c r="B4881" t="s">
        <v>4053</v>
      </c>
      <c r="C4881" t="s">
        <v>4054</v>
      </c>
      <c r="D4881" t="str">
        <f>HYPERLINK("http://service.sap.com/sap/support/notes/1789688","1789688")</f>
        <v>1789688</v>
      </c>
      <c r="E4881">
        <v>1</v>
      </c>
      <c r="F4881" t="s">
        <v>6357</v>
      </c>
    </row>
    <row r="4882" spans="1:6" x14ac:dyDescent="0.25">
      <c r="A4882" t="s">
        <v>4201</v>
      </c>
      <c r="B4882" t="s">
        <v>4053</v>
      </c>
      <c r="C4882" t="s">
        <v>4054</v>
      </c>
      <c r="D4882" t="str">
        <f>HYPERLINK("http://service.sap.com/sap/support/notes/1792068","1792068")</f>
        <v>1792068</v>
      </c>
      <c r="E4882">
        <v>1</v>
      </c>
      <c r="F4882" t="s">
        <v>6358</v>
      </c>
    </row>
    <row r="4883" spans="1:6" x14ac:dyDescent="0.25">
      <c r="A4883" t="s">
        <v>4201</v>
      </c>
      <c r="B4883" t="s">
        <v>4053</v>
      </c>
      <c r="C4883" t="s">
        <v>4054</v>
      </c>
      <c r="D4883" t="str">
        <f>HYPERLINK("http://service.sap.com/sap/support/notes/1796571","1796571")</f>
        <v>1796571</v>
      </c>
      <c r="E4883">
        <v>1</v>
      </c>
      <c r="F4883" t="s">
        <v>6359</v>
      </c>
    </row>
    <row r="4884" spans="1:6" x14ac:dyDescent="0.25">
      <c r="A4884" t="s">
        <v>4201</v>
      </c>
      <c r="B4884" t="s">
        <v>4060</v>
      </c>
      <c r="C4884" t="s">
        <v>198</v>
      </c>
      <c r="D4884" t="str">
        <f>HYPERLINK("http://service.sap.com/sap/support/notes/1703898","1703898")</f>
        <v>1703898</v>
      </c>
      <c r="E4884">
        <v>7</v>
      </c>
      <c r="F4884" t="s">
        <v>6360</v>
      </c>
    </row>
    <row r="4885" spans="1:6" x14ac:dyDescent="0.25">
      <c r="A4885" t="s">
        <v>4201</v>
      </c>
      <c r="B4885" t="s">
        <v>4060</v>
      </c>
      <c r="C4885" t="s">
        <v>198</v>
      </c>
      <c r="D4885" t="str">
        <f>HYPERLINK("http://service.sap.com/sap/support/notes/1754713","1754713")</f>
        <v>1754713</v>
      </c>
      <c r="E4885">
        <v>1</v>
      </c>
      <c r="F4885" t="s">
        <v>6361</v>
      </c>
    </row>
    <row r="4886" spans="1:6" x14ac:dyDescent="0.25">
      <c r="A4886" t="s">
        <v>4201</v>
      </c>
      <c r="B4886" t="s">
        <v>4060</v>
      </c>
      <c r="C4886" t="s">
        <v>198</v>
      </c>
      <c r="D4886" t="str">
        <f>HYPERLINK("http://service.sap.com/sap/support/notes/1762367","1762367")</f>
        <v>1762367</v>
      </c>
      <c r="E4886">
        <v>2</v>
      </c>
      <c r="F4886" t="s">
        <v>6362</v>
      </c>
    </row>
    <row r="4887" spans="1:6" x14ac:dyDescent="0.25">
      <c r="A4887" t="s">
        <v>4201</v>
      </c>
      <c r="B4887" t="s">
        <v>4060</v>
      </c>
      <c r="C4887" t="s">
        <v>198</v>
      </c>
      <c r="D4887" t="str">
        <f>HYPERLINK("http://service.sap.com/sap/support/notes/1765365","1765365")</f>
        <v>1765365</v>
      </c>
      <c r="E4887">
        <v>3</v>
      </c>
      <c r="F4887" t="s">
        <v>6363</v>
      </c>
    </row>
    <row r="4888" spans="1:6" x14ac:dyDescent="0.25">
      <c r="A4888" t="s">
        <v>4201</v>
      </c>
      <c r="B4888" t="s">
        <v>4060</v>
      </c>
      <c r="C4888" t="s">
        <v>198</v>
      </c>
      <c r="D4888" t="str">
        <f>HYPERLINK("http://service.sap.com/sap/support/notes/1767388","1767388")</f>
        <v>1767388</v>
      </c>
      <c r="E4888">
        <v>8</v>
      </c>
      <c r="F4888" t="s">
        <v>6364</v>
      </c>
    </row>
    <row r="4889" spans="1:6" x14ac:dyDescent="0.25">
      <c r="A4889" t="s">
        <v>4201</v>
      </c>
      <c r="B4889" t="s">
        <v>4060</v>
      </c>
      <c r="C4889" t="s">
        <v>198</v>
      </c>
      <c r="D4889" t="str">
        <f>HYPERLINK("http://service.sap.com/sap/support/notes/1768390","1768390")</f>
        <v>1768390</v>
      </c>
      <c r="E4889">
        <v>2</v>
      </c>
      <c r="F4889" t="s">
        <v>6365</v>
      </c>
    </row>
    <row r="4890" spans="1:6" x14ac:dyDescent="0.25">
      <c r="A4890" t="s">
        <v>4201</v>
      </c>
      <c r="B4890" t="s">
        <v>4060</v>
      </c>
      <c r="C4890" t="s">
        <v>198</v>
      </c>
      <c r="D4890" t="str">
        <f>HYPERLINK("http://service.sap.com/sap/support/notes/1768573","1768573")</f>
        <v>1768573</v>
      </c>
      <c r="E4890">
        <v>2</v>
      </c>
      <c r="F4890" t="s">
        <v>6366</v>
      </c>
    </row>
    <row r="4891" spans="1:6" x14ac:dyDescent="0.25">
      <c r="A4891" t="s">
        <v>4201</v>
      </c>
      <c r="B4891" t="s">
        <v>4060</v>
      </c>
      <c r="C4891" t="s">
        <v>198</v>
      </c>
      <c r="D4891" t="str">
        <f>HYPERLINK("http://service.sap.com/sap/support/notes/1768654","1768654")</f>
        <v>1768654</v>
      </c>
      <c r="E4891">
        <v>2</v>
      </c>
      <c r="F4891" t="s">
        <v>6367</v>
      </c>
    </row>
    <row r="4892" spans="1:6" x14ac:dyDescent="0.25">
      <c r="A4892" t="s">
        <v>4201</v>
      </c>
      <c r="B4892" t="s">
        <v>4060</v>
      </c>
      <c r="C4892" t="s">
        <v>198</v>
      </c>
      <c r="D4892" t="str">
        <f>HYPERLINK("http://service.sap.com/sap/support/notes/1768684","1768684")</f>
        <v>1768684</v>
      </c>
      <c r="E4892">
        <v>2</v>
      </c>
      <c r="F4892" t="s">
        <v>6368</v>
      </c>
    </row>
    <row r="4893" spans="1:6" x14ac:dyDescent="0.25">
      <c r="A4893" t="s">
        <v>4201</v>
      </c>
      <c r="B4893" t="s">
        <v>4060</v>
      </c>
      <c r="C4893" t="s">
        <v>198</v>
      </c>
      <c r="D4893" t="str">
        <f>HYPERLINK("http://service.sap.com/sap/support/notes/1768703","1768703")</f>
        <v>1768703</v>
      </c>
      <c r="E4893">
        <v>1</v>
      </c>
      <c r="F4893" t="s">
        <v>4141</v>
      </c>
    </row>
    <row r="4894" spans="1:6" x14ac:dyDescent="0.25">
      <c r="A4894" t="s">
        <v>4201</v>
      </c>
      <c r="B4894" t="s">
        <v>4060</v>
      </c>
      <c r="C4894" t="s">
        <v>198</v>
      </c>
      <c r="D4894" t="str">
        <f>HYPERLINK("http://service.sap.com/sap/support/notes/1769480","1769480")</f>
        <v>1769480</v>
      </c>
      <c r="E4894">
        <v>3</v>
      </c>
      <c r="F4894" t="s">
        <v>6369</v>
      </c>
    </row>
    <row r="4895" spans="1:6" x14ac:dyDescent="0.25">
      <c r="A4895" t="s">
        <v>4201</v>
      </c>
      <c r="B4895" t="s">
        <v>4060</v>
      </c>
      <c r="C4895" t="s">
        <v>198</v>
      </c>
      <c r="D4895" t="str">
        <f>HYPERLINK("http://service.sap.com/sap/support/notes/1770247","1770247")</f>
        <v>1770247</v>
      </c>
      <c r="E4895">
        <v>3</v>
      </c>
      <c r="F4895" t="s">
        <v>6370</v>
      </c>
    </row>
    <row r="4896" spans="1:6" x14ac:dyDescent="0.25">
      <c r="A4896" t="s">
        <v>4201</v>
      </c>
      <c r="B4896" t="s">
        <v>4060</v>
      </c>
      <c r="C4896" t="s">
        <v>198</v>
      </c>
      <c r="D4896" t="str">
        <f>HYPERLINK("http://service.sap.com/sap/support/notes/1770466","1770466")</f>
        <v>1770466</v>
      </c>
      <c r="E4896">
        <v>3</v>
      </c>
      <c r="F4896" t="s">
        <v>6371</v>
      </c>
    </row>
    <row r="4897" spans="1:6" x14ac:dyDescent="0.25">
      <c r="A4897" t="s">
        <v>4201</v>
      </c>
      <c r="B4897" t="s">
        <v>4060</v>
      </c>
      <c r="C4897" t="s">
        <v>198</v>
      </c>
      <c r="D4897" t="str">
        <f>HYPERLINK("http://service.sap.com/sap/support/notes/1771146","1771146")</f>
        <v>1771146</v>
      </c>
      <c r="E4897">
        <v>3</v>
      </c>
      <c r="F4897" t="s">
        <v>6372</v>
      </c>
    </row>
    <row r="4898" spans="1:6" x14ac:dyDescent="0.25">
      <c r="A4898" t="s">
        <v>4201</v>
      </c>
      <c r="B4898" t="s">
        <v>4060</v>
      </c>
      <c r="C4898" t="s">
        <v>198</v>
      </c>
      <c r="D4898" t="str">
        <f>HYPERLINK("http://service.sap.com/sap/support/notes/1771150","1771150")</f>
        <v>1771150</v>
      </c>
      <c r="E4898">
        <v>2</v>
      </c>
      <c r="F4898" t="s">
        <v>6373</v>
      </c>
    </row>
    <row r="4899" spans="1:6" x14ac:dyDescent="0.25">
      <c r="A4899" t="s">
        <v>4201</v>
      </c>
      <c r="B4899" t="s">
        <v>4060</v>
      </c>
      <c r="C4899" t="s">
        <v>198</v>
      </c>
      <c r="D4899" t="str">
        <f>HYPERLINK("http://service.sap.com/sap/support/notes/1772298","1772298")</f>
        <v>1772298</v>
      </c>
      <c r="E4899">
        <v>3</v>
      </c>
      <c r="F4899" t="s">
        <v>6374</v>
      </c>
    </row>
    <row r="4900" spans="1:6" x14ac:dyDescent="0.25">
      <c r="A4900" t="s">
        <v>4201</v>
      </c>
      <c r="B4900" t="s">
        <v>4060</v>
      </c>
      <c r="C4900" t="s">
        <v>198</v>
      </c>
      <c r="D4900" t="str">
        <f>HYPERLINK("http://service.sap.com/sap/support/notes/1772578","1772578")</f>
        <v>1772578</v>
      </c>
      <c r="E4900">
        <v>3</v>
      </c>
      <c r="F4900" t="s">
        <v>6375</v>
      </c>
    </row>
    <row r="4901" spans="1:6" x14ac:dyDescent="0.25">
      <c r="A4901" t="s">
        <v>4201</v>
      </c>
      <c r="B4901" t="s">
        <v>4060</v>
      </c>
      <c r="C4901" t="s">
        <v>198</v>
      </c>
      <c r="D4901" t="str">
        <f>HYPERLINK("http://service.sap.com/sap/support/notes/1773087","1773087")</f>
        <v>1773087</v>
      </c>
      <c r="E4901">
        <v>3</v>
      </c>
      <c r="F4901" t="s">
        <v>6376</v>
      </c>
    </row>
    <row r="4902" spans="1:6" x14ac:dyDescent="0.25">
      <c r="A4902" t="s">
        <v>4201</v>
      </c>
      <c r="B4902" t="s">
        <v>4060</v>
      </c>
      <c r="C4902" t="s">
        <v>198</v>
      </c>
      <c r="D4902" t="str">
        <f>HYPERLINK("http://service.sap.com/sap/support/notes/1773320","1773320")</f>
        <v>1773320</v>
      </c>
      <c r="E4902">
        <v>2</v>
      </c>
      <c r="F4902" t="s">
        <v>6377</v>
      </c>
    </row>
    <row r="4903" spans="1:6" x14ac:dyDescent="0.25">
      <c r="A4903" t="s">
        <v>4201</v>
      </c>
      <c r="B4903" t="s">
        <v>4060</v>
      </c>
      <c r="C4903" t="s">
        <v>198</v>
      </c>
      <c r="D4903" t="str">
        <f>HYPERLINK("http://service.sap.com/sap/support/notes/1774238","1774238")</f>
        <v>1774238</v>
      </c>
      <c r="E4903">
        <v>2</v>
      </c>
      <c r="F4903" t="s">
        <v>6378</v>
      </c>
    </row>
    <row r="4904" spans="1:6" x14ac:dyDescent="0.25">
      <c r="A4904" t="s">
        <v>4201</v>
      </c>
      <c r="B4904" t="s">
        <v>4060</v>
      </c>
      <c r="C4904" t="s">
        <v>198</v>
      </c>
      <c r="D4904" t="str">
        <f>HYPERLINK("http://service.sap.com/sap/support/notes/1774983","1774983")</f>
        <v>1774983</v>
      </c>
      <c r="E4904">
        <v>2</v>
      </c>
      <c r="F4904" t="s">
        <v>6379</v>
      </c>
    </row>
    <row r="4905" spans="1:6" x14ac:dyDescent="0.25">
      <c r="A4905" t="s">
        <v>4201</v>
      </c>
      <c r="B4905" t="s">
        <v>4060</v>
      </c>
      <c r="C4905" t="s">
        <v>198</v>
      </c>
      <c r="D4905" t="str">
        <f>HYPERLINK("http://service.sap.com/sap/support/notes/1775657","1775657")</f>
        <v>1775657</v>
      </c>
      <c r="E4905">
        <v>6</v>
      </c>
      <c r="F4905" t="s">
        <v>6380</v>
      </c>
    </row>
    <row r="4906" spans="1:6" x14ac:dyDescent="0.25">
      <c r="A4906" t="s">
        <v>4201</v>
      </c>
      <c r="B4906" t="s">
        <v>4060</v>
      </c>
      <c r="C4906" t="s">
        <v>198</v>
      </c>
      <c r="D4906" t="str">
        <f>HYPERLINK("http://service.sap.com/sap/support/notes/1775818","1775818")</f>
        <v>1775818</v>
      </c>
      <c r="E4906">
        <v>1</v>
      </c>
      <c r="F4906" t="s">
        <v>6381</v>
      </c>
    </row>
    <row r="4907" spans="1:6" x14ac:dyDescent="0.25">
      <c r="A4907" t="s">
        <v>4201</v>
      </c>
      <c r="B4907" t="s">
        <v>4060</v>
      </c>
      <c r="C4907" t="s">
        <v>198</v>
      </c>
      <c r="D4907" t="str">
        <f>HYPERLINK("http://service.sap.com/sap/support/notes/1775941","1775941")</f>
        <v>1775941</v>
      </c>
      <c r="E4907">
        <v>1</v>
      </c>
      <c r="F4907" t="s">
        <v>6382</v>
      </c>
    </row>
    <row r="4908" spans="1:6" x14ac:dyDescent="0.25">
      <c r="A4908" t="s">
        <v>4201</v>
      </c>
      <c r="B4908" t="s">
        <v>4060</v>
      </c>
      <c r="C4908" t="s">
        <v>198</v>
      </c>
      <c r="D4908" t="str">
        <f>HYPERLINK("http://service.sap.com/sap/support/notes/1776041","1776041")</f>
        <v>1776041</v>
      </c>
      <c r="E4908">
        <v>2</v>
      </c>
      <c r="F4908" t="s">
        <v>6383</v>
      </c>
    </row>
    <row r="4909" spans="1:6" x14ac:dyDescent="0.25">
      <c r="A4909" t="s">
        <v>4201</v>
      </c>
      <c r="B4909" t="s">
        <v>4060</v>
      </c>
      <c r="C4909" t="s">
        <v>198</v>
      </c>
      <c r="D4909" t="str">
        <f>HYPERLINK("http://service.sap.com/sap/support/notes/1776529","1776529")</f>
        <v>1776529</v>
      </c>
      <c r="E4909">
        <v>1</v>
      </c>
      <c r="F4909" t="s">
        <v>6384</v>
      </c>
    </row>
    <row r="4910" spans="1:6" x14ac:dyDescent="0.25">
      <c r="A4910" t="s">
        <v>4201</v>
      </c>
      <c r="B4910" t="s">
        <v>4060</v>
      </c>
      <c r="C4910" t="s">
        <v>198</v>
      </c>
      <c r="D4910" t="str">
        <f>HYPERLINK("http://service.sap.com/sap/support/notes/1777233","1777233")</f>
        <v>1777233</v>
      </c>
      <c r="E4910">
        <v>2</v>
      </c>
      <c r="F4910" t="s">
        <v>6385</v>
      </c>
    </row>
    <row r="4911" spans="1:6" x14ac:dyDescent="0.25">
      <c r="A4911" t="s">
        <v>4201</v>
      </c>
      <c r="B4911" t="s">
        <v>4060</v>
      </c>
      <c r="C4911" t="s">
        <v>198</v>
      </c>
      <c r="D4911" t="str">
        <f>HYPERLINK("http://service.sap.com/sap/support/notes/1777773","1777773")</f>
        <v>1777773</v>
      </c>
      <c r="E4911">
        <v>1</v>
      </c>
      <c r="F4911" t="s">
        <v>6386</v>
      </c>
    </row>
    <row r="4912" spans="1:6" x14ac:dyDescent="0.25">
      <c r="A4912" t="s">
        <v>4201</v>
      </c>
      <c r="B4912" t="s">
        <v>4060</v>
      </c>
      <c r="C4912" t="s">
        <v>198</v>
      </c>
      <c r="D4912" t="str">
        <f>HYPERLINK("http://service.sap.com/sap/support/notes/1777780","1777780")</f>
        <v>1777780</v>
      </c>
      <c r="E4912">
        <v>1</v>
      </c>
      <c r="F4912" t="s">
        <v>6387</v>
      </c>
    </row>
    <row r="4913" spans="1:6" x14ac:dyDescent="0.25">
      <c r="A4913" t="s">
        <v>4201</v>
      </c>
      <c r="B4913" t="s">
        <v>4060</v>
      </c>
      <c r="C4913" t="s">
        <v>198</v>
      </c>
      <c r="D4913" t="str">
        <f>HYPERLINK("http://service.sap.com/sap/support/notes/1777891","1777891")</f>
        <v>1777891</v>
      </c>
      <c r="E4913">
        <v>5</v>
      </c>
      <c r="F4913" t="s">
        <v>6388</v>
      </c>
    </row>
    <row r="4914" spans="1:6" x14ac:dyDescent="0.25">
      <c r="A4914" t="s">
        <v>4201</v>
      </c>
      <c r="B4914" t="s">
        <v>4060</v>
      </c>
      <c r="C4914" t="s">
        <v>198</v>
      </c>
      <c r="D4914" t="str">
        <f>HYPERLINK("http://service.sap.com/sap/support/notes/1779530","1779530")</f>
        <v>1779530</v>
      </c>
      <c r="E4914">
        <v>4</v>
      </c>
      <c r="F4914" t="s">
        <v>6389</v>
      </c>
    </row>
    <row r="4915" spans="1:6" x14ac:dyDescent="0.25">
      <c r="A4915" t="s">
        <v>4201</v>
      </c>
      <c r="B4915" t="s">
        <v>4060</v>
      </c>
      <c r="C4915" t="s">
        <v>198</v>
      </c>
      <c r="D4915" t="str">
        <f>HYPERLINK("http://service.sap.com/sap/support/notes/1779619","1779619")</f>
        <v>1779619</v>
      </c>
      <c r="E4915">
        <v>2</v>
      </c>
      <c r="F4915" t="s">
        <v>6390</v>
      </c>
    </row>
    <row r="4916" spans="1:6" x14ac:dyDescent="0.25">
      <c r="A4916" t="s">
        <v>4201</v>
      </c>
      <c r="B4916" t="s">
        <v>4060</v>
      </c>
      <c r="C4916" t="s">
        <v>198</v>
      </c>
      <c r="D4916" t="str">
        <f>HYPERLINK("http://service.sap.com/sap/support/notes/1781458","1781458")</f>
        <v>1781458</v>
      </c>
      <c r="E4916">
        <v>2</v>
      </c>
      <c r="F4916" t="s">
        <v>6391</v>
      </c>
    </row>
    <row r="4917" spans="1:6" x14ac:dyDescent="0.25">
      <c r="A4917" t="s">
        <v>4201</v>
      </c>
      <c r="B4917" t="s">
        <v>4060</v>
      </c>
      <c r="C4917" t="s">
        <v>198</v>
      </c>
      <c r="D4917" t="str">
        <f>HYPERLINK("http://service.sap.com/sap/support/notes/1782415","1782415")</f>
        <v>1782415</v>
      </c>
      <c r="E4917">
        <v>1</v>
      </c>
      <c r="F4917" t="s">
        <v>6392</v>
      </c>
    </row>
    <row r="4918" spans="1:6" x14ac:dyDescent="0.25">
      <c r="A4918" t="s">
        <v>4201</v>
      </c>
      <c r="B4918" t="s">
        <v>4060</v>
      </c>
      <c r="C4918" t="s">
        <v>198</v>
      </c>
      <c r="D4918" t="str">
        <f>HYPERLINK("http://service.sap.com/sap/support/notes/1783210","1783210")</f>
        <v>1783210</v>
      </c>
      <c r="E4918">
        <v>1</v>
      </c>
      <c r="F4918" t="s">
        <v>6393</v>
      </c>
    </row>
    <row r="4919" spans="1:6" x14ac:dyDescent="0.25">
      <c r="A4919" t="s">
        <v>4201</v>
      </c>
      <c r="B4919" t="s">
        <v>4060</v>
      </c>
      <c r="C4919" t="s">
        <v>198</v>
      </c>
      <c r="D4919" t="str">
        <f>HYPERLINK("http://service.sap.com/sap/support/notes/1783273","1783273")</f>
        <v>1783273</v>
      </c>
      <c r="E4919">
        <v>1</v>
      </c>
      <c r="F4919" t="s">
        <v>6394</v>
      </c>
    </row>
    <row r="4920" spans="1:6" x14ac:dyDescent="0.25">
      <c r="A4920" t="s">
        <v>4201</v>
      </c>
      <c r="B4920" t="s">
        <v>4060</v>
      </c>
      <c r="C4920" t="s">
        <v>198</v>
      </c>
      <c r="D4920" t="str">
        <f>HYPERLINK("http://service.sap.com/sap/support/notes/1783374","1783374")</f>
        <v>1783374</v>
      </c>
      <c r="E4920">
        <v>1</v>
      </c>
      <c r="F4920" t="s">
        <v>6395</v>
      </c>
    </row>
    <row r="4921" spans="1:6" x14ac:dyDescent="0.25">
      <c r="A4921" t="s">
        <v>4201</v>
      </c>
      <c r="B4921" t="s">
        <v>4060</v>
      </c>
      <c r="C4921" t="s">
        <v>198</v>
      </c>
      <c r="D4921" t="str">
        <f>HYPERLINK("http://service.sap.com/sap/support/notes/1783395","1783395")</f>
        <v>1783395</v>
      </c>
      <c r="E4921">
        <v>1</v>
      </c>
      <c r="F4921" t="s">
        <v>6396</v>
      </c>
    </row>
    <row r="4922" spans="1:6" x14ac:dyDescent="0.25">
      <c r="A4922" t="s">
        <v>4201</v>
      </c>
      <c r="B4922" t="s">
        <v>4060</v>
      </c>
      <c r="C4922" t="s">
        <v>198</v>
      </c>
      <c r="D4922" t="str">
        <f>HYPERLINK("http://service.sap.com/sap/support/notes/1783692","1783692")</f>
        <v>1783692</v>
      </c>
      <c r="E4922">
        <v>1</v>
      </c>
      <c r="F4922" t="s">
        <v>6397</v>
      </c>
    </row>
    <row r="4923" spans="1:6" x14ac:dyDescent="0.25">
      <c r="A4923" t="s">
        <v>4201</v>
      </c>
      <c r="B4923" t="s">
        <v>4060</v>
      </c>
      <c r="C4923" t="s">
        <v>198</v>
      </c>
      <c r="D4923" t="str">
        <f>HYPERLINK("http://service.sap.com/sap/support/notes/1784222","1784222")</f>
        <v>1784222</v>
      </c>
      <c r="E4923">
        <v>1</v>
      </c>
      <c r="F4923" t="s">
        <v>6398</v>
      </c>
    </row>
    <row r="4924" spans="1:6" x14ac:dyDescent="0.25">
      <c r="A4924" t="s">
        <v>4201</v>
      </c>
      <c r="B4924" t="s">
        <v>4060</v>
      </c>
      <c r="C4924" t="s">
        <v>198</v>
      </c>
      <c r="D4924" t="str">
        <f>HYPERLINK("http://service.sap.com/sap/support/notes/1784767","1784767")</f>
        <v>1784767</v>
      </c>
      <c r="E4924">
        <v>2</v>
      </c>
      <c r="F4924" t="s">
        <v>6399</v>
      </c>
    </row>
    <row r="4925" spans="1:6" x14ac:dyDescent="0.25">
      <c r="A4925" t="s">
        <v>4201</v>
      </c>
      <c r="B4925" t="s">
        <v>4060</v>
      </c>
      <c r="C4925" t="s">
        <v>198</v>
      </c>
      <c r="D4925" t="str">
        <f>HYPERLINK("http://service.sap.com/sap/support/notes/1786499","1786499")</f>
        <v>1786499</v>
      </c>
      <c r="E4925">
        <v>2</v>
      </c>
      <c r="F4925" t="s">
        <v>6400</v>
      </c>
    </row>
    <row r="4926" spans="1:6" x14ac:dyDescent="0.25">
      <c r="A4926" t="s">
        <v>4201</v>
      </c>
      <c r="B4926" t="s">
        <v>4060</v>
      </c>
      <c r="C4926" t="s">
        <v>198</v>
      </c>
      <c r="D4926" t="str">
        <f>HYPERLINK("http://service.sap.com/sap/support/notes/1786536","1786536")</f>
        <v>1786536</v>
      </c>
      <c r="E4926">
        <v>1</v>
      </c>
      <c r="F4926" t="s">
        <v>6401</v>
      </c>
    </row>
    <row r="4927" spans="1:6" x14ac:dyDescent="0.25">
      <c r="A4927" t="s">
        <v>4201</v>
      </c>
      <c r="B4927" t="s">
        <v>4060</v>
      </c>
      <c r="C4927" t="s">
        <v>198</v>
      </c>
      <c r="D4927" t="str">
        <f>HYPERLINK("http://service.sap.com/sap/support/notes/1788283","1788283")</f>
        <v>1788283</v>
      </c>
      <c r="E4927">
        <v>1</v>
      </c>
      <c r="F4927" t="s">
        <v>6402</v>
      </c>
    </row>
    <row r="4928" spans="1:6" x14ac:dyDescent="0.25">
      <c r="A4928" t="s">
        <v>4201</v>
      </c>
      <c r="B4928" t="s">
        <v>4060</v>
      </c>
      <c r="C4928" t="s">
        <v>198</v>
      </c>
      <c r="D4928" t="str">
        <f>HYPERLINK("http://service.sap.com/sap/support/notes/1788633","1788633")</f>
        <v>1788633</v>
      </c>
      <c r="E4928">
        <v>2</v>
      </c>
      <c r="F4928" t="s">
        <v>6403</v>
      </c>
    </row>
    <row r="4929" spans="1:6" x14ac:dyDescent="0.25">
      <c r="A4929" t="s">
        <v>4201</v>
      </c>
      <c r="B4929" t="s">
        <v>4060</v>
      </c>
      <c r="C4929" t="s">
        <v>198</v>
      </c>
      <c r="D4929" t="str">
        <f>HYPERLINK("http://service.sap.com/sap/support/notes/1789945","1789945")</f>
        <v>1789945</v>
      </c>
      <c r="E4929">
        <v>1</v>
      </c>
      <c r="F4929" t="s">
        <v>6404</v>
      </c>
    </row>
    <row r="4930" spans="1:6" x14ac:dyDescent="0.25">
      <c r="A4930" t="s">
        <v>4201</v>
      </c>
      <c r="B4930" t="s">
        <v>4060</v>
      </c>
      <c r="C4930" t="s">
        <v>198</v>
      </c>
      <c r="D4930" t="str">
        <f>HYPERLINK("http://service.sap.com/sap/support/notes/1790387","1790387")</f>
        <v>1790387</v>
      </c>
      <c r="E4930">
        <v>2</v>
      </c>
      <c r="F4930" t="s">
        <v>6405</v>
      </c>
    </row>
    <row r="4931" spans="1:6" x14ac:dyDescent="0.25">
      <c r="A4931" t="s">
        <v>4201</v>
      </c>
      <c r="B4931" t="s">
        <v>4060</v>
      </c>
      <c r="C4931" t="s">
        <v>198</v>
      </c>
      <c r="D4931" t="str">
        <f>HYPERLINK("http://service.sap.com/sap/support/notes/1792064","1792064")</f>
        <v>1792064</v>
      </c>
      <c r="E4931">
        <v>1</v>
      </c>
      <c r="F4931" t="s">
        <v>6406</v>
      </c>
    </row>
    <row r="4932" spans="1:6" x14ac:dyDescent="0.25">
      <c r="A4932" t="s">
        <v>4201</v>
      </c>
      <c r="B4932" t="s">
        <v>4060</v>
      </c>
      <c r="C4932" t="s">
        <v>198</v>
      </c>
      <c r="D4932" t="str">
        <f>HYPERLINK("http://service.sap.com/sap/support/notes/1792500","1792500")</f>
        <v>1792500</v>
      </c>
      <c r="E4932">
        <v>3</v>
      </c>
      <c r="F4932" t="s">
        <v>6407</v>
      </c>
    </row>
    <row r="4933" spans="1:6" x14ac:dyDescent="0.25">
      <c r="A4933" t="s">
        <v>4201</v>
      </c>
      <c r="B4933" t="s">
        <v>4060</v>
      </c>
      <c r="C4933" t="s">
        <v>198</v>
      </c>
      <c r="D4933" t="str">
        <f>HYPERLINK("http://service.sap.com/sap/support/notes/1793223","1793223")</f>
        <v>1793223</v>
      </c>
      <c r="E4933">
        <v>1</v>
      </c>
      <c r="F4933" t="s">
        <v>6408</v>
      </c>
    </row>
    <row r="4934" spans="1:6" x14ac:dyDescent="0.25">
      <c r="A4934" t="s">
        <v>4201</v>
      </c>
      <c r="B4934" t="s">
        <v>4060</v>
      </c>
      <c r="C4934" t="s">
        <v>198</v>
      </c>
      <c r="D4934" t="str">
        <f>HYPERLINK("http://service.sap.com/sap/support/notes/1793491","1793491")</f>
        <v>1793491</v>
      </c>
      <c r="E4934">
        <v>15</v>
      </c>
      <c r="F4934" t="s">
        <v>6409</v>
      </c>
    </row>
    <row r="4935" spans="1:6" x14ac:dyDescent="0.25">
      <c r="A4935" t="s">
        <v>4201</v>
      </c>
      <c r="B4935" t="s">
        <v>4060</v>
      </c>
      <c r="C4935" t="s">
        <v>198</v>
      </c>
      <c r="D4935" t="str">
        <f>HYPERLINK("http://service.sap.com/sap/support/notes/1794613","1794613")</f>
        <v>1794613</v>
      </c>
      <c r="E4935">
        <v>3</v>
      </c>
      <c r="F4935" t="s">
        <v>6410</v>
      </c>
    </row>
    <row r="4936" spans="1:6" x14ac:dyDescent="0.25">
      <c r="A4936" t="s">
        <v>4201</v>
      </c>
      <c r="B4936" t="s">
        <v>4060</v>
      </c>
      <c r="C4936" t="s">
        <v>198</v>
      </c>
      <c r="D4936" t="str">
        <f>HYPERLINK("http://service.sap.com/sap/support/notes/1794906","1794906")</f>
        <v>1794906</v>
      </c>
      <c r="E4936">
        <v>1</v>
      </c>
      <c r="F4936" t="s">
        <v>6411</v>
      </c>
    </row>
    <row r="4937" spans="1:6" x14ac:dyDescent="0.25">
      <c r="A4937" t="s">
        <v>4201</v>
      </c>
      <c r="B4937" t="s">
        <v>4060</v>
      </c>
      <c r="C4937" t="s">
        <v>198</v>
      </c>
      <c r="D4937" t="str">
        <f>HYPERLINK("http://service.sap.com/sap/support/notes/1794940","1794940")</f>
        <v>1794940</v>
      </c>
      <c r="E4937">
        <v>2</v>
      </c>
      <c r="F4937" t="s">
        <v>6412</v>
      </c>
    </row>
    <row r="4938" spans="1:6" x14ac:dyDescent="0.25">
      <c r="A4938" t="s">
        <v>4201</v>
      </c>
      <c r="B4938" t="s">
        <v>4060</v>
      </c>
      <c r="C4938" t="s">
        <v>198</v>
      </c>
      <c r="D4938" t="str">
        <f>HYPERLINK("http://service.sap.com/sap/support/notes/1794957","1794957")</f>
        <v>1794957</v>
      </c>
      <c r="E4938">
        <v>1</v>
      </c>
      <c r="F4938" t="s">
        <v>6413</v>
      </c>
    </row>
    <row r="4939" spans="1:6" x14ac:dyDescent="0.25">
      <c r="A4939" t="s">
        <v>4201</v>
      </c>
      <c r="B4939" t="s">
        <v>4060</v>
      </c>
      <c r="C4939" t="s">
        <v>198</v>
      </c>
      <c r="D4939" t="str">
        <f>HYPERLINK("http://service.sap.com/sap/support/notes/1795513","1795513")</f>
        <v>1795513</v>
      </c>
      <c r="E4939">
        <v>1</v>
      </c>
      <c r="F4939" t="s">
        <v>6414</v>
      </c>
    </row>
    <row r="4940" spans="1:6" x14ac:dyDescent="0.25">
      <c r="A4940" t="s">
        <v>4201</v>
      </c>
      <c r="B4940" t="s">
        <v>4060</v>
      </c>
      <c r="C4940" t="s">
        <v>198</v>
      </c>
      <c r="D4940" t="str">
        <f>HYPERLINK("http://service.sap.com/sap/support/notes/1795671","1795671")</f>
        <v>1795671</v>
      </c>
      <c r="E4940">
        <v>1</v>
      </c>
      <c r="F4940" t="s">
        <v>6415</v>
      </c>
    </row>
    <row r="4941" spans="1:6" x14ac:dyDescent="0.25">
      <c r="A4941" t="s">
        <v>4201</v>
      </c>
      <c r="B4941" t="s">
        <v>4060</v>
      </c>
      <c r="C4941" t="s">
        <v>198</v>
      </c>
      <c r="D4941" t="str">
        <f>HYPERLINK("http://service.sap.com/sap/support/notes/1795673","1795673")</f>
        <v>1795673</v>
      </c>
      <c r="E4941">
        <v>1</v>
      </c>
      <c r="F4941" t="s">
        <v>6416</v>
      </c>
    </row>
    <row r="4942" spans="1:6" x14ac:dyDescent="0.25">
      <c r="A4942" t="s">
        <v>4201</v>
      </c>
      <c r="B4942" t="s">
        <v>4060</v>
      </c>
      <c r="C4942" t="s">
        <v>198</v>
      </c>
      <c r="D4942" t="str">
        <f>HYPERLINK("http://service.sap.com/sap/support/notes/1795706","1795706")</f>
        <v>1795706</v>
      </c>
      <c r="E4942">
        <v>1</v>
      </c>
      <c r="F4942" t="s">
        <v>6417</v>
      </c>
    </row>
    <row r="4943" spans="1:6" x14ac:dyDescent="0.25">
      <c r="A4943" t="s">
        <v>4201</v>
      </c>
      <c r="B4943" t="s">
        <v>4060</v>
      </c>
      <c r="C4943" t="s">
        <v>198</v>
      </c>
      <c r="D4943" t="str">
        <f>HYPERLINK("http://service.sap.com/sap/support/notes/1796080","1796080")</f>
        <v>1796080</v>
      </c>
      <c r="E4943">
        <v>1</v>
      </c>
      <c r="F4943" t="s">
        <v>6418</v>
      </c>
    </row>
    <row r="4944" spans="1:6" x14ac:dyDescent="0.25">
      <c r="A4944" t="s">
        <v>4201</v>
      </c>
      <c r="B4944" t="s">
        <v>4060</v>
      </c>
      <c r="C4944" t="s">
        <v>198</v>
      </c>
      <c r="D4944" t="str">
        <f>HYPERLINK("http://service.sap.com/sap/support/notes/1796321","1796321")</f>
        <v>1796321</v>
      </c>
      <c r="E4944">
        <v>2</v>
      </c>
      <c r="F4944" t="s">
        <v>6415</v>
      </c>
    </row>
    <row r="4945" spans="1:6" x14ac:dyDescent="0.25">
      <c r="A4945" t="s">
        <v>4201</v>
      </c>
      <c r="B4945" t="s">
        <v>4060</v>
      </c>
      <c r="C4945" t="s">
        <v>198</v>
      </c>
      <c r="D4945" t="str">
        <f>HYPERLINK("http://service.sap.com/sap/support/notes/1796413","1796413")</f>
        <v>1796413</v>
      </c>
      <c r="E4945">
        <v>2</v>
      </c>
      <c r="F4945" t="s">
        <v>6415</v>
      </c>
    </row>
    <row r="4946" spans="1:6" x14ac:dyDescent="0.25">
      <c r="A4946" t="s">
        <v>4201</v>
      </c>
      <c r="B4946" t="s">
        <v>4060</v>
      </c>
      <c r="C4946" t="s">
        <v>198</v>
      </c>
      <c r="D4946" t="str">
        <f>HYPERLINK("http://service.sap.com/sap/support/notes/1796986","1796986")</f>
        <v>1796986</v>
      </c>
      <c r="E4946">
        <v>1</v>
      </c>
      <c r="F4946" t="s">
        <v>6419</v>
      </c>
    </row>
    <row r="4947" spans="1:6" x14ac:dyDescent="0.25">
      <c r="A4947" t="s">
        <v>4201</v>
      </c>
      <c r="B4947" t="s">
        <v>4060</v>
      </c>
      <c r="C4947" t="s">
        <v>198</v>
      </c>
      <c r="D4947" t="str">
        <f>HYPERLINK("http://service.sap.com/sap/support/notes/1797240","1797240")</f>
        <v>1797240</v>
      </c>
      <c r="E4947">
        <v>1</v>
      </c>
      <c r="F4947" t="s">
        <v>6420</v>
      </c>
    </row>
    <row r="4948" spans="1:6" x14ac:dyDescent="0.25">
      <c r="A4948" t="s">
        <v>4201</v>
      </c>
      <c r="B4948" t="s">
        <v>4060</v>
      </c>
      <c r="C4948" t="s">
        <v>198</v>
      </c>
      <c r="D4948" t="str">
        <f>HYPERLINK("http://service.sap.com/sap/support/notes/1805113","1805113")</f>
        <v>1805113</v>
      </c>
      <c r="E4948">
        <v>1</v>
      </c>
      <c r="F4948" t="s">
        <v>6421</v>
      </c>
    </row>
    <row r="4949" spans="1:6" x14ac:dyDescent="0.25">
      <c r="A4949" t="s">
        <v>4201</v>
      </c>
      <c r="B4949" t="s">
        <v>4142</v>
      </c>
      <c r="C4949" t="s">
        <v>2999</v>
      </c>
      <c r="D4949" t="str">
        <f>HYPERLINK("http://service.sap.com/sap/support/notes/1764584","1764584")</f>
        <v>1764584</v>
      </c>
      <c r="E4949">
        <v>3</v>
      </c>
      <c r="F4949" t="s">
        <v>6422</v>
      </c>
    </row>
    <row r="4950" spans="1:6" x14ac:dyDescent="0.25">
      <c r="A4950" t="s">
        <v>4201</v>
      </c>
      <c r="B4950" t="s">
        <v>4142</v>
      </c>
      <c r="C4950" t="s">
        <v>2999</v>
      </c>
      <c r="D4950" t="str">
        <f>HYPERLINK("http://service.sap.com/sap/support/notes/1773052","1773052")</f>
        <v>1773052</v>
      </c>
      <c r="E4950">
        <v>3</v>
      </c>
      <c r="F4950" t="s">
        <v>6423</v>
      </c>
    </row>
    <row r="4951" spans="1:6" x14ac:dyDescent="0.25">
      <c r="A4951" t="s">
        <v>4201</v>
      </c>
      <c r="B4951" t="s">
        <v>4142</v>
      </c>
      <c r="C4951" t="s">
        <v>2999</v>
      </c>
      <c r="D4951" t="str">
        <f>HYPERLINK("http://service.sap.com/sap/support/notes/1778124","1778124")</f>
        <v>1778124</v>
      </c>
      <c r="E4951">
        <v>1</v>
      </c>
      <c r="F4951" t="s">
        <v>6424</v>
      </c>
    </row>
    <row r="4952" spans="1:6" x14ac:dyDescent="0.25">
      <c r="A4952" t="s">
        <v>4201</v>
      </c>
      <c r="B4952" t="s">
        <v>4163</v>
      </c>
      <c r="C4952" t="s">
        <v>4164</v>
      </c>
      <c r="D4952" t="str">
        <f>HYPERLINK("http://service.sap.com/sap/support/notes/1793561","1793561")</f>
        <v>1793561</v>
      </c>
      <c r="E4952">
        <v>2</v>
      </c>
      <c r="F4952" t="s">
        <v>6425</v>
      </c>
    </row>
    <row r="4953" spans="1:6" x14ac:dyDescent="0.25">
      <c r="A4953" t="s">
        <v>4201</v>
      </c>
      <c r="B4953" t="s">
        <v>4167</v>
      </c>
      <c r="C4953" t="s">
        <v>4168</v>
      </c>
    </row>
    <row r="4954" spans="1:6" x14ac:dyDescent="0.25">
      <c r="A4954" t="s">
        <v>4201</v>
      </c>
      <c r="B4954" t="s">
        <v>4169</v>
      </c>
      <c r="C4954" t="s">
        <v>198</v>
      </c>
      <c r="D4954" t="str">
        <f>HYPERLINK("http://service.sap.com/sap/support/notes/1773348","1773348")</f>
        <v>1773348</v>
      </c>
      <c r="E4954">
        <v>2</v>
      </c>
      <c r="F4954" t="s">
        <v>6426</v>
      </c>
    </row>
    <row r="4955" spans="1:6" x14ac:dyDescent="0.25">
      <c r="A4955" t="s">
        <v>4201</v>
      </c>
      <c r="B4955" t="s">
        <v>4171</v>
      </c>
      <c r="C4955" t="s">
        <v>4172</v>
      </c>
      <c r="D4955" t="str">
        <f>HYPERLINK("http://service.sap.com/sap/support/notes/831887","831887")</f>
        <v>831887</v>
      </c>
      <c r="E4955">
        <v>4</v>
      </c>
      <c r="F4955" t="s">
        <v>6427</v>
      </c>
    </row>
    <row r="4956" spans="1:6" x14ac:dyDescent="0.25">
      <c r="A4956" t="s">
        <v>4201</v>
      </c>
      <c r="B4956" t="s">
        <v>4175</v>
      </c>
      <c r="C4956" t="s">
        <v>4176</v>
      </c>
    </row>
    <row r="4957" spans="1:6" x14ac:dyDescent="0.25">
      <c r="A4957" t="s">
        <v>4201</v>
      </c>
      <c r="B4957" t="s">
        <v>4177</v>
      </c>
      <c r="C4957" t="s">
        <v>4178</v>
      </c>
      <c r="D4957" t="str">
        <f>HYPERLINK("http://service.sap.com/sap/support/notes/1750968","1750968")</f>
        <v>1750968</v>
      </c>
      <c r="E4957">
        <v>4</v>
      </c>
      <c r="F4957" t="s">
        <v>6428</v>
      </c>
    </row>
    <row r="4958" spans="1:6" x14ac:dyDescent="0.25">
      <c r="A4958" t="s">
        <v>4201</v>
      </c>
      <c r="B4958" t="s">
        <v>4177</v>
      </c>
      <c r="C4958" t="s">
        <v>4178</v>
      </c>
      <c r="D4958" t="str">
        <f>HYPERLINK("http://service.sap.com/sap/support/notes/1755719","1755719")</f>
        <v>1755719</v>
      </c>
      <c r="E4958">
        <v>4</v>
      </c>
      <c r="F4958" t="s">
        <v>6429</v>
      </c>
    </row>
    <row r="4959" spans="1:6" x14ac:dyDescent="0.25">
      <c r="A4959" t="s">
        <v>4201</v>
      </c>
      <c r="B4959" t="s">
        <v>4177</v>
      </c>
      <c r="C4959" t="s">
        <v>4178</v>
      </c>
      <c r="D4959" t="str">
        <f>HYPERLINK("http://service.sap.com/sap/support/notes/1766521","1766521")</f>
        <v>1766521</v>
      </c>
      <c r="E4959">
        <v>3</v>
      </c>
      <c r="F4959" t="s">
        <v>6430</v>
      </c>
    </row>
    <row r="4960" spans="1:6" x14ac:dyDescent="0.25">
      <c r="A4960" t="s">
        <v>4201</v>
      </c>
      <c r="B4960" t="s">
        <v>4177</v>
      </c>
      <c r="C4960" t="s">
        <v>4178</v>
      </c>
      <c r="D4960" t="str">
        <f>HYPERLINK("http://service.sap.com/sap/support/notes/1780698","1780698")</f>
        <v>1780698</v>
      </c>
      <c r="E4960">
        <v>1</v>
      </c>
      <c r="F4960" t="s">
        <v>6431</v>
      </c>
    </row>
    <row r="4961" spans="1:6" x14ac:dyDescent="0.25">
      <c r="A4961" t="s">
        <v>4201</v>
      </c>
      <c r="B4961" t="s">
        <v>4177</v>
      </c>
      <c r="C4961" t="s">
        <v>4178</v>
      </c>
      <c r="D4961" t="str">
        <f>HYPERLINK("http://service.sap.com/sap/support/notes/1789153","1789153")</f>
        <v>1789153</v>
      </c>
      <c r="E4961">
        <v>1</v>
      </c>
      <c r="F4961" t="s">
        <v>6432</v>
      </c>
    </row>
    <row r="4962" spans="1:6" x14ac:dyDescent="0.25">
      <c r="A4962" t="s">
        <v>4201</v>
      </c>
      <c r="B4962" t="s">
        <v>72</v>
      </c>
      <c r="C4962" t="s">
        <v>73</v>
      </c>
    </row>
    <row r="4963" spans="1:6" x14ac:dyDescent="0.25">
      <c r="A4963" t="s">
        <v>4201</v>
      </c>
      <c r="B4963" t="s">
        <v>4184</v>
      </c>
      <c r="C4963" t="s">
        <v>4185</v>
      </c>
    </row>
    <row r="4964" spans="1:6" x14ac:dyDescent="0.25">
      <c r="A4964" t="s">
        <v>4201</v>
      </c>
      <c r="B4964" t="s">
        <v>6433</v>
      </c>
      <c r="C4964" t="s">
        <v>6434</v>
      </c>
      <c r="D4964" t="str">
        <f>HYPERLINK("http://service.sap.com/sap/support/notes/1666516","1666516")</f>
        <v>1666516</v>
      </c>
      <c r="E4964">
        <v>15</v>
      </c>
      <c r="F4964" t="s">
        <v>6435</v>
      </c>
    </row>
    <row r="4965" spans="1:6" x14ac:dyDescent="0.25">
      <c r="A4965" t="s">
        <v>4201</v>
      </c>
      <c r="B4965" t="s">
        <v>4187</v>
      </c>
      <c r="C4965" t="s">
        <v>4188</v>
      </c>
    </row>
    <row r="4966" spans="1:6" x14ac:dyDescent="0.25">
      <c r="A4966" t="s">
        <v>4201</v>
      </c>
      <c r="B4966" t="s">
        <v>4189</v>
      </c>
      <c r="C4966" t="s">
        <v>4190</v>
      </c>
      <c r="D4966" t="str">
        <f>HYPERLINK("http://service.sap.com/sap/support/notes/1639224","1639224")</f>
        <v>1639224</v>
      </c>
      <c r="E4966">
        <v>4</v>
      </c>
      <c r="F4966" t="s">
        <v>6436</v>
      </c>
    </row>
    <row r="4967" spans="1:6" x14ac:dyDescent="0.25">
      <c r="A4967" t="s">
        <v>4201</v>
      </c>
      <c r="B4967" t="s">
        <v>4189</v>
      </c>
      <c r="C4967" t="s">
        <v>4190</v>
      </c>
      <c r="D4967" t="str">
        <f>HYPERLINK("http://service.sap.com/sap/support/notes/1743625","1743625")</f>
        <v>1743625</v>
      </c>
      <c r="E4967">
        <v>2</v>
      </c>
      <c r="F4967" t="s">
        <v>6437</v>
      </c>
    </row>
    <row r="4968" spans="1:6" x14ac:dyDescent="0.25">
      <c r="A4968" t="s">
        <v>4201</v>
      </c>
      <c r="B4968" t="s">
        <v>6438</v>
      </c>
    </row>
    <row r="4969" spans="1:6" x14ac:dyDescent="0.25">
      <c r="A4969" t="s">
        <v>4201</v>
      </c>
      <c r="B4969" t="s">
        <v>6439</v>
      </c>
      <c r="C4969" t="s">
        <v>3745</v>
      </c>
      <c r="D4969" t="str">
        <f>HYPERLINK("http://service.sap.com/sap/support/notes/1782687","1782687")</f>
        <v>1782687</v>
      </c>
      <c r="E4969">
        <v>1</v>
      </c>
      <c r="F4969" t="s">
        <v>6440</v>
      </c>
    </row>
    <row r="4970" spans="1:6" x14ac:dyDescent="0.25">
      <c r="A4970" t="s">
        <v>4201</v>
      </c>
      <c r="B4970" t="s">
        <v>6441</v>
      </c>
      <c r="C4970" t="s">
        <v>6442</v>
      </c>
    </row>
    <row r="4971" spans="1:6" x14ac:dyDescent="0.25">
      <c r="A4971" t="s">
        <v>4201</v>
      </c>
      <c r="B4971" t="s">
        <v>6443</v>
      </c>
      <c r="C4971" t="s">
        <v>6444</v>
      </c>
      <c r="D4971" t="str">
        <f>HYPERLINK("http://service.sap.com/sap/support/notes/1779607","1779607")</f>
        <v>1779607</v>
      </c>
      <c r="E4971">
        <v>1</v>
      </c>
      <c r="F4971" t="s">
        <v>6445</v>
      </c>
    </row>
    <row r="4972" spans="1:6" x14ac:dyDescent="0.25">
      <c r="A4972" t="s">
        <v>6446</v>
      </c>
      <c r="B4972" t="s">
        <v>128</v>
      </c>
      <c r="C4972" t="s">
        <v>129</v>
      </c>
    </row>
    <row r="4973" spans="1:6" x14ac:dyDescent="0.25">
      <c r="A4973" t="s">
        <v>6446</v>
      </c>
      <c r="B4973" t="s">
        <v>130</v>
      </c>
      <c r="C4973" t="s">
        <v>131</v>
      </c>
      <c r="D4973" t="str">
        <f>HYPERLINK("http://service.sap.com/sap/support/notes/1806357","1806357")</f>
        <v>1806357</v>
      </c>
      <c r="E4973">
        <v>1</v>
      </c>
      <c r="F4973" t="s">
        <v>6447</v>
      </c>
    </row>
    <row r="4974" spans="1:6" x14ac:dyDescent="0.25">
      <c r="A4974" t="s">
        <v>6446</v>
      </c>
      <c r="B4974" t="s">
        <v>139</v>
      </c>
      <c r="C4974" t="s">
        <v>140</v>
      </c>
      <c r="D4974" t="str">
        <f>HYPERLINK("http://service.sap.com/sap/support/notes/1807292","1807292")</f>
        <v>1807292</v>
      </c>
      <c r="E4974">
        <v>1</v>
      </c>
      <c r="F4974" t="s">
        <v>6448</v>
      </c>
    </row>
    <row r="4975" spans="1:6" x14ac:dyDescent="0.25">
      <c r="A4975" t="s">
        <v>6446</v>
      </c>
      <c r="B4975" t="s">
        <v>139</v>
      </c>
      <c r="C4975" t="s">
        <v>140</v>
      </c>
      <c r="D4975" t="str">
        <f>HYPERLINK("http://service.sap.com/sap/support/notes/1809066","1809066")</f>
        <v>1809066</v>
      </c>
      <c r="E4975">
        <v>1</v>
      </c>
      <c r="F4975" t="s">
        <v>6449</v>
      </c>
    </row>
    <row r="4976" spans="1:6" x14ac:dyDescent="0.25">
      <c r="A4976" t="s">
        <v>6446</v>
      </c>
      <c r="B4976" t="s">
        <v>139</v>
      </c>
      <c r="C4976" t="s">
        <v>140</v>
      </c>
      <c r="D4976" t="str">
        <f>HYPERLINK("http://service.sap.com/sap/support/notes/1809857","1809857")</f>
        <v>1809857</v>
      </c>
      <c r="E4976">
        <v>1</v>
      </c>
      <c r="F4976" t="s">
        <v>6450</v>
      </c>
    </row>
    <row r="4977" spans="1:6" x14ac:dyDescent="0.25">
      <c r="A4977" t="s">
        <v>6446</v>
      </c>
      <c r="B4977" t="s">
        <v>139</v>
      </c>
      <c r="C4977" t="s">
        <v>140</v>
      </c>
      <c r="D4977" t="str">
        <f>HYPERLINK("http://service.sap.com/sap/support/notes/1815111","1815111")</f>
        <v>1815111</v>
      </c>
      <c r="E4977">
        <v>2</v>
      </c>
      <c r="F4977" t="s">
        <v>6451</v>
      </c>
    </row>
    <row r="4978" spans="1:6" x14ac:dyDescent="0.25">
      <c r="A4978" t="s">
        <v>6446</v>
      </c>
      <c r="B4978" t="s">
        <v>139</v>
      </c>
      <c r="C4978" t="s">
        <v>140</v>
      </c>
      <c r="D4978" t="str">
        <f>HYPERLINK("http://service.sap.com/sap/support/notes/1815519","1815519")</f>
        <v>1815519</v>
      </c>
      <c r="E4978">
        <v>1</v>
      </c>
      <c r="F4978" t="s">
        <v>6452</v>
      </c>
    </row>
    <row r="4979" spans="1:6" x14ac:dyDescent="0.25">
      <c r="A4979" t="s">
        <v>6446</v>
      </c>
      <c r="B4979" t="s">
        <v>139</v>
      </c>
      <c r="C4979" t="s">
        <v>140</v>
      </c>
      <c r="D4979" t="str">
        <f>HYPERLINK("http://service.sap.com/sap/support/notes/1820221","1820221")</f>
        <v>1820221</v>
      </c>
      <c r="E4979">
        <v>1</v>
      </c>
      <c r="F4979" t="s">
        <v>6453</v>
      </c>
    </row>
    <row r="4980" spans="1:6" x14ac:dyDescent="0.25">
      <c r="A4980" t="s">
        <v>6446</v>
      </c>
      <c r="B4980" t="s">
        <v>139</v>
      </c>
      <c r="C4980" t="s">
        <v>140</v>
      </c>
      <c r="D4980" t="str">
        <f>HYPERLINK("http://service.sap.com/sap/support/notes/1820702","1820702")</f>
        <v>1820702</v>
      </c>
      <c r="E4980">
        <v>1</v>
      </c>
      <c r="F4980" t="s">
        <v>6454</v>
      </c>
    </row>
    <row r="4981" spans="1:6" x14ac:dyDescent="0.25">
      <c r="A4981" t="s">
        <v>6446</v>
      </c>
      <c r="B4981" t="s">
        <v>139</v>
      </c>
      <c r="C4981" t="s">
        <v>140</v>
      </c>
      <c r="D4981" t="str">
        <f>HYPERLINK("http://service.sap.com/sap/support/notes/1824100","1824100")</f>
        <v>1824100</v>
      </c>
      <c r="E4981">
        <v>1</v>
      </c>
      <c r="F4981" t="s">
        <v>6455</v>
      </c>
    </row>
    <row r="4982" spans="1:6" x14ac:dyDescent="0.25">
      <c r="A4982" t="s">
        <v>6446</v>
      </c>
      <c r="B4982" t="s">
        <v>144</v>
      </c>
      <c r="C4982" t="s">
        <v>145</v>
      </c>
      <c r="D4982" t="str">
        <f>HYPERLINK("http://service.sap.com/sap/support/notes/1806290","1806290")</f>
        <v>1806290</v>
      </c>
      <c r="E4982">
        <v>1</v>
      </c>
      <c r="F4982" t="s">
        <v>6456</v>
      </c>
    </row>
    <row r="4983" spans="1:6" x14ac:dyDescent="0.25">
      <c r="A4983" t="s">
        <v>6446</v>
      </c>
      <c r="B4983" t="s">
        <v>144</v>
      </c>
      <c r="C4983" t="s">
        <v>145</v>
      </c>
      <c r="D4983" t="str">
        <f>HYPERLINK("http://service.sap.com/sap/support/notes/1806788","1806788")</f>
        <v>1806788</v>
      </c>
      <c r="E4983">
        <v>1</v>
      </c>
      <c r="F4983" t="s">
        <v>6457</v>
      </c>
    </row>
    <row r="4984" spans="1:6" x14ac:dyDescent="0.25">
      <c r="A4984" t="s">
        <v>6446</v>
      </c>
      <c r="B4984" t="s">
        <v>144</v>
      </c>
      <c r="C4984" t="s">
        <v>145</v>
      </c>
      <c r="D4984" t="str">
        <f>HYPERLINK("http://service.sap.com/sap/support/notes/1809105","1809105")</f>
        <v>1809105</v>
      </c>
      <c r="E4984">
        <v>2</v>
      </c>
      <c r="F4984" t="s">
        <v>6458</v>
      </c>
    </row>
    <row r="4985" spans="1:6" x14ac:dyDescent="0.25">
      <c r="A4985" t="s">
        <v>6446</v>
      </c>
      <c r="B4985" t="s">
        <v>144</v>
      </c>
      <c r="C4985" t="s">
        <v>145</v>
      </c>
      <c r="D4985" t="str">
        <f>HYPERLINK("http://service.sap.com/sap/support/notes/1820787","1820787")</f>
        <v>1820787</v>
      </c>
      <c r="E4985">
        <v>1</v>
      </c>
      <c r="F4985" t="s">
        <v>6459</v>
      </c>
    </row>
    <row r="4986" spans="1:6" x14ac:dyDescent="0.25">
      <c r="A4986" t="s">
        <v>6446</v>
      </c>
      <c r="B4986" t="s">
        <v>144</v>
      </c>
      <c r="C4986" t="s">
        <v>145</v>
      </c>
      <c r="D4986" t="str">
        <f>HYPERLINK("http://service.sap.com/sap/support/notes/1828890","1828890")</f>
        <v>1828890</v>
      </c>
      <c r="E4986">
        <v>2</v>
      </c>
      <c r="F4986" t="s">
        <v>6460</v>
      </c>
    </row>
    <row r="4987" spans="1:6" x14ac:dyDescent="0.25">
      <c r="A4987" t="s">
        <v>6446</v>
      </c>
      <c r="B4987" t="s">
        <v>5</v>
      </c>
      <c r="C4987" t="s">
        <v>6</v>
      </c>
    </row>
    <row r="4988" spans="1:6" x14ac:dyDescent="0.25">
      <c r="A4988" t="s">
        <v>6446</v>
      </c>
      <c r="B4988" t="s">
        <v>28</v>
      </c>
      <c r="C4988" t="s">
        <v>29</v>
      </c>
    </row>
    <row r="4989" spans="1:6" x14ac:dyDescent="0.25">
      <c r="A4989" t="s">
        <v>6446</v>
      </c>
      <c r="B4989" t="s">
        <v>150</v>
      </c>
      <c r="C4989" t="s">
        <v>151</v>
      </c>
    </row>
    <row r="4990" spans="1:6" x14ac:dyDescent="0.25">
      <c r="A4990" t="s">
        <v>6446</v>
      </c>
      <c r="B4990" t="s">
        <v>152</v>
      </c>
      <c r="C4990" t="s">
        <v>153</v>
      </c>
      <c r="D4990" t="str">
        <f>HYPERLINK("http://service.sap.com/sap/support/notes/1796879","1796879")</f>
        <v>1796879</v>
      </c>
      <c r="E4990">
        <v>2</v>
      </c>
      <c r="F4990" t="s">
        <v>4208</v>
      </c>
    </row>
    <row r="4991" spans="1:6" x14ac:dyDescent="0.25">
      <c r="A4991" t="s">
        <v>6446</v>
      </c>
      <c r="B4991" t="s">
        <v>152</v>
      </c>
      <c r="C4991" t="s">
        <v>153</v>
      </c>
      <c r="D4991" t="str">
        <f>HYPERLINK("http://service.sap.com/sap/support/notes/1797377","1797377")</f>
        <v>1797377</v>
      </c>
      <c r="E4991">
        <v>2</v>
      </c>
      <c r="F4991" t="s">
        <v>4208</v>
      </c>
    </row>
    <row r="4992" spans="1:6" x14ac:dyDescent="0.25">
      <c r="A4992" t="s">
        <v>6446</v>
      </c>
      <c r="B4992" t="s">
        <v>152</v>
      </c>
      <c r="C4992" t="s">
        <v>153</v>
      </c>
      <c r="D4992" t="str">
        <f>HYPERLINK("http://service.sap.com/sap/support/notes/1797379","1797379")</f>
        <v>1797379</v>
      </c>
      <c r="E4992">
        <v>2</v>
      </c>
      <c r="F4992" t="s">
        <v>4208</v>
      </c>
    </row>
    <row r="4993" spans="1:6" x14ac:dyDescent="0.25">
      <c r="A4993" t="s">
        <v>6446</v>
      </c>
      <c r="B4993" t="s">
        <v>152</v>
      </c>
      <c r="C4993" t="s">
        <v>153</v>
      </c>
      <c r="D4993" t="str">
        <f>HYPERLINK("http://service.sap.com/sap/support/notes/1797467","1797467")</f>
        <v>1797467</v>
      </c>
      <c r="E4993">
        <v>1</v>
      </c>
      <c r="F4993" t="s">
        <v>6461</v>
      </c>
    </row>
    <row r="4994" spans="1:6" x14ac:dyDescent="0.25">
      <c r="A4994" t="s">
        <v>6446</v>
      </c>
      <c r="B4994" t="s">
        <v>152</v>
      </c>
      <c r="C4994" t="s">
        <v>153</v>
      </c>
      <c r="D4994" t="str">
        <f>HYPERLINK("http://service.sap.com/sap/support/notes/1798147","1798147")</f>
        <v>1798147</v>
      </c>
      <c r="E4994">
        <v>2</v>
      </c>
      <c r="F4994" t="s">
        <v>4208</v>
      </c>
    </row>
    <row r="4995" spans="1:6" x14ac:dyDescent="0.25">
      <c r="A4995" t="s">
        <v>6446</v>
      </c>
      <c r="B4995" t="s">
        <v>125</v>
      </c>
      <c r="C4995" t="s">
        <v>126</v>
      </c>
    </row>
    <row r="4996" spans="1:6" x14ac:dyDescent="0.25">
      <c r="A4996" t="s">
        <v>6446</v>
      </c>
      <c r="B4996" t="s">
        <v>159</v>
      </c>
      <c r="C4996" t="s">
        <v>160</v>
      </c>
      <c r="D4996" t="str">
        <f>HYPERLINK("http://service.sap.com/sap/support/notes/1754056","1754056")</f>
        <v>1754056</v>
      </c>
      <c r="E4996">
        <v>2</v>
      </c>
      <c r="F4996" t="s">
        <v>6462</v>
      </c>
    </row>
    <row r="4997" spans="1:6" x14ac:dyDescent="0.25">
      <c r="A4997" t="s">
        <v>6446</v>
      </c>
      <c r="B4997" t="s">
        <v>159</v>
      </c>
      <c r="C4997" t="s">
        <v>160</v>
      </c>
      <c r="D4997" t="str">
        <f>HYPERLINK("http://service.sap.com/sap/support/notes/1806283","1806283")</f>
        <v>1806283</v>
      </c>
      <c r="E4997">
        <v>1</v>
      </c>
      <c r="F4997" t="s">
        <v>6463</v>
      </c>
    </row>
    <row r="4998" spans="1:6" x14ac:dyDescent="0.25">
      <c r="A4998" t="s">
        <v>6446</v>
      </c>
      <c r="B4998" t="s">
        <v>159</v>
      </c>
      <c r="C4998" t="s">
        <v>160</v>
      </c>
      <c r="D4998" t="str">
        <f>HYPERLINK("http://service.sap.com/sap/support/notes/1816688","1816688")</f>
        <v>1816688</v>
      </c>
      <c r="E4998">
        <v>2</v>
      </c>
      <c r="F4998" t="s">
        <v>6464</v>
      </c>
    </row>
    <row r="4999" spans="1:6" x14ac:dyDescent="0.25">
      <c r="A4999" t="s">
        <v>6446</v>
      </c>
      <c r="B4999" t="s">
        <v>159</v>
      </c>
      <c r="C4999" t="s">
        <v>160</v>
      </c>
      <c r="D4999" t="str">
        <f>HYPERLINK("http://service.sap.com/sap/support/notes/1819429","1819429")</f>
        <v>1819429</v>
      </c>
      <c r="E4999">
        <v>1</v>
      </c>
      <c r="F4999" t="s">
        <v>6465</v>
      </c>
    </row>
    <row r="5000" spans="1:6" x14ac:dyDescent="0.25">
      <c r="A5000" t="s">
        <v>6446</v>
      </c>
      <c r="B5000" t="s">
        <v>159</v>
      </c>
      <c r="C5000" t="s">
        <v>160</v>
      </c>
      <c r="D5000" t="str">
        <f>HYPERLINK("http://service.sap.com/sap/support/notes/1825185","1825185")</f>
        <v>1825185</v>
      </c>
      <c r="E5000">
        <v>3</v>
      </c>
      <c r="F5000" t="s">
        <v>6466</v>
      </c>
    </row>
    <row r="5001" spans="1:6" x14ac:dyDescent="0.25">
      <c r="A5001" t="s">
        <v>6446</v>
      </c>
      <c r="B5001" t="s">
        <v>6467</v>
      </c>
      <c r="C5001" t="s">
        <v>6468</v>
      </c>
    </row>
    <row r="5002" spans="1:6" x14ac:dyDescent="0.25">
      <c r="A5002" t="s">
        <v>6446</v>
      </c>
      <c r="B5002" t="s">
        <v>6469</v>
      </c>
      <c r="C5002" t="s">
        <v>6470</v>
      </c>
      <c r="D5002" t="str">
        <f>HYPERLINK("http://service.sap.com/sap/support/notes/1797434","1797434")</f>
        <v>1797434</v>
      </c>
      <c r="E5002">
        <v>2</v>
      </c>
      <c r="F5002" t="s">
        <v>6471</v>
      </c>
    </row>
    <row r="5003" spans="1:6" x14ac:dyDescent="0.25">
      <c r="A5003" t="s">
        <v>6446</v>
      </c>
      <c r="B5003" t="s">
        <v>164</v>
      </c>
      <c r="C5003" t="s">
        <v>165</v>
      </c>
    </row>
    <row r="5004" spans="1:6" x14ac:dyDescent="0.25">
      <c r="A5004" t="s">
        <v>6446</v>
      </c>
      <c r="B5004" t="s">
        <v>166</v>
      </c>
      <c r="C5004" t="s">
        <v>167</v>
      </c>
    </row>
    <row r="5005" spans="1:6" x14ac:dyDescent="0.25">
      <c r="A5005" t="s">
        <v>6446</v>
      </c>
      <c r="B5005" t="s">
        <v>6472</v>
      </c>
      <c r="C5005" t="s">
        <v>6473</v>
      </c>
      <c r="D5005" t="str">
        <f>HYPERLINK("http://service.sap.com/sap/support/notes/1821544","1821544")</f>
        <v>1821544</v>
      </c>
      <c r="E5005">
        <v>1</v>
      </c>
      <c r="F5005" t="s">
        <v>6474</v>
      </c>
    </row>
    <row r="5006" spans="1:6" x14ac:dyDescent="0.25">
      <c r="A5006" t="s">
        <v>6446</v>
      </c>
      <c r="B5006" t="s">
        <v>175</v>
      </c>
      <c r="C5006" t="s">
        <v>176</v>
      </c>
    </row>
    <row r="5007" spans="1:6" x14ac:dyDescent="0.25">
      <c r="A5007" t="s">
        <v>6446</v>
      </c>
      <c r="B5007" t="s">
        <v>177</v>
      </c>
      <c r="C5007" t="s">
        <v>178</v>
      </c>
    </row>
    <row r="5008" spans="1:6" x14ac:dyDescent="0.25">
      <c r="A5008" t="s">
        <v>6446</v>
      </c>
      <c r="B5008" t="s">
        <v>179</v>
      </c>
      <c r="C5008" t="s">
        <v>180</v>
      </c>
      <c r="D5008" t="str">
        <f>HYPERLINK("http://service.sap.com/sap/support/notes/1806974","1806974")</f>
        <v>1806974</v>
      </c>
      <c r="E5008">
        <v>2</v>
      </c>
      <c r="F5008" t="s">
        <v>6475</v>
      </c>
    </row>
    <row r="5009" spans="1:6" x14ac:dyDescent="0.25">
      <c r="A5009" t="s">
        <v>6446</v>
      </c>
      <c r="B5009" t="s">
        <v>179</v>
      </c>
      <c r="C5009" t="s">
        <v>180</v>
      </c>
      <c r="D5009" t="str">
        <f>HYPERLINK("http://service.sap.com/sap/support/notes/1809457","1809457")</f>
        <v>1809457</v>
      </c>
      <c r="E5009">
        <v>2</v>
      </c>
      <c r="F5009" t="s">
        <v>6476</v>
      </c>
    </row>
    <row r="5010" spans="1:6" x14ac:dyDescent="0.25">
      <c r="A5010" t="s">
        <v>6446</v>
      </c>
      <c r="B5010" t="s">
        <v>179</v>
      </c>
      <c r="C5010" t="s">
        <v>180</v>
      </c>
      <c r="D5010" t="str">
        <f>HYPERLINK("http://service.sap.com/sap/support/notes/1831496","1831496")</f>
        <v>1831496</v>
      </c>
      <c r="E5010">
        <v>2</v>
      </c>
      <c r="F5010" t="s">
        <v>6477</v>
      </c>
    </row>
    <row r="5011" spans="1:6" x14ac:dyDescent="0.25">
      <c r="A5011" t="s">
        <v>6446</v>
      </c>
      <c r="B5011" t="s">
        <v>182</v>
      </c>
      <c r="C5011" t="s">
        <v>183</v>
      </c>
    </row>
    <row r="5012" spans="1:6" x14ac:dyDescent="0.25">
      <c r="A5012" t="s">
        <v>6446</v>
      </c>
      <c r="B5012" t="s">
        <v>184</v>
      </c>
      <c r="C5012" t="s">
        <v>185</v>
      </c>
      <c r="D5012" t="str">
        <f>HYPERLINK("http://service.sap.com/sap/support/notes/1424403","1424403")</f>
        <v>1424403</v>
      </c>
      <c r="E5012">
        <v>3</v>
      </c>
      <c r="F5012" t="s">
        <v>6478</v>
      </c>
    </row>
    <row r="5013" spans="1:6" x14ac:dyDescent="0.25">
      <c r="A5013" t="s">
        <v>6446</v>
      </c>
      <c r="B5013" t="s">
        <v>184</v>
      </c>
      <c r="C5013" t="s">
        <v>185</v>
      </c>
      <c r="D5013" t="str">
        <f>HYPERLINK("http://service.sap.com/sap/support/notes/1775336","1775336")</f>
        <v>1775336</v>
      </c>
      <c r="E5013">
        <v>10</v>
      </c>
      <c r="F5013" t="s">
        <v>4219</v>
      </c>
    </row>
    <row r="5014" spans="1:6" x14ac:dyDescent="0.25">
      <c r="A5014" t="s">
        <v>6446</v>
      </c>
      <c r="B5014" t="s">
        <v>184</v>
      </c>
      <c r="C5014" t="s">
        <v>185</v>
      </c>
      <c r="D5014" t="str">
        <f>HYPERLINK("http://service.sap.com/sap/support/notes/1815816","1815816")</f>
        <v>1815816</v>
      </c>
      <c r="E5014">
        <v>3</v>
      </c>
      <c r="F5014" t="s">
        <v>6479</v>
      </c>
    </row>
    <row r="5015" spans="1:6" x14ac:dyDescent="0.25">
      <c r="A5015" t="s">
        <v>6446</v>
      </c>
      <c r="B5015" t="s">
        <v>192</v>
      </c>
      <c r="C5015" t="s">
        <v>193</v>
      </c>
      <c r="D5015" t="str">
        <f>HYPERLINK("http://service.sap.com/sap/support/notes/1793027","1793027")</f>
        <v>1793027</v>
      </c>
      <c r="E5015">
        <v>1</v>
      </c>
      <c r="F5015" t="s">
        <v>6480</v>
      </c>
    </row>
    <row r="5016" spans="1:6" x14ac:dyDescent="0.25">
      <c r="A5016" t="s">
        <v>6446</v>
      </c>
      <c r="B5016" t="s">
        <v>192</v>
      </c>
      <c r="C5016" t="s">
        <v>193</v>
      </c>
      <c r="D5016" t="str">
        <f>HYPERLINK("http://service.sap.com/sap/support/notes/1799207","1799207")</f>
        <v>1799207</v>
      </c>
      <c r="E5016">
        <v>1</v>
      </c>
      <c r="F5016" t="s">
        <v>6481</v>
      </c>
    </row>
    <row r="5017" spans="1:6" x14ac:dyDescent="0.25">
      <c r="A5017" t="s">
        <v>6446</v>
      </c>
      <c r="B5017" t="s">
        <v>192</v>
      </c>
      <c r="C5017" t="s">
        <v>193</v>
      </c>
      <c r="D5017" t="str">
        <f>HYPERLINK("http://service.sap.com/sap/support/notes/1803830","1803830")</f>
        <v>1803830</v>
      </c>
      <c r="E5017">
        <v>1</v>
      </c>
      <c r="F5017" t="s">
        <v>6482</v>
      </c>
    </row>
    <row r="5018" spans="1:6" x14ac:dyDescent="0.25">
      <c r="A5018" t="s">
        <v>6446</v>
      </c>
      <c r="B5018" t="s">
        <v>4226</v>
      </c>
      <c r="C5018" t="s">
        <v>694</v>
      </c>
    </row>
    <row r="5019" spans="1:6" x14ac:dyDescent="0.25">
      <c r="A5019" t="s">
        <v>6446</v>
      </c>
      <c r="B5019" t="s">
        <v>4227</v>
      </c>
      <c r="C5019" t="s">
        <v>732</v>
      </c>
      <c r="D5019" t="str">
        <f>HYPERLINK("http://service.sap.com/sap/support/notes/1793761","1793761")</f>
        <v>1793761</v>
      </c>
      <c r="E5019">
        <v>1</v>
      </c>
      <c r="F5019" t="s">
        <v>6483</v>
      </c>
    </row>
    <row r="5020" spans="1:6" x14ac:dyDescent="0.25">
      <c r="A5020" t="s">
        <v>6446</v>
      </c>
      <c r="B5020" t="s">
        <v>197</v>
      </c>
      <c r="C5020" t="s">
        <v>198</v>
      </c>
    </row>
    <row r="5021" spans="1:6" x14ac:dyDescent="0.25">
      <c r="A5021" t="s">
        <v>6446</v>
      </c>
      <c r="B5021" t="s">
        <v>200</v>
      </c>
      <c r="C5021" t="s">
        <v>201</v>
      </c>
      <c r="D5021" t="str">
        <f>HYPERLINK("http://service.sap.com/sap/support/notes/1768635","1768635")</f>
        <v>1768635</v>
      </c>
      <c r="E5021">
        <v>1</v>
      </c>
      <c r="F5021" t="s">
        <v>6484</v>
      </c>
    </row>
    <row r="5022" spans="1:6" x14ac:dyDescent="0.25">
      <c r="A5022" t="s">
        <v>6446</v>
      </c>
      <c r="B5022" t="s">
        <v>206</v>
      </c>
      <c r="C5022" t="s">
        <v>207</v>
      </c>
      <c r="D5022" t="str">
        <f>HYPERLINK("http://service.sap.com/sap/support/notes/1782173","1782173")</f>
        <v>1782173</v>
      </c>
      <c r="E5022">
        <v>1</v>
      </c>
      <c r="F5022" t="s">
        <v>4238</v>
      </c>
    </row>
    <row r="5023" spans="1:6" x14ac:dyDescent="0.25">
      <c r="A5023" t="s">
        <v>6446</v>
      </c>
      <c r="B5023" t="s">
        <v>206</v>
      </c>
      <c r="C5023" t="s">
        <v>207</v>
      </c>
      <c r="D5023" t="str">
        <f>HYPERLINK("http://service.sap.com/sap/support/notes/1792486","1792486")</f>
        <v>1792486</v>
      </c>
      <c r="E5023">
        <v>4</v>
      </c>
      <c r="F5023" t="s">
        <v>6485</v>
      </c>
    </row>
    <row r="5024" spans="1:6" x14ac:dyDescent="0.25">
      <c r="A5024" t="s">
        <v>6446</v>
      </c>
      <c r="B5024" t="s">
        <v>206</v>
      </c>
      <c r="C5024" t="s">
        <v>207</v>
      </c>
      <c r="D5024" t="str">
        <f>HYPERLINK("http://service.sap.com/sap/support/notes/1802912","1802912")</f>
        <v>1802912</v>
      </c>
      <c r="E5024">
        <v>5</v>
      </c>
      <c r="F5024" t="s">
        <v>6486</v>
      </c>
    </row>
    <row r="5025" spans="1:6" x14ac:dyDescent="0.25">
      <c r="A5025" t="s">
        <v>6446</v>
      </c>
      <c r="B5025" t="s">
        <v>206</v>
      </c>
      <c r="C5025" t="s">
        <v>207</v>
      </c>
      <c r="D5025" t="str">
        <f>HYPERLINK("http://service.sap.com/sap/support/notes/1812094","1812094")</f>
        <v>1812094</v>
      </c>
      <c r="E5025">
        <v>2</v>
      </c>
      <c r="F5025" t="s">
        <v>6487</v>
      </c>
    </row>
    <row r="5026" spans="1:6" x14ac:dyDescent="0.25">
      <c r="A5026" t="s">
        <v>6446</v>
      </c>
      <c r="B5026" t="s">
        <v>209</v>
      </c>
      <c r="C5026" t="s">
        <v>210</v>
      </c>
    </row>
    <row r="5027" spans="1:6" x14ac:dyDescent="0.25">
      <c r="A5027" t="s">
        <v>6446</v>
      </c>
      <c r="B5027" t="s">
        <v>214</v>
      </c>
      <c r="C5027" t="s">
        <v>215</v>
      </c>
      <c r="D5027" t="str">
        <f>HYPERLINK("http://service.sap.com/sap/support/notes/1800570","1800570")</f>
        <v>1800570</v>
      </c>
      <c r="E5027">
        <v>1</v>
      </c>
      <c r="F5027" t="s">
        <v>6488</v>
      </c>
    </row>
    <row r="5028" spans="1:6" x14ac:dyDescent="0.25">
      <c r="A5028" t="s">
        <v>6446</v>
      </c>
      <c r="B5028" t="s">
        <v>217</v>
      </c>
      <c r="C5028" t="s">
        <v>218</v>
      </c>
    </row>
    <row r="5029" spans="1:6" x14ac:dyDescent="0.25">
      <c r="A5029" t="s">
        <v>6446</v>
      </c>
      <c r="B5029" t="s">
        <v>6489</v>
      </c>
      <c r="C5029" t="s">
        <v>2321</v>
      </c>
      <c r="D5029" t="str">
        <f>HYPERLINK("http://service.sap.com/sap/support/notes/1797051","1797051")</f>
        <v>1797051</v>
      </c>
      <c r="E5029">
        <v>1</v>
      </c>
      <c r="F5029" t="s">
        <v>6490</v>
      </c>
    </row>
    <row r="5030" spans="1:6" x14ac:dyDescent="0.25">
      <c r="A5030" t="s">
        <v>6446</v>
      </c>
      <c r="B5030" t="s">
        <v>6489</v>
      </c>
      <c r="C5030" t="s">
        <v>2321</v>
      </c>
      <c r="D5030" t="str">
        <f>HYPERLINK("http://service.sap.com/sap/support/notes/1798148","1798148")</f>
        <v>1798148</v>
      </c>
      <c r="E5030">
        <v>2</v>
      </c>
      <c r="F5030" t="s">
        <v>6491</v>
      </c>
    </row>
    <row r="5031" spans="1:6" x14ac:dyDescent="0.25">
      <c r="A5031" t="s">
        <v>6446</v>
      </c>
      <c r="B5031" t="s">
        <v>219</v>
      </c>
      <c r="C5031" t="s">
        <v>220</v>
      </c>
      <c r="D5031" t="str">
        <f>HYPERLINK("http://service.sap.com/sap/support/notes/1811345","1811345")</f>
        <v>1811345</v>
      </c>
      <c r="E5031">
        <v>1</v>
      </c>
      <c r="F5031" t="s">
        <v>6492</v>
      </c>
    </row>
    <row r="5032" spans="1:6" x14ac:dyDescent="0.25">
      <c r="A5032" t="s">
        <v>6446</v>
      </c>
      <c r="B5032" t="s">
        <v>222</v>
      </c>
      <c r="C5032" t="s">
        <v>223</v>
      </c>
    </row>
    <row r="5033" spans="1:6" x14ac:dyDescent="0.25">
      <c r="A5033" t="s">
        <v>6446</v>
      </c>
      <c r="B5033" t="s">
        <v>224</v>
      </c>
      <c r="C5033" t="s">
        <v>225</v>
      </c>
      <c r="D5033" t="str">
        <f>HYPERLINK("http://service.sap.com/sap/support/notes/1800596","1800596")</f>
        <v>1800596</v>
      </c>
      <c r="E5033">
        <v>1</v>
      </c>
      <c r="F5033" t="s">
        <v>6493</v>
      </c>
    </row>
    <row r="5034" spans="1:6" x14ac:dyDescent="0.25">
      <c r="A5034" t="s">
        <v>6446</v>
      </c>
      <c r="B5034" t="s">
        <v>224</v>
      </c>
      <c r="C5034" t="s">
        <v>225</v>
      </c>
      <c r="D5034" t="str">
        <f>HYPERLINK("http://service.sap.com/sap/support/notes/1805654","1805654")</f>
        <v>1805654</v>
      </c>
      <c r="E5034">
        <v>2</v>
      </c>
      <c r="F5034" t="s">
        <v>6494</v>
      </c>
    </row>
    <row r="5035" spans="1:6" x14ac:dyDescent="0.25">
      <c r="A5035" t="s">
        <v>6446</v>
      </c>
      <c r="B5035" t="s">
        <v>224</v>
      </c>
      <c r="C5035" t="s">
        <v>225</v>
      </c>
      <c r="D5035" t="str">
        <f>HYPERLINK("http://service.sap.com/sap/support/notes/1811980","1811980")</f>
        <v>1811980</v>
      </c>
      <c r="E5035">
        <v>2</v>
      </c>
      <c r="F5035" t="s">
        <v>6495</v>
      </c>
    </row>
    <row r="5036" spans="1:6" x14ac:dyDescent="0.25">
      <c r="A5036" t="s">
        <v>6446</v>
      </c>
      <c r="B5036" t="s">
        <v>224</v>
      </c>
      <c r="C5036" t="s">
        <v>225</v>
      </c>
      <c r="D5036" t="str">
        <f>HYPERLINK("http://service.sap.com/sap/support/notes/1824533","1824533")</f>
        <v>1824533</v>
      </c>
      <c r="E5036">
        <v>2</v>
      </c>
      <c r="F5036" t="s">
        <v>6496</v>
      </c>
    </row>
    <row r="5037" spans="1:6" x14ac:dyDescent="0.25">
      <c r="A5037" t="s">
        <v>6446</v>
      </c>
      <c r="B5037" t="s">
        <v>224</v>
      </c>
      <c r="C5037" t="s">
        <v>225</v>
      </c>
      <c r="D5037" t="str">
        <f>HYPERLINK("http://service.sap.com/sap/support/notes/1826372","1826372")</f>
        <v>1826372</v>
      </c>
      <c r="E5037">
        <v>2</v>
      </c>
      <c r="F5037" t="s">
        <v>6497</v>
      </c>
    </row>
    <row r="5038" spans="1:6" x14ac:dyDescent="0.25">
      <c r="A5038" t="s">
        <v>6446</v>
      </c>
      <c r="B5038" t="s">
        <v>4251</v>
      </c>
      <c r="C5038" t="s">
        <v>2948</v>
      </c>
      <c r="D5038" t="str">
        <f>HYPERLINK("http://service.sap.com/sap/support/notes/1737738","1737738")</f>
        <v>1737738</v>
      </c>
      <c r="E5038">
        <v>4</v>
      </c>
      <c r="F5038" t="s">
        <v>6498</v>
      </c>
    </row>
    <row r="5039" spans="1:6" x14ac:dyDescent="0.25">
      <c r="A5039" t="s">
        <v>6446</v>
      </c>
      <c r="B5039" t="s">
        <v>6499</v>
      </c>
      <c r="C5039" t="s">
        <v>3143</v>
      </c>
      <c r="D5039" t="str">
        <f>HYPERLINK("http://service.sap.com/sap/support/notes/1748703","1748703")</f>
        <v>1748703</v>
      </c>
      <c r="E5039">
        <v>3</v>
      </c>
      <c r="F5039" t="s">
        <v>6500</v>
      </c>
    </row>
    <row r="5040" spans="1:6" x14ac:dyDescent="0.25">
      <c r="A5040" t="s">
        <v>6446</v>
      </c>
      <c r="B5040" t="s">
        <v>6501</v>
      </c>
      <c r="C5040" t="s">
        <v>3342</v>
      </c>
    </row>
    <row r="5041" spans="1:6" x14ac:dyDescent="0.25">
      <c r="A5041" t="s">
        <v>6446</v>
      </c>
      <c r="B5041" t="s">
        <v>6502</v>
      </c>
      <c r="C5041" t="s">
        <v>612</v>
      </c>
      <c r="D5041" t="str">
        <f>HYPERLINK("http://service.sap.com/sap/support/notes/1813894","1813894")</f>
        <v>1813894</v>
      </c>
      <c r="E5041">
        <v>2</v>
      </c>
      <c r="F5041" t="s">
        <v>6503</v>
      </c>
    </row>
    <row r="5042" spans="1:6" x14ac:dyDescent="0.25">
      <c r="A5042" t="s">
        <v>6446</v>
      </c>
      <c r="B5042" t="s">
        <v>248</v>
      </c>
      <c r="C5042" t="s">
        <v>249</v>
      </c>
    </row>
    <row r="5043" spans="1:6" x14ac:dyDescent="0.25">
      <c r="A5043" t="s">
        <v>6446</v>
      </c>
      <c r="B5043" t="s">
        <v>250</v>
      </c>
      <c r="C5043" t="s">
        <v>251</v>
      </c>
      <c r="D5043" t="str">
        <f>HYPERLINK("http://service.sap.com/sap/support/notes/1825856","1825856")</f>
        <v>1825856</v>
      </c>
      <c r="E5043">
        <v>1</v>
      </c>
      <c r="F5043" t="s">
        <v>6504</v>
      </c>
    </row>
    <row r="5044" spans="1:6" x14ac:dyDescent="0.25">
      <c r="A5044" t="s">
        <v>6446</v>
      </c>
      <c r="B5044" t="s">
        <v>258</v>
      </c>
      <c r="C5044" t="s">
        <v>259</v>
      </c>
      <c r="D5044" t="str">
        <f>HYPERLINK("http://service.sap.com/sap/support/notes/1802647","1802647")</f>
        <v>1802647</v>
      </c>
      <c r="E5044">
        <v>1</v>
      </c>
      <c r="F5044" t="s">
        <v>6505</v>
      </c>
    </row>
    <row r="5045" spans="1:6" x14ac:dyDescent="0.25">
      <c r="A5045" t="s">
        <v>6446</v>
      </c>
      <c r="B5045" t="s">
        <v>258</v>
      </c>
      <c r="C5045" t="s">
        <v>259</v>
      </c>
      <c r="D5045" t="str">
        <f>HYPERLINK("http://service.sap.com/sap/support/notes/1804046","1804046")</f>
        <v>1804046</v>
      </c>
    </row>
    <row r="5046" spans="1:6" x14ac:dyDescent="0.25">
      <c r="A5046" t="s">
        <v>6446</v>
      </c>
      <c r="B5046" t="s">
        <v>6506</v>
      </c>
      <c r="C5046" t="s">
        <v>6507</v>
      </c>
      <c r="D5046" t="str">
        <f>HYPERLINK("http://service.sap.com/sap/support/notes/1829471","1829471")</f>
        <v>1829471</v>
      </c>
      <c r="E5046">
        <v>2</v>
      </c>
      <c r="F5046" t="s">
        <v>6508</v>
      </c>
    </row>
    <row r="5047" spans="1:6" x14ac:dyDescent="0.25">
      <c r="A5047" t="s">
        <v>6446</v>
      </c>
      <c r="B5047" t="s">
        <v>267</v>
      </c>
      <c r="C5047" t="s">
        <v>268</v>
      </c>
    </row>
    <row r="5048" spans="1:6" x14ac:dyDescent="0.25">
      <c r="A5048" t="s">
        <v>6446</v>
      </c>
      <c r="B5048" t="s">
        <v>269</v>
      </c>
      <c r="C5048" t="s">
        <v>270</v>
      </c>
      <c r="D5048" t="str">
        <f>HYPERLINK("http://service.sap.com/sap/support/notes/1799018","1799018")</f>
        <v>1799018</v>
      </c>
      <c r="E5048">
        <v>2</v>
      </c>
      <c r="F5048" t="s">
        <v>6509</v>
      </c>
    </row>
    <row r="5049" spans="1:6" x14ac:dyDescent="0.25">
      <c r="A5049" t="s">
        <v>6446</v>
      </c>
      <c r="B5049" t="s">
        <v>269</v>
      </c>
      <c r="C5049" t="s">
        <v>270</v>
      </c>
      <c r="D5049" t="str">
        <f>HYPERLINK("http://service.sap.com/sap/support/notes/1801988","1801988")</f>
        <v>1801988</v>
      </c>
      <c r="E5049">
        <v>1</v>
      </c>
      <c r="F5049" t="s">
        <v>6509</v>
      </c>
    </row>
    <row r="5050" spans="1:6" x14ac:dyDescent="0.25">
      <c r="A5050" t="s">
        <v>6446</v>
      </c>
      <c r="B5050" t="s">
        <v>269</v>
      </c>
      <c r="C5050" t="s">
        <v>270</v>
      </c>
      <c r="D5050" t="str">
        <f>HYPERLINK("http://service.sap.com/sap/support/notes/1803657","1803657")</f>
        <v>1803657</v>
      </c>
      <c r="E5050">
        <v>1</v>
      </c>
      <c r="F5050" t="s">
        <v>6510</v>
      </c>
    </row>
    <row r="5051" spans="1:6" x14ac:dyDescent="0.25">
      <c r="A5051" t="s">
        <v>6446</v>
      </c>
      <c r="B5051" t="s">
        <v>269</v>
      </c>
      <c r="C5051" t="s">
        <v>270</v>
      </c>
      <c r="D5051" t="str">
        <f>HYPERLINK("http://service.sap.com/sap/support/notes/1807564","1807564")</f>
        <v>1807564</v>
      </c>
      <c r="E5051">
        <v>3</v>
      </c>
      <c r="F5051" t="s">
        <v>6511</v>
      </c>
    </row>
    <row r="5052" spans="1:6" x14ac:dyDescent="0.25">
      <c r="A5052" t="s">
        <v>6446</v>
      </c>
      <c r="B5052" t="s">
        <v>269</v>
      </c>
      <c r="C5052" t="s">
        <v>270</v>
      </c>
      <c r="D5052" t="str">
        <f>HYPERLINK("http://service.sap.com/sap/support/notes/1814639","1814639")</f>
        <v>1814639</v>
      </c>
      <c r="E5052">
        <v>1</v>
      </c>
      <c r="F5052" t="s">
        <v>6512</v>
      </c>
    </row>
    <row r="5053" spans="1:6" x14ac:dyDescent="0.25">
      <c r="A5053" t="s">
        <v>6446</v>
      </c>
      <c r="B5053" t="s">
        <v>269</v>
      </c>
      <c r="C5053" t="s">
        <v>270</v>
      </c>
      <c r="D5053" t="str">
        <f>HYPERLINK("http://service.sap.com/sap/support/notes/1818817","1818817")</f>
        <v>1818817</v>
      </c>
      <c r="E5053">
        <v>1</v>
      </c>
      <c r="F5053" t="s">
        <v>6513</v>
      </c>
    </row>
    <row r="5054" spans="1:6" x14ac:dyDescent="0.25">
      <c r="A5054" t="s">
        <v>6446</v>
      </c>
      <c r="B5054" t="s">
        <v>269</v>
      </c>
      <c r="C5054" t="s">
        <v>270</v>
      </c>
      <c r="D5054" t="str">
        <f>HYPERLINK("http://service.sap.com/sap/support/notes/1819960","1819960")</f>
        <v>1819960</v>
      </c>
      <c r="E5054">
        <v>3</v>
      </c>
      <c r="F5054" t="s">
        <v>6514</v>
      </c>
    </row>
    <row r="5055" spans="1:6" x14ac:dyDescent="0.25">
      <c r="A5055" t="s">
        <v>6446</v>
      </c>
      <c r="B5055" t="s">
        <v>269</v>
      </c>
      <c r="C5055" t="s">
        <v>270</v>
      </c>
      <c r="D5055" t="str">
        <f>HYPERLINK("http://service.sap.com/sap/support/notes/1821086","1821086")</f>
        <v>1821086</v>
      </c>
      <c r="E5055">
        <v>1</v>
      </c>
      <c r="F5055" t="s">
        <v>6515</v>
      </c>
    </row>
    <row r="5056" spans="1:6" x14ac:dyDescent="0.25">
      <c r="A5056" t="s">
        <v>6446</v>
      </c>
      <c r="B5056" t="s">
        <v>269</v>
      </c>
      <c r="C5056" t="s">
        <v>270</v>
      </c>
      <c r="D5056" t="str">
        <f>HYPERLINK("http://service.sap.com/sap/support/notes/1823201","1823201")</f>
        <v>1823201</v>
      </c>
      <c r="E5056">
        <v>4</v>
      </c>
      <c r="F5056" t="s">
        <v>6516</v>
      </c>
    </row>
    <row r="5057" spans="1:6" x14ac:dyDescent="0.25">
      <c r="A5057" t="s">
        <v>6446</v>
      </c>
      <c r="B5057" t="s">
        <v>269</v>
      </c>
      <c r="C5057" t="s">
        <v>270</v>
      </c>
      <c r="D5057" t="str">
        <f>HYPERLINK("http://service.sap.com/sap/support/notes/1826561","1826561")</f>
        <v>1826561</v>
      </c>
      <c r="E5057">
        <v>1</v>
      </c>
      <c r="F5057" t="s">
        <v>6517</v>
      </c>
    </row>
    <row r="5058" spans="1:6" x14ac:dyDescent="0.25">
      <c r="A5058" t="s">
        <v>6446</v>
      </c>
      <c r="B5058" t="s">
        <v>274</v>
      </c>
      <c r="C5058" t="s">
        <v>275</v>
      </c>
      <c r="D5058" t="str">
        <f>HYPERLINK("http://service.sap.com/sap/support/notes/1778363","1778363")</f>
        <v>1778363</v>
      </c>
      <c r="E5058">
        <v>1</v>
      </c>
      <c r="F5058" t="s">
        <v>4264</v>
      </c>
    </row>
    <row r="5059" spans="1:6" x14ac:dyDescent="0.25">
      <c r="A5059" t="s">
        <v>6446</v>
      </c>
      <c r="B5059" t="s">
        <v>274</v>
      </c>
      <c r="C5059" t="s">
        <v>275</v>
      </c>
      <c r="D5059" t="str">
        <f>HYPERLINK("http://service.sap.com/sap/support/notes/1780174","1780174")</f>
        <v>1780174</v>
      </c>
      <c r="E5059">
        <v>1</v>
      </c>
      <c r="F5059" t="s">
        <v>6518</v>
      </c>
    </row>
    <row r="5060" spans="1:6" x14ac:dyDescent="0.25">
      <c r="A5060" t="s">
        <v>6446</v>
      </c>
      <c r="B5060" t="s">
        <v>274</v>
      </c>
      <c r="C5060" t="s">
        <v>275</v>
      </c>
      <c r="D5060" t="str">
        <f>HYPERLINK("http://service.sap.com/sap/support/notes/1798390","1798390")</f>
        <v>1798390</v>
      </c>
      <c r="E5060">
        <v>3</v>
      </c>
      <c r="F5060" t="s">
        <v>6519</v>
      </c>
    </row>
    <row r="5061" spans="1:6" x14ac:dyDescent="0.25">
      <c r="A5061" t="s">
        <v>6446</v>
      </c>
      <c r="B5061" t="s">
        <v>274</v>
      </c>
      <c r="C5061" t="s">
        <v>275</v>
      </c>
      <c r="D5061" t="str">
        <f>HYPERLINK("http://service.sap.com/sap/support/notes/1799643","1799643")</f>
        <v>1799643</v>
      </c>
      <c r="E5061">
        <v>2</v>
      </c>
      <c r="F5061" t="s">
        <v>6520</v>
      </c>
    </row>
    <row r="5062" spans="1:6" x14ac:dyDescent="0.25">
      <c r="A5062" t="s">
        <v>6446</v>
      </c>
      <c r="B5062" t="s">
        <v>274</v>
      </c>
      <c r="C5062" t="s">
        <v>275</v>
      </c>
      <c r="D5062" t="str">
        <f>HYPERLINK("http://service.sap.com/sap/support/notes/1808046","1808046")</f>
        <v>1808046</v>
      </c>
      <c r="E5062">
        <v>2</v>
      </c>
      <c r="F5062" t="s">
        <v>6521</v>
      </c>
    </row>
    <row r="5063" spans="1:6" x14ac:dyDescent="0.25">
      <c r="A5063" t="s">
        <v>6446</v>
      </c>
      <c r="B5063" t="s">
        <v>274</v>
      </c>
      <c r="C5063" t="s">
        <v>275</v>
      </c>
      <c r="D5063" t="str">
        <f>HYPERLINK("http://service.sap.com/sap/support/notes/1810246","1810246")</f>
        <v>1810246</v>
      </c>
      <c r="E5063">
        <v>3</v>
      </c>
      <c r="F5063" t="s">
        <v>6522</v>
      </c>
    </row>
    <row r="5064" spans="1:6" x14ac:dyDescent="0.25">
      <c r="A5064" t="s">
        <v>6446</v>
      </c>
      <c r="B5064" t="s">
        <v>274</v>
      </c>
      <c r="C5064" t="s">
        <v>275</v>
      </c>
      <c r="D5064" t="str">
        <f>HYPERLINK("http://service.sap.com/sap/support/notes/1810288","1810288")</f>
        <v>1810288</v>
      </c>
      <c r="E5064">
        <v>2</v>
      </c>
      <c r="F5064" t="s">
        <v>6523</v>
      </c>
    </row>
    <row r="5065" spans="1:6" x14ac:dyDescent="0.25">
      <c r="A5065" t="s">
        <v>6446</v>
      </c>
      <c r="B5065" t="s">
        <v>274</v>
      </c>
      <c r="C5065" t="s">
        <v>275</v>
      </c>
      <c r="D5065" t="str">
        <f>HYPERLINK("http://service.sap.com/sap/support/notes/1811371","1811371")</f>
        <v>1811371</v>
      </c>
      <c r="E5065">
        <v>2</v>
      </c>
      <c r="F5065" t="s">
        <v>6524</v>
      </c>
    </row>
    <row r="5066" spans="1:6" x14ac:dyDescent="0.25">
      <c r="A5066" t="s">
        <v>6446</v>
      </c>
      <c r="B5066" t="s">
        <v>274</v>
      </c>
      <c r="C5066" t="s">
        <v>275</v>
      </c>
      <c r="D5066" t="str">
        <f>HYPERLINK("http://service.sap.com/sap/support/notes/1817648","1817648")</f>
        <v>1817648</v>
      </c>
      <c r="E5066">
        <v>1</v>
      </c>
      <c r="F5066" t="s">
        <v>6525</v>
      </c>
    </row>
    <row r="5067" spans="1:6" x14ac:dyDescent="0.25">
      <c r="A5067" t="s">
        <v>6446</v>
      </c>
      <c r="B5067" t="s">
        <v>274</v>
      </c>
      <c r="C5067" t="s">
        <v>275</v>
      </c>
      <c r="D5067" t="str">
        <f>HYPERLINK("http://service.sap.com/sap/support/notes/1818076","1818076")</f>
        <v>1818076</v>
      </c>
      <c r="E5067">
        <v>1</v>
      </c>
      <c r="F5067" t="s">
        <v>6526</v>
      </c>
    </row>
    <row r="5068" spans="1:6" x14ac:dyDescent="0.25">
      <c r="A5068" t="s">
        <v>6446</v>
      </c>
      <c r="B5068" t="s">
        <v>274</v>
      </c>
      <c r="C5068" t="s">
        <v>275</v>
      </c>
      <c r="D5068" t="str">
        <f>HYPERLINK("http://service.sap.com/sap/support/notes/1824404","1824404")</f>
        <v>1824404</v>
      </c>
      <c r="E5068">
        <v>2</v>
      </c>
      <c r="F5068" t="s">
        <v>6527</v>
      </c>
    </row>
    <row r="5069" spans="1:6" x14ac:dyDescent="0.25">
      <c r="A5069" t="s">
        <v>6446</v>
      </c>
      <c r="B5069" t="s">
        <v>274</v>
      </c>
      <c r="C5069" t="s">
        <v>275</v>
      </c>
      <c r="D5069" t="str">
        <f>HYPERLINK("http://service.sap.com/sap/support/notes/1825765","1825765")</f>
        <v>1825765</v>
      </c>
      <c r="E5069">
        <v>2</v>
      </c>
      <c r="F5069" t="s">
        <v>6528</v>
      </c>
    </row>
    <row r="5070" spans="1:6" x14ac:dyDescent="0.25">
      <c r="A5070" t="s">
        <v>6446</v>
      </c>
      <c r="B5070" t="s">
        <v>274</v>
      </c>
      <c r="C5070" t="s">
        <v>275</v>
      </c>
      <c r="D5070" t="str">
        <f>HYPERLINK("http://service.sap.com/sap/support/notes/1828945","1828945")</f>
        <v>1828945</v>
      </c>
      <c r="E5070">
        <v>1</v>
      </c>
      <c r="F5070" t="s">
        <v>6529</v>
      </c>
    </row>
    <row r="5071" spans="1:6" x14ac:dyDescent="0.25">
      <c r="A5071" t="s">
        <v>6446</v>
      </c>
      <c r="B5071" t="s">
        <v>274</v>
      </c>
      <c r="C5071" t="s">
        <v>275</v>
      </c>
      <c r="D5071" t="str">
        <f>HYPERLINK("http://service.sap.com/sap/support/notes/1830482","1830482")</f>
        <v>1830482</v>
      </c>
      <c r="E5071">
        <v>1</v>
      </c>
      <c r="F5071" t="s">
        <v>6530</v>
      </c>
    </row>
    <row r="5072" spans="1:6" x14ac:dyDescent="0.25">
      <c r="A5072" t="s">
        <v>6446</v>
      </c>
      <c r="B5072" t="s">
        <v>277</v>
      </c>
      <c r="C5072" t="s">
        <v>278</v>
      </c>
      <c r="D5072" t="str">
        <f>HYPERLINK("http://service.sap.com/sap/support/notes/1480104","1480104")</f>
        <v>1480104</v>
      </c>
      <c r="E5072">
        <v>2</v>
      </c>
      <c r="F5072" t="s">
        <v>6531</v>
      </c>
    </row>
    <row r="5073" spans="1:6" x14ac:dyDescent="0.25">
      <c r="A5073" t="s">
        <v>6446</v>
      </c>
      <c r="B5073" t="s">
        <v>277</v>
      </c>
      <c r="C5073" t="s">
        <v>278</v>
      </c>
      <c r="D5073" t="str">
        <f>HYPERLINK("http://service.sap.com/sap/support/notes/1513437","1513437")</f>
        <v>1513437</v>
      </c>
      <c r="E5073">
        <v>3</v>
      </c>
      <c r="F5073" t="s">
        <v>6532</v>
      </c>
    </row>
    <row r="5074" spans="1:6" x14ac:dyDescent="0.25">
      <c r="A5074" t="s">
        <v>6446</v>
      </c>
      <c r="B5074" t="s">
        <v>277</v>
      </c>
      <c r="C5074" t="s">
        <v>278</v>
      </c>
      <c r="D5074" t="str">
        <f>HYPERLINK("http://service.sap.com/sap/support/notes/1604375","1604375")</f>
        <v>1604375</v>
      </c>
      <c r="E5074">
        <v>4</v>
      </c>
      <c r="F5074" t="s">
        <v>6533</v>
      </c>
    </row>
    <row r="5075" spans="1:6" x14ac:dyDescent="0.25">
      <c r="A5075" t="s">
        <v>6446</v>
      </c>
      <c r="B5075" t="s">
        <v>277</v>
      </c>
      <c r="C5075" t="s">
        <v>278</v>
      </c>
      <c r="D5075" t="str">
        <f>HYPERLINK("http://service.sap.com/sap/support/notes/1748325","1748325")</f>
        <v>1748325</v>
      </c>
      <c r="E5075">
        <v>3</v>
      </c>
      <c r="F5075" t="s">
        <v>6534</v>
      </c>
    </row>
    <row r="5076" spans="1:6" x14ac:dyDescent="0.25">
      <c r="A5076" t="s">
        <v>6446</v>
      </c>
      <c r="B5076" t="s">
        <v>277</v>
      </c>
      <c r="C5076" t="s">
        <v>278</v>
      </c>
      <c r="D5076" t="str">
        <f>HYPERLINK("http://service.sap.com/sap/support/notes/1785546","1785546")</f>
        <v>1785546</v>
      </c>
      <c r="E5076">
        <v>1</v>
      </c>
      <c r="F5076" t="s">
        <v>6535</v>
      </c>
    </row>
    <row r="5077" spans="1:6" x14ac:dyDescent="0.25">
      <c r="A5077" t="s">
        <v>6446</v>
      </c>
      <c r="B5077" t="s">
        <v>277</v>
      </c>
      <c r="C5077" t="s">
        <v>278</v>
      </c>
      <c r="D5077" t="str">
        <f>HYPERLINK("http://service.sap.com/sap/support/notes/1801183","1801183")</f>
        <v>1801183</v>
      </c>
      <c r="E5077">
        <v>1</v>
      </c>
      <c r="F5077" t="s">
        <v>6536</v>
      </c>
    </row>
    <row r="5078" spans="1:6" x14ac:dyDescent="0.25">
      <c r="A5078" t="s">
        <v>6446</v>
      </c>
      <c r="B5078" t="s">
        <v>277</v>
      </c>
      <c r="C5078" t="s">
        <v>278</v>
      </c>
      <c r="D5078" t="str">
        <f>HYPERLINK("http://service.sap.com/sap/support/notes/1810315","1810315")</f>
        <v>1810315</v>
      </c>
      <c r="E5078">
        <v>1</v>
      </c>
      <c r="F5078" t="s">
        <v>6537</v>
      </c>
    </row>
    <row r="5079" spans="1:6" x14ac:dyDescent="0.25">
      <c r="A5079" t="s">
        <v>6446</v>
      </c>
      <c r="B5079" t="s">
        <v>277</v>
      </c>
      <c r="C5079" t="s">
        <v>278</v>
      </c>
      <c r="D5079" t="str">
        <f>HYPERLINK("http://service.sap.com/sap/support/notes/1811420","1811420")</f>
        <v>1811420</v>
      </c>
      <c r="E5079">
        <v>3</v>
      </c>
      <c r="F5079" t="s">
        <v>6538</v>
      </c>
    </row>
    <row r="5080" spans="1:6" x14ac:dyDescent="0.25">
      <c r="A5080" t="s">
        <v>6446</v>
      </c>
      <c r="B5080" t="s">
        <v>277</v>
      </c>
      <c r="C5080" t="s">
        <v>278</v>
      </c>
      <c r="D5080" t="str">
        <f>HYPERLINK("http://service.sap.com/sap/support/notes/1815515","1815515")</f>
        <v>1815515</v>
      </c>
      <c r="E5080">
        <v>1</v>
      </c>
      <c r="F5080" t="s">
        <v>6539</v>
      </c>
    </row>
    <row r="5081" spans="1:6" x14ac:dyDescent="0.25">
      <c r="A5081" t="s">
        <v>6446</v>
      </c>
      <c r="B5081" t="s">
        <v>277</v>
      </c>
      <c r="C5081" t="s">
        <v>278</v>
      </c>
      <c r="D5081" t="str">
        <f>HYPERLINK("http://service.sap.com/sap/support/notes/1823920","1823920")</f>
        <v>1823920</v>
      </c>
      <c r="E5081">
        <v>1</v>
      </c>
      <c r="F5081" t="s">
        <v>6540</v>
      </c>
    </row>
    <row r="5082" spans="1:6" x14ac:dyDescent="0.25">
      <c r="A5082" t="s">
        <v>6446</v>
      </c>
      <c r="B5082" t="s">
        <v>277</v>
      </c>
      <c r="C5082" t="s">
        <v>278</v>
      </c>
      <c r="D5082" t="str">
        <f>HYPERLINK("http://service.sap.com/sap/support/notes/1825491","1825491")</f>
        <v>1825491</v>
      </c>
      <c r="E5082">
        <v>3</v>
      </c>
      <c r="F5082" t="s">
        <v>6541</v>
      </c>
    </row>
    <row r="5083" spans="1:6" x14ac:dyDescent="0.25">
      <c r="A5083" t="s">
        <v>6446</v>
      </c>
      <c r="B5083" t="s">
        <v>288</v>
      </c>
      <c r="C5083" t="s">
        <v>289</v>
      </c>
      <c r="D5083" t="str">
        <f>HYPERLINK("http://service.sap.com/sap/support/notes/1760970","1760970")</f>
        <v>1760970</v>
      </c>
      <c r="E5083">
        <v>1</v>
      </c>
      <c r="F5083" t="s">
        <v>6542</v>
      </c>
    </row>
    <row r="5084" spans="1:6" x14ac:dyDescent="0.25">
      <c r="A5084" t="s">
        <v>6446</v>
      </c>
      <c r="B5084" t="s">
        <v>288</v>
      </c>
      <c r="C5084" t="s">
        <v>289</v>
      </c>
      <c r="D5084" t="str">
        <f>HYPERLINK("http://service.sap.com/sap/support/notes/1810682","1810682")</f>
        <v>1810682</v>
      </c>
      <c r="E5084">
        <v>1</v>
      </c>
      <c r="F5084" t="s">
        <v>6543</v>
      </c>
    </row>
    <row r="5085" spans="1:6" x14ac:dyDescent="0.25">
      <c r="A5085" t="s">
        <v>6446</v>
      </c>
      <c r="B5085" t="s">
        <v>288</v>
      </c>
      <c r="C5085" t="s">
        <v>289</v>
      </c>
      <c r="D5085" t="str">
        <f>HYPERLINK("http://service.sap.com/sap/support/notes/1814787","1814787")</f>
        <v>1814787</v>
      </c>
      <c r="E5085">
        <v>1</v>
      </c>
      <c r="F5085" t="s">
        <v>6544</v>
      </c>
    </row>
    <row r="5086" spans="1:6" x14ac:dyDescent="0.25">
      <c r="A5086" t="s">
        <v>6446</v>
      </c>
      <c r="B5086" t="s">
        <v>288</v>
      </c>
      <c r="C5086" t="s">
        <v>289</v>
      </c>
      <c r="D5086" t="str">
        <f>HYPERLINK("http://service.sap.com/sap/support/notes/1816062","1816062")</f>
        <v>1816062</v>
      </c>
      <c r="E5086">
        <v>1</v>
      </c>
      <c r="F5086" t="s">
        <v>6545</v>
      </c>
    </row>
    <row r="5087" spans="1:6" x14ac:dyDescent="0.25">
      <c r="A5087" t="s">
        <v>6446</v>
      </c>
      <c r="B5087" t="s">
        <v>288</v>
      </c>
      <c r="C5087" t="s">
        <v>289</v>
      </c>
      <c r="D5087" t="str">
        <f>HYPERLINK("http://service.sap.com/sap/support/notes/1819447","1819447")</f>
        <v>1819447</v>
      </c>
      <c r="E5087">
        <v>1</v>
      </c>
      <c r="F5087" t="s">
        <v>6546</v>
      </c>
    </row>
    <row r="5088" spans="1:6" x14ac:dyDescent="0.25">
      <c r="A5088" t="s">
        <v>6446</v>
      </c>
      <c r="B5088" t="s">
        <v>288</v>
      </c>
      <c r="C5088" t="s">
        <v>289</v>
      </c>
      <c r="D5088" t="str">
        <f>HYPERLINK("http://service.sap.com/sap/support/notes/1819613","1819613")</f>
        <v>1819613</v>
      </c>
      <c r="E5088">
        <v>1</v>
      </c>
      <c r="F5088" t="s">
        <v>6547</v>
      </c>
    </row>
    <row r="5089" spans="1:6" x14ac:dyDescent="0.25">
      <c r="A5089" t="s">
        <v>6446</v>
      </c>
      <c r="B5089" t="s">
        <v>288</v>
      </c>
      <c r="C5089" t="s">
        <v>289</v>
      </c>
      <c r="D5089" t="str">
        <f>HYPERLINK("http://service.sap.com/sap/support/notes/1819622","1819622")</f>
        <v>1819622</v>
      </c>
      <c r="E5089">
        <v>1</v>
      </c>
      <c r="F5089" t="s">
        <v>6548</v>
      </c>
    </row>
    <row r="5090" spans="1:6" x14ac:dyDescent="0.25">
      <c r="A5090" t="s">
        <v>6446</v>
      </c>
      <c r="B5090" t="s">
        <v>288</v>
      </c>
      <c r="C5090" t="s">
        <v>289</v>
      </c>
      <c r="D5090" t="str">
        <f>HYPERLINK("http://service.sap.com/sap/support/notes/1822270","1822270")</f>
        <v>1822270</v>
      </c>
      <c r="E5090">
        <v>1</v>
      </c>
      <c r="F5090" t="s">
        <v>6549</v>
      </c>
    </row>
    <row r="5091" spans="1:6" x14ac:dyDescent="0.25">
      <c r="A5091" t="s">
        <v>6446</v>
      </c>
      <c r="B5091" t="s">
        <v>288</v>
      </c>
      <c r="C5091" t="s">
        <v>289</v>
      </c>
      <c r="D5091" t="str">
        <f>HYPERLINK("http://service.sap.com/sap/support/notes/1829605","1829605")</f>
        <v>1829605</v>
      </c>
      <c r="E5091">
        <v>1</v>
      </c>
      <c r="F5091" t="s">
        <v>6550</v>
      </c>
    </row>
    <row r="5092" spans="1:6" x14ac:dyDescent="0.25">
      <c r="A5092" t="s">
        <v>6446</v>
      </c>
      <c r="B5092" t="s">
        <v>293</v>
      </c>
      <c r="C5092" t="s">
        <v>294</v>
      </c>
      <c r="D5092" t="str">
        <f>HYPERLINK("http://service.sap.com/sap/support/notes/1738397","1738397")</f>
        <v>1738397</v>
      </c>
      <c r="E5092">
        <v>2</v>
      </c>
      <c r="F5092" t="s">
        <v>6551</v>
      </c>
    </row>
    <row r="5093" spans="1:6" x14ac:dyDescent="0.25">
      <c r="A5093" t="s">
        <v>6446</v>
      </c>
      <c r="B5093" t="s">
        <v>293</v>
      </c>
      <c r="C5093" t="s">
        <v>294</v>
      </c>
      <c r="D5093" t="str">
        <f>HYPERLINK("http://service.sap.com/sap/support/notes/1748409","1748409")</f>
        <v>1748409</v>
      </c>
      <c r="E5093">
        <v>1</v>
      </c>
      <c r="F5093" t="s">
        <v>6552</v>
      </c>
    </row>
    <row r="5094" spans="1:6" x14ac:dyDescent="0.25">
      <c r="A5094" t="s">
        <v>6446</v>
      </c>
      <c r="B5094" t="s">
        <v>293</v>
      </c>
      <c r="C5094" t="s">
        <v>294</v>
      </c>
      <c r="D5094" t="str">
        <f>HYPERLINK("http://service.sap.com/sap/support/notes/1763048","1763048")</f>
        <v>1763048</v>
      </c>
      <c r="E5094">
        <v>2</v>
      </c>
      <c r="F5094" t="s">
        <v>6553</v>
      </c>
    </row>
    <row r="5095" spans="1:6" x14ac:dyDescent="0.25">
      <c r="A5095" t="s">
        <v>6446</v>
      </c>
      <c r="B5095" t="s">
        <v>293</v>
      </c>
      <c r="C5095" t="s">
        <v>294</v>
      </c>
      <c r="D5095" t="str">
        <f>HYPERLINK("http://service.sap.com/sap/support/notes/1802085","1802085")</f>
        <v>1802085</v>
      </c>
      <c r="E5095">
        <v>1</v>
      </c>
      <c r="F5095" t="s">
        <v>6554</v>
      </c>
    </row>
    <row r="5096" spans="1:6" x14ac:dyDescent="0.25">
      <c r="A5096" t="s">
        <v>6446</v>
      </c>
      <c r="B5096" t="s">
        <v>293</v>
      </c>
      <c r="C5096" t="s">
        <v>294</v>
      </c>
      <c r="D5096" t="str">
        <f>HYPERLINK("http://service.sap.com/sap/support/notes/1803868","1803868")</f>
        <v>1803868</v>
      </c>
      <c r="E5096">
        <v>3</v>
      </c>
      <c r="F5096" t="s">
        <v>6555</v>
      </c>
    </row>
    <row r="5097" spans="1:6" x14ac:dyDescent="0.25">
      <c r="A5097" t="s">
        <v>6446</v>
      </c>
      <c r="B5097" t="s">
        <v>293</v>
      </c>
      <c r="C5097" t="s">
        <v>294</v>
      </c>
      <c r="D5097" t="str">
        <f>HYPERLINK("http://service.sap.com/sap/support/notes/1822834","1822834")</f>
        <v>1822834</v>
      </c>
      <c r="E5097">
        <v>1</v>
      </c>
      <c r="F5097" t="s">
        <v>6556</v>
      </c>
    </row>
    <row r="5098" spans="1:6" x14ac:dyDescent="0.25">
      <c r="A5098" t="s">
        <v>6446</v>
      </c>
      <c r="B5098" t="s">
        <v>4276</v>
      </c>
      <c r="C5098" t="s">
        <v>4277</v>
      </c>
      <c r="D5098" t="str">
        <f>HYPERLINK("http://service.sap.com/sap/support/notes/1823087","1823087")</f>
        <v>1823087</v>
      </c>
      <c r="E5098">
        <v>3</v>
      </c>
      <c r="F5098" t="s">
        <v>6557</v>
      </c>
    </row>
    <row r="5099" spans="1:6" x14ac:dyDescent="0.25">
      <c r="A5099" t="s">
        <v>6446</v>
      </c>
      <c r="B5099" t="s">
        <v>4276</v>
      </c>
      <c r="C5099" t="s">
        <v>4277</v>
      </c>
      <c r="D5099" t="str">
        <f>HYPERLINK("http://service.sap.com/sap/support/notes/1824453","1824453")</f>
        <v>1824453</v>
      </c>
      <c r="E5099">
        <v>1</v>
      </c>
      <c r="F5099" t="s">
        <v>6558</v>
      </c>
    </row>
    <row r="5100" spans="1:6" x14ac:dyDescent="0.25">
      <c r="A5100" t="s">
        <v>6446</v>
      </c>
      <c r="B5100" t="s">
        <v>297</v>
      </c>
      <c r="C5100" t="s">
        <v>298</v>
      </c>
      <c r="D5100" t="str">
        <f>HYPERLINK("http://service.sap.com/sap/support/notes/1756510","1756510")</f>
        <v>1756510</v>
      </c>
      <c r="E5100">
        <v>1</v>
      </c>
      <c r="F5100" t="s">
        <v>6559</v>
      </c>
    </row>
    <row r="5101" spans="1:6" x14ac:dyDescent="0.25">
      <c r="A5101" t="s">
        <v>6446</v>
      </c>
      <c r="B5101" t="s">
        <v>297</v>
      </c>
      <c r="C5101" t="s">
        <v>298</v>
      </c>
      <c r="D5101" t="str">
        <f>HYPERLINK("http://service.sap.com/sap/support/notes/1770907","1770907")</f>
        <v>1770907</v>
      </c>
      <c r="E5101">
        <v>1</v>
      </c>
      <c r="F5101" t="s">
        <v>6560</v>
      </c>
    </row>
    <row r="5102" spans="1:6" x14ac:dyDescent="0.25">
      <c r="A5102" t="s">
        <v>6446</v>
      </c>
      <c r="B5102" t="s">
        <v>297</v>
      </c>
      <c r="C5102" t="s">
        <v>298</v>
      </c>
      <c r="D5102" t="str">
        <f>HYPERLINK("http://service.sap.com/sap/support/notes/1803521","1803521")</f>
        <v>1803521</v>
      </c>
      <c r="E5102">
        <v>4</v>
      </c>
      <c r="F5102" t="s">
        <v>6561</v>
      </c>
    </row>
    <row r="5103" spans="1:6" x14ac:dyDescent="0.25">
      <c r="A5103" t="s">
        <v>6446</v>
      </c>
      <c r="B5103" t="s">
        <v>297</v>
      </c>
      <c r="C5103" t="s">
        <v>298</v>
      </c>
      <c r="D5103" t="str">
        <f>HYPERLINK("http://service.sap.com/sap/support/notes/1824041","1824041")</f>
        <v>1824041</v>
      </c>
      <c r="E5103">
        <v>1</v>
      </c>
      <c r="F5103" t="s">
        <v>6562</v>
      </c>
    </row>
    <row r="5104" spans="1:6" x14ac:dyDescent="0.25">
      <c r="A5104" t="s">
        <v>6446</v>
      </c>
      <c r="B5104" t="s">
        <v>300</v>
      </c>
      <c r="C5104" t="s">
        <v>301</v>
      </c>
    </row>
    <row r="5105" spans="1:6" x14ac:dyDescent="0.25">
      <c r="A5105" t="s">
        <v>6446</v>
      </c>
      <c r="B5105" t="s">
        <v>302</v>
      </c>
      <c r="C5105" t="s">
        <v>303</v>
      </c>
    </row>
    <row r="5106" spans="1:6" x14ac:dyDescent="0.25">
      <c r="A5106" t="s">
        <v>6446</v>
      </c>
      <c r="B5106" t="s">
        <v>6563</v>
      </c>
      <c r="C5106" t="s">
        <v>303</v>
      </c>
      <c r="D5106" t="str">
        <f>HYPERLINK("http://service.sap.com/sap/support/notes/1807532","1807532")</f>
        <v>1807532</v>
      </c>
      <c r="E5106">
        <v>1</v>
      </c>
      <c r="F5106" t="s">
        <v>6564</v>
      </c>
    </row>
    <row r="5107" spans="1:6" x14ac:dyDescent="0.25">
      <c r="A5107" t="s">
        <v>6446</v>
      </c>
      <c r="B5107" t="s">
        <v>312</v>
      </c>
      <c r="C5107" t="s">
        <v>313</v>
      </c>
    </row>
    <row r="5108" spans="1:6" x14ac:dyDescent="0.25">
      <c r="A5108" t="s">
        <v>6446</v>
      </c>
      <c r="B5108" t="s">
        <v>326</v>
      </c>
      <c r="C5108" t="s">
        <v>327</v>
      </c>
    </row>
    <row r="5109" spans="1:6" x14ac:dyDescent="0.25">
      <c r="A5109" t="s">
        <v>6446</v>
      </c>
      <c r="B5109" t="s">
        <v>328</v>
      </c>
      <c r="C5109" t="s">
        <v>329</v>
      </c>
      <c r="D5109" t="str">
        <f>HYPERLINK("http://service.sap.com/sap/support/notes/1823922","1823922")</f>
        <v>1823922</v>
      </c>
      <c r="E5109">
        <v>1</v>
      </c>
      <c r="F5109" t="s">
        <v>6565</v>
      </c>
    </row>
    <row r="5110" spans="1:6" x14ac:dyDescent="0.25">
      <c r="A5110" t="s">
        <v>6446</v>
      </c>
      <c r="B5110" t="s">
        <v>331</v>
      </c>
      <c r="C5110" t="s">
        <v>332</v>
      </c>
      <c r="D5110" t="str">
        <f>HYPERLINK("http://service.sap.com/sap/support/notes/1674758","1674758")</f>
        <v>1674758</v>
      </c>
      <c r="E5110">
        <v>4</v>
      </c>
      <c r="F5110" t="s">
        <v>6566</v>
      </c>
    </row>
    <row r="5111" spans="1:6" x14ac:dyDescent="0.25">
      <c r="A5111" t="s">
        <v>6446</v>
      </c>
      <c r="B5111" t="s">
        <v>331</v>
      </c>
      <c r="C5111" t="s">
        <v>332</v>
      </c>
      <c r="D5111" t="str">
        <f>HYPERLINK("http://service.sap.com/sap/support/notes/1751981","1751981")</f>
        <v>1751981</v>
      </c>
      <c r="E5111">
        <v>3</v>
      </c>
      <c r="F5111" t="s">
        <v>6567</v>
      </c>
    </row>
    <row r="5112" spans="1:6" x14ac:dyDescent="0.25">
      <c r="A5112" t="s">
        <v>6446</v>
      </c>
      <c r="B5112" t="s">
        <v>331</v>
      </c>
      <c r="C5112" t="s">
        <v>332</v>
      </c>
      <c r="D5112" t="str">
        <f>HYPERLINK("http://service.sap.com/sap/support/notes/1771847","1771847")</f>
        <v>1771847</v>
      </c>
      <c r="E5112">
        <v>2</v>
      </c>
      <c r="F5112" t="s">
        <v>6568</v>
      </c>
    </row>
    <row r="5113" spans="1:6" x14ac:dyDescent="0.25">
      <c r="A5113" t="s">
        <v>6446</v>
      </c>
      <c r="B5113" t="s">
        <v>331</v>
      </c>
      <c r="C5113" t="s">
        <v>332</v>
      </c>
      <c r="D5113" t="str">
        <f>HYPERLINK("http://service.sap.com/sap/support/notes/1772956","1772956")</f>
        <v>1772956</v>
      </c>
      <c r="E5113">
        <v>2</v>
      </c>
      <c r="F5113" t="s">
        <v>6569</v>
      </c>
    </row>
    <row r="5114" spans="1:6" x14ac:dyDescent="0.25">
      <c r="A5114" t="s">
        <v>6446</v>
      </c>
      <c r="B5114" t="s">
        <v>331</v>
      </c>
      <c r="C5114" t="s">
        <v>332</v>
      </c>
      <c r="D5114" t="str">
        <f>HYPERLINK("http://service.sap.com/sap/support/notes/1788803","1788803")</f>
        <v>1788803</v>
      </c>
      <c r="E5114">
        <v>2</v>
      </c>
      <c r="F5114" t="s">
        <v>6570</v>
      </c>
    </row>
    <row r="5115" spans="1:6" x14ac:dyDescent="0.25">
      <c r="A5115" t="s">
        <v>6446</v>
      </c>
      <c r="B5115" t="s">
        <v>331</v>
      </c>
      <c r="C5115" t="s">
        <v>332</v>
      </c>
      <c r="D5115" t="str">
        <f>HYPERLINK("http://service.sap.com/sap/support/notes/1803692","1803692")</f>
        <v>1803692</v>
      </c>
    </row>
    <row r="5116" spans="1:6" x14ac:dyDescent="0.25">
      <c r="A5116" t="s">
        <v>6446</v>
      </c>
      <c r="B5116" t="s">
        <v>331</v>
      </c>
      <c r="C5116" t="s">
        <v>332</v>
      </c>
      <c r="D5116" t="str">
        <f>HYPERLINK("http://service.sap.com/sap/support/notes/1810980","1810980")</f>
        <v>1810980</v>
      </c>
    </row>
    <row r="5117" spans="1:6" x14ac:dyDescent="0.25">
      <c r="A5117" t="s">
        <v>6446</v>
      </c>
      <c r="B5117" t="s">
        <v>331</v>
      </c>
      <c r="C5117" t="s">
        <v>332</v>
      </c>
      <c r="D5117" t="str">
        <f>HYPERLINK("http://service.sap.com/sap/support/notes/1812503","1812503")</f>
        <v>1812503</v>
      </c>
    </row>
    <row r="5118" spans="1:6" x14ac:dyDescent="0.25">
      <c r="A5118" t="s">
        <v>6446</v>
      </c>
      <c r="B5118" t="s">
        <v>331</v>
      </c>
      <c r="C5118" t="s">
        <v>332</v>
      </c>
      <c r="D5118" t="str">
        <f>HYPERLINK("http://service.sap.com/sap/support/notes/1815539","1815539")</f>
        <v>1815539</v>
      </c>
      <c r="E5118">
        <v>1</v>
      </c>
      <c r="F5118" t="s">
        <v>6571</v>
      </c>
    </row>
    <row r="5119" spans="1:6" x14ac:dyDescent="0.25">
      <c r="A5119" t="s">
        <v>6446</v>
      </c>
      <c r="B5119" t="s">
        <v>331</v>
      </c>
      <c r="C5119" t="s">
        <v>332</v>
      </c>
      <c r="D5119" t="str">
        <f>HYPERLINK("http://service.sap.com/sap/support/notes/1822027","1822027")</f>
        <v>1822027</v>
      </c>
      <c r="E5119">
        <v>1</v>
      </c>
      <c r="F5119" t="s">
        <v>6572</v>
      </c>
    </row>
    <row r="5120" spans="1:6" x14ac:dyDescent="0.25">
      <c r="A5120" t="s">
        <v>6446</v>
      </c>
      <c r="B5120" t="s">
        <v>331</v>
      </c>
      <c r="C5120" t="s">
        <v>332</v>
      </c>
      <c r="D5120" t="str">
        <f>HYPERLINK("http://service.sap.com/sap/support/notes/1825136","1825136")</f>
        <v>1825136</v>
      </c>
      <c r="E5120">
        <v>1</v>
      </c>
      <c r="F5120" t="s">
        <v>6573</v>
      </c>
    </row>
    <row r="5121" spans="1:6" x14ac:dyDescent="0.25">
      <c r="A5121" t="s">
        <v>6446</v>
      </c>
      <c r="B5121" t="s">
        <v>335</v>
      </c>
      <c r="C5121" t="s">
        <v>336</v>
      </c>
      <c r="D5121" t="str">
        <f>HYPERLINK("http://service.sap.com/sap/support/notes/1819321","1819321")</f>
        <v>1819321</v>
      </c>
      <c r="E5121">
        <v>1</v>
      </c>
      <c r="F5121" t="s">
        <v>6574</v>
      </c>
    </row>
    <row r="5122" spans="1:6" x14ac:dyDescent="0.25">
      <c r="A5122" t="s">
        <v>6446</v>
      </c>
      <c r="B5122" t="s">
        <v>6575</v>
      </c>
      <c r="C5122" t="s">
        <v>6576</v>
      </c>
    </row>
    <row r="5123" spans="1:6" x14ac:dyDescent="0.25">
      <c r="A5123" t="s">
        <v>6446</v>
      </c>
      <c r="B5123" t="s">
        <v>6577</v>
      </c>
      <c r="C5123" t="s">
        <v>6578</v>
      </c>
      <c r="D5123" t="str">
        <f>HYPERLINK("http://service.sap.com/sap/support/notes/1813741","1813741")</f>
        <v>1813741</v>
      </c>
      <c r="E5123">
        <v>1</v>
      </c>
      <c r="F5123" t="s">
        <v>6579</v>
      </c>
    </row>
    <row r="5124" spans="1:6" x14ac:dyDescent="0.25">
      <c r="A5124" t="s">
        <v>6446</v>
      </c>
      <c r="B5124" t="s">
        <v>4296</v>
      </c>
      <c r="C5124" t="s">
        <v>6580</v>
      </c>
      <c r="D5124" t="str">
        <f>HYPERLINK("http://service.sap.com/sap/support/notes/1797916","1797916")</f>
        <v>1797916</v>
      </c>
      <c r="E5124">
        <v>2</v>
      </c>
      <c r="F5124" t="s">
        <v>6581</v>
      </c>
    </row>
    <row r="5125" spans="1:6" x14ac:dyDescent="0.25">
      <c r="A5125" t="s">
        <v>6446</v>
      </c>
      <c r="B5125" t="s">
        <v>338</v>
      </c>
      <c r="C5125" t="s">
        <v>339</v>
      </c>
    </row>
    <row r="5126" spans="1:6" x14ac:dyDescent="0.25">
      <c r="A5126" t="s">
        <v>6446</v>
      </c>
      <c r="B5126" t="s">
        <v>340</v>
      </c>
      <c r="C5126" t="s">
        <v>341</v>
      </c>
    </row>
    <row r="5127" spans="1:6" x14ac:dyDescent="0.25">
      <c r="A5127" t="s">
        <v>6446</v>
      </c>
      <c r="B5127" t="s">
        <v>342</v>
      </c>
      <c r="C5127" t="s">
        <v>343</v>
      </c>
      <c r="D5127" t="str">
        <f>HYPERLINK("http://service.sap.com/sap/support/notes/1813495","1813495")</f>
        <v>1813495</v>
      </c>
      <c r="E5127">
        <v>3</v>
      </c>
      <c r="F5127" t="s">
        <v>6582</v>
      </c>
    </row>
    <row r="5128" spans="1:6" x14ac:dyDescent="0.25">
      <c r="A5128" t="s">
        <v>6446</v>
      </c>
      <c r="B5128" t="s">
        <v>342</v>
      </c>
      <c r="C5128" t="s">
        <v>343</v>
      </c>
      <c r="D5128" t="str">
        <f>HYPERLINK("http://service.sap.com/sap/support/notes/1814238","1814238")</f>
        <v>1814238</v>
      </c>
      <c r="E5128">
        <v>2</v>
      </c>
      <c r="F5128" t="s">
        <v>6583</v>
      </c>
    </row>
    <row r="5129" spans="1:6" x14ac:dyDescent="0.25">
      <c r="A5129" t="s">
        <v>6446</v>
      </c>
      <c r="B5129" t="s">
        <v>347</v>
      </c>
      <c r="C5129" t="s">
        <v>348</v>
      </c>
      <c r="D5129" t="str">
        <f>HYPERLINK("http://service.sap.com/sap/support/notes/1798778","1798778")</f>
        <v>1798778</v>
      </c>
      <c r="E5129">
        <v>2</v>
      </c>
      <c r="F5129" t="s">
        <v>4307</v>
      </c>
    </row>
    <row r="5130" spans="1:6" x14ac:dyDescent="0.25">
      <c r="A5130" t="s">
        <v>6446</v>
      </c>
      <c r="B5130" t="s">
        <v>347</v>
      </c>
      <c r="C5130" t="s">
        <v>348</v>
      </c>
      <c r="D5130" t="str">
        <f>HYPERLINK("http://service.sap.com/sap/support/notes/1803516","1803516")</f>
        <v>1803516</v>
      </c>
      <c r="E5130">
        <v>2</v>
      </c>
      <c r="F5130" t="s">
        <v>6584</v>
      </c>
    </row>
    <row r="5131" spans="1:6" x14ac:dyDescent="0.25">
      <c r="A5131" t="s">
        <v>6446</v>
      </c>
      <c r="B5131" t="s">
        <v>356</v>
      </c>
      <c r="C5131" t="s">
        <v>357</v>
      </c>
      <c r="D5131" t="str">
        <f>HYPERLINK("http://service.sap.com/sap/support/notes/1788969","1788969")</f>
        <v>1788969</v>
      </c>
      <c r="E5131">
        <v>2</v>
      </c>
      <c r="F5131" t="s">
        <v>359</v>
      </c>
    </row>
    <row r="5132" spans="1:6" x14ac:dyDescent="0.25">
      <c r="A5132" t="s">
        <v>6446</v>
      </c>
      <c r="B5132" t="s">
        <v>356</v>
      </c>
      <c r="C5132" t="s">
        <v>357</v>
      </c>
      <c r="D5132" t="str">
        <f>HYPERLINK("http://service.sap.com/sap/support/notes/1789155","1789155")</f>
        <v>1789155</v>
      </c>
      <c r="E5132">
        <v>3</v>
      </c>
      <c r="F5132" t="s">
        <v>6585</v>
      </c>
    </row>
    <row r="5133" spans="1:6" x14ac:dyDescent="0.25">
      <c r="A5133" t="s">
        <v>6446</v>
      </c>
      <c r="B5133" t="s">
        <v>356</v>
      </c>
      <c r="C5133" t="s">
        <v>357</v>
      </c>
      <c r="D5133" t="str">
        <f>HYPERLINK("http://service.sap.com/sap/support/notes/1809423","1809423")</f>
        <v>1809423</v>
      </c>
      <c r="E5133">
        <v>3</v>
      </c>
      <c r="F5133" t="s">
        <v>6586</v>
      </c>
    </row>
    <row r="5134" spans="1:6" x14ac:dyDescent="0.25">
      <c r="A5134" t="s">
        <v>6446</v>
      </c>
      <c r="B5134" t="s">
        <v>356</v>
      </c>
      <c r="C5134" t="s">
        <v>357</v>
      </c>
      <c r="D5134" t="str">
        <f>HYPERLINK("http://service.sap.com/sap/support/notes/1811195","1811195")</f>
        <v>1811195</v>
      </c>
      <c r="E5134">
        <v>2</v>
      </c>
      <c r="F5134" t="s">
        <v>6587</v>
      </c>
    </row>
    <row r="5135" spans="1:6" x14ac:dyDescent="0.25">
      <c r="A5135" t="s">
        <v>6446</v>
      </c>
      <c r="B5135" t="s">
        <v>356</v>
      </c>
      <c r="C5135" t="s">
        <v>357</v>
      </c>
      <c r="D5135" t="str">
        <f>HYPERLINK("http://service.sap.com/sap/support/notes/1818113","1818113")</f>
        <v>1818113</v>
      </c>
      <c r="E5135">
        <v>1</v>
      </c>
      <c r="F5135" t="s">
        <v>6588</v>
      </c>
    </row>
    <row r="5136" spans="1:6" x14ac:dyDescent="0.25">
      <c r="A5136" t="s">
        <v>6446</v>
      </c>
      <c r="B5136" t="s">
        <v>376</v>
      </c>
      <c r="C5136" t="s">
        <v>377</v>
      </c>
      <c r="D5136" t="str">
        <f>HYPERLINK("http://service.sap.com/sap/support/notes/1801777","1801777")</f>
        <v>1801777</v>
      </c>
      <c r="E5136">
        <v>1</v>
      </c>
      <c r="F5136" t="s">
        <v>6589</v>
      </c>
    </row>
    <row r="5137" spans="1:6" x14ac:dyDescent="0.25">
      <c r="A5137" t="s">
        <v>6446</v>
      </c>
      <c r="B5137" t="s">
        <v>376</v>
      </c>
      <c r="C5137" t="s">
        <v>377</v>
      </c>
      <c r="D5137" t="str">
        <f>HYPERLINK("http://service.sap.com/sap/support/notes/1819548","1819548")</f>
        <v>1819548</v>
      </c>
      <c r="E5137">
        <v>2</v>
      </c>
      <c r="F5137" t="s">
        <v>6590</v>
      </c>
    </row>
    <row r="5138" spans="1:6" x14ac:dyDescent="0.25">
      <c r="A5138" t="s">
        <v>6446</v>
      </c>
      <c r="B5138" t="s">
        <v>383</v>
      </c>
      <c r="C5138" t="s">
        <v>384</v>
      </c>
      <c r="D5138" t="str">
        <f>HYPERLINK("http://service.sap.com/sap/support/notes/1824433","1824433")</f>
        <v>1824433</v>
      </c>
      <c r="E5138">
        <v>3</v>
      </c>
      <c r="F5138" t="s">
        <v>6591</v>
      </c>
    </row>
    <row r="5139" spans="1:6" x14ac:dyDescent="0.25">
      <c r="A5139" t="s">
        <v>6446</v>
      </c>
      <c r="B5139" t="s">
        <v>389</v>
      </c>
      <c r="C5139" t="s">
        <v>390</v>
      </c>
    </row>
    <row r="5140" spans="1:6" x14ac:dyDescent="0.25">
      <c r="A5140" t="s">
        <v>6446</v>
      </c>
      <c r="B5140" t="s">
        <v>396</v>
      </c>
      <c r="C5140" t="s">
        <v>397</v>
      </c>
    </row>
    <row r="5141" spans="1:6" x14ac:dyDescent="0.25">
      <c r="A5141" t="s">
        <v>6446</v>
      </c>
      <c r="B5141" t="s">
        <v>398</v>
      </c>
      <c r="C5141" t="s">
        <v>399</v>
      </c>
      <c r="D5141" t="str">
        <f>HYPERLINK("http://service.sap.com/sap/support/notes/1783288","1783288")</f>
        <v>1783288</v>
      </c>
      <c r="E5141">
        <v>3</v>
      </c>
      <c r="F5141" t="s">
        <v>6592</v>
      </c>
    </row>
    <row r="5142" spans="1:6" x14ac:dyDescent="0.25">
      <c r="A5142" t="s">
        <v>6446</v>
      </c>
      <c r="B5142" t="s">
        <v>6593</v>
      </c>
      <c r="C5142" t="s">
        <v>6594</v>
      </c>
      <c r="D5142" t="str">
        <f>HYPERLINK("http://service.sap.com/sap/support/notes/1774633","1774633")</f>
        <v>1774633</v>
      </c>
      <c r="E5142">
        <v>1</v>
      </c>
      <c r="F5142" t="s">
        <v>6595</v>
      </c>
    </row>
    <row r="5143" spans="1:6" x14ac:dyDescent="0.25">
      <c r="A5143" t="s">
        <v>6446</v>
      </c>
      <c r="B5143" t="s">
        <v>401</v>
      </c>
      <c r="C5143" t="s">
        <v>183</v>
      </c>
    </row>
    <row r="5144" spans="1:6" x14ac:dyDescent="0.25">
      <c r="A5144" t="s">
        <v>6446</v>
      </c>
      <c r="B5144" t="s">
        <v>403</v>
      </c>
      <c r="C5144" t="s">
        <v>185</v>
      </c>
      <c r="D5144" t="str">
        <f>HYPERLINK("http://service.sap.com/sap/support/notes/1654755","1654755")</f>
        <v>1654755</v>
      </c>
      <c r="E5144">
        <v>1</v>
      </c>
      <c r="F5144" t="s">
        <v>406</v>
      </c>
    </row>
    <row r="5145" spans="1:6" x14ac:dyDescent="0.25">
      <c r="A5145" t="s">
        <v>6446</v>
      </c>
      <c r="B5145" t="s">
        <v>403</v>
      </c>
      <c r="C5145" t="s">
        <v>185</v>
      </c>
      <c r="D5145" t="str">
        <f>HYPERLINK("http://service.sap.com/sap/support/notes/1792540","1792540")</f>
        <v>1792540</v>
      </c>
      <c r="E5145">
        <v>1</v>
      </c>
      <c r="F5145" t="s">
        <v>6596</v>
      </c>
    </row>
    <row r="5146" spans="1:6" x14ac:dyDescent="0.25">
      <c r="A5146" t="s">
        <v>6446</v>
      </c>
      <c r="B5146" t="s">
        <v>403</v>
      </c>
      <c r="C5146" t="s">
        <v>185</v>
      </c>
      <c r="D5146" t="str">
        <f>HYPERLINK("http://service.sap.com/sap/support/notes/1795661","1795661")</f>
        <v>1795661</v>
      </c>
      <c r="E5146">
        <v>8</v>
      </c>
      <c r="F5146" t="s">
        <v>4328</v>
      </c>
    </row>
    <row r="5147" spans="1:6" x14ac:dyDescent="0.25">
      <c r="A5147" t="s">
        <v>6446</v>
      </c>
      <c r="B5147" t="s">
        <v>403</v>
      </c>
      <c r="C5147" t="s">
        <v>185</v>
      </c>
      <c r="D5147" t="str">
        <f>HYPERLINK("http://service.sap.com/sap/support/notes/1799377","1799377")</f>
        <v>1799377</v>
      </c>
      <c r="E5147">
        <v>2</v>
      </c>
      <c r="F5147" t="s">
        <v>6597</v>
      </c>
    </row>
    <row r="5148" spans="1:6" x14ac:dyDescent="0.25">
      <c r="A5148" t="s">
        <v>6446</v>
      </c>
      <c r="B5148" t="s">
        <v>403</v>
      </c>
      <c r="C5148" t="s">
        <v>185</v>
      </c>
      <c r="D5148" t="str">
        <f>HYPERLINK("http://service.sap.com/sap/support/notes/1802370","1802370")</f>
        <v>1802370</v>
      </c>
      <c r="E5148">
        <v>1</v>
      </c>
      <c r="F5148" t="s">
        <v>6598</v>
      </c>
    </row>
    <row r="5149" spans="1:6" x14ac:dyDescent="0.25">
      <c r="A5149" t="s">
        <v>6446</v>
      </c>
      <c r="B5149" t="s">
        <v>403</v>
      </c>
      <c r="C5149" t="s">
        <v>185</v>
      </c>
      <c r="D5149" t="str">
        <f>HYPERLINK("http://service.sap.com/sap/support/notes/1808490","1808490")</f>
        <v>1808490</v>
      </c>
      <c r="E5149">
        <v>1</v>
      </c>
      <c r="F5149" t="s">
        <v>6599</v>
      </c>
    </row>
    <row r="5150" spans="1:6" x14ac:dyDescent="0.25">
      <c r="A5150" t="s">
        <v>6446</v>
      </c>
      <c r="B5150" t="s">
        <v>403</v>
      </c>
      <c r="C5150" t="s">
        <v>185</v>
      </c>
      <c r="D5150" t="str">
        <f>HYPERLINK("http://service.sap.com/sap/support/notes/1813237","1813237")</f>
        <v>1813237</v>
      </c>
      <c r="E5150">
        <v>2</v>
      </c>
      <c r="F5150" t="s">
        <v>6600</v>
      </c>
    </row>
    <row r="5151" spans="1:6" x14ac:dyDescent="0.25">
      <c r="A5151" t="s">
        <v>6446</v>
      </c>
      <c r="B5151" t="s">
        <v>403</v>
      </c>
      <c r="C5151" t="s">
        <v>185</v>
      </c>
      <c r="D5151" t="str">
        <f>HYPERLINK("http://service.sap.com/sap/support/notes/1823593","1823593")</f>
        <v>1823593</v>
      </c>
      <c r="E5151">
        <v>2</v>
      </c>
      <c r="F5151" t="s">
        <v>6601</v>
      </c>
    </row>
    <row r="5152" spans="1:6" x14ac:dyDescent="0.25">
      <c r="A5152" t="s">
        <v>6446</v>
      </c>
      <c r="B5152" t="s">
        <v>403</v>
      </c>
      <c r="C5152" t="s">
        <v>185</v>
      </c>
      <c r="D5152" t="str">
        <f>HYPERLINK("http://service.sap.com/sap/support/notes/1824620","1824620")</f>
        <v>1824620</v>
      </c>
      <c r="E5152">
        <v>5</v>
      </c>
      <c r="F5152" t="s">
        <v>6602</v>
      </c>
    </row>
    <row r="5153" spans="1:6" x14ac:dyDescent="0.25">
      <c r="A5153" t="s">
        <v>6446</v>
      </c>
      <c r="B5153" t="s">
        <v>403</v>
      </c>
      <c r="C5153" t="s">
        <v>185</v>
      </c>
      <c r="D5153" t="str">
        <f>HYPERLINK("http://service.sap.com/sap/support/notes/1827331","1827331")</f>
        <v>1827331</v>
      </c>
      <c r="E5153">
        <v>1</v>
      </c>
      <c r="F5153" t="s">
        <v>6603</v>
      </c>
    </row>
    <row r="5154" spans="1:6" x14ac:dyDescent="0.25">
      <c r="A5154" t="s">
        <v>6446</v>
      </c>
      <c r="B5154" t="s">
        <v>403</v>
      </c>
      <c r="C5154" t="s">
        <v>185</v>
      </c>
      <c r="D5154" t="str">
        <f>HYPERLINK("http://service.sap.com/sap/support/notes/1828994","1828994")</f>
        <v>1828994</v>
      </c>
      <c r="E5154">
        <v>3</v>
      </c>
      <c r="F5154" t="s">
        <v>6604</v>
      </c>
    </row>
    <row r="5155" spans="1:6" x14ac:dyDescent="0.25">
      <c r="A5155" t="s">
        <v>6446</v>
      </c>
      <c r="B5155" t="s">
        <v>423</v>
      </c>
      <c r="C5155" t="s">
        <v>424</v>
      </c>
      <c r="D5155" t="str">
        <f>HYPERLINK("http://service.sap.com/sap/support/notes/1714709","1714709")</f>
        <v>1714709</v>
      </c>
      <c r="E5155">
        <v>2</v>
      </c>
      <c r="F5155" t="s">
        <v>6605</v>
      </c>
    </row>
    <row r="5156" spans="1:6" x14ac:dyDescent="0.25">
      <c r="A5156" t="s">
        <v>6446</v>
      </c>
      <c r="B5156" t="s">
        <v>423</v>
      </c>
      <c r="C5156" t="s">
        <v>424</v>
      </c>
      <c r="D5156" t="str">
        <f>HYPERLINK("http://service.sap.com/sap/support/notes/1808345","1808345")</f>
        <v>1808345</v>
      </c>
      <c r="E5156">
        <v>1</v>
      </c>
      <c r="F5156" t="s">
        <v>6606</v>
      </c>
    </row>
    <row r="5157" spans="1:6" x14ac:dyDescent="0.25">
      <c r="A5157" t="s">
        <v>6446</v>
      </c>
      <c r="B5157" t="s">
        <v>423</v>
      </c>
      <c r="C5157" t="s">
        <v>424</v>
      </c>
      <c r="D5157" t="str">
        <f>HYPERLINK("http://service.sap.com/sap/support/notes/1812805","1812805")</f>
        <v>1812805</v>
      </c>
      <c r="E5157">
        <v>1</v>
      </c>
      <c r="F5157" t="s">
        <v>6607</v>
      </c>
    </row>
    <row r="5158" spans="1:6" x14ac:dyDescent="0.25">
      <c r="A5158" t="s">
        <v>6446</v>
      </c>
      <c r="B5158" t="s">
        <v>6608</v>
      </c>
      <c r="C5158" t="s">
        <v>29</v>
      </c>
      <c r="D5158" t="str">
        <f>HYPERLINK("http://service.sap.com/sap/support/notes/1676789","1676789")</f>
        <v>1676789</v>
      </c>
      <c r="E5158">
        <v>2</v>
      </c>
      <c r="F5158" t="s">
        <v>6609</v>
      </c>
    </row>
    <row r="5159" spans="1:6" x14ac:dyDescent="0.25">
      <c r="A5159" t="s">
        <v>6446</v>
      </c>
      <c r="B5159" t="s">
        <v>430</v>
      </c>
      <c r="C5159" t="s">
        <v>431</v>
      </c>
      <c r="D5159" t="str">
        <f>HYPERLINK("http://service.sap.com/sap/support/notes/1715301","1715301")</f>
        <v>1715301</v>
      </c>
      <c r="E5159">
        <v>4</v>
      </c>
      <c r="F5159" t="s">
        <v>6610</v>
      </c>
    </row>
    <row r="5160" spans="1:6" x14ac:dyDescent="0.25">
      <c r="A5160" t="s">
        <v>6446</v>
      </c>
      <c r="B5160" t="s">
        <v>430</v>
      </c>
      <c r="C5160" t="s">
        <v>431</v>
      </c>
      <c r="D5160" t="str">
        <f>HYPERLINK("http://service.sap.com/sap/support/notes/1803996","1803996")</f>
        <v>1803996</v>
      </c>
      <c r="E5160">
        <v>2</v>
      </c>
      <c r="F5160" t="s">
        <v>6611</v>
      </c>
    </row>
    <row r="5161" spans="1:6" x14ac:dyDescent="0.25">
      <c r="A5161" t="s">
        <v>6446</v>
      </c>
      <c r="B5161" t="s">
        <v>436</v>
      </c>
      <c r="C5161" t="s">
        <v>437</v>
      </c>
    </row>
    <row r="5162" spans="1:6" x14ac:dyDescent="0.25">
      <c r="A5162" t="s">
        <v>6446</v>
      </c>
      <c r="B5162" t="s">
        <v>438</v>
      </c>
      <c r="C5162" t="s">
        <v>431</v>
      </c>
      <c r="D5162" t="str">
        <f>HYPERLINK("http://service.sap.com/sap/support/notes/1758234","1758234")</f>
        <v>1758234</v>
      </c>
      <c r="E5162">
        <v>2</v>
      </c>
      <c r="F5162" t="s">
        <v>6612</v>
      </c>
    </row>
    <row r="5163" spans="1:6" x14ac:dyDescent="0.25">
      <c r="A5163" t="s">
        <v>6446</v>
      </c>
      <c r="B5163" t="s">
        <v>438</v>
      </c>
      <c r="C5163" t="s">
        <v>431</v>
      </c>
      <c r="D5163" t="str">
        <f>HYPERLINK("http://service.sap.com/sap/support/notes/1763335","1763335")</f>
        <v>1763335</v>
      </c>
      <c r="E5163">
        <v>3</v>
      </c>
      <c r="F5163" t="s">
        <v>6613</v>
      </c>
    </row>
    <row r="5164" spans="1:6" x14ac:dyDescent="0.25">
      <c r="A5164" t="s">
        <v>6446</v>
      </c>
      <c r="B5164" t="s">
        <v>438</v>
      </c>
      <c r="C5164" t="s">
        <v>431</v>
      </c>
      <c r="D5164" t="str">
        <f>HYPERLINK("http://service.sap.com/sap/support/notes/1797439","1797439")</f>
        <v>1797439</v>
      </c>
      <c r="E5164">
        <v>2</v>
      </c>
      <c r="F5164" t="s">
        <v>6614</v>
      </c>
    </row>
    <row r="5165" spans="1:6" x14ac:dyDescent="0.25">
      <c r="A5165" t="s">
        <v>6446</v>
      </c>
      <c r="B5165" t="s">
        <v>438</v>
      </c>
      <c r="C5165" t="s">
        <v>431</v>
      </c>
      <c r="D5165" t="str">
        <f>HYPERLINK("http://service.sap.com/sap/support/notes/1814492","1814492")</f>
        <v>1814492</v>
      </c>
      <c r="E5165">
        <v>1</v>
      </c>
      <c r="F5165" t="s">
        <v>6615</v>
      </c>
    </row>
    <row r="5166" spans="1:6" x14ac:dyDescent="0.25">
      <c r="A5166" t="s">
        <v>6446</v>
      </c>
      <c r="B5166" t="s">
        <v>442</v>
      </c>
      <c r="C5166" t="s">
        <v>443</v>
      </c>
    </row>
    <row r="5167" spans="1:6" x14ac:dyDescent="0.25">
      <c r="A5167" t="s">
        <v>6446</v>
      </c>
      <c r="B5167" t="s">
        <v>4333</v>
      </c>
      <c r="C5167" t="s">
        <v>29</v>
      </c>
      <c r="D5167" t="str">
        <f>HYPERLINK("http://service.sap.com/sap/support/notes/1802330","1802330")</f>
        <v>1802330</v>
      </c>
      <c r="E5167">
        <v>1</v>
      </c>
      <c r="F5167" t="s">
        <v>6616</v>
      </c>
    </row>
    <row r="5168" spans="1:6" x14ac:dyDescent="0.25">
      <c r="A5168" t="s">
        <v>6446</v>
      </c>
      <c r="B5168" t="s">
        <v>4333</v>
      </c>
      <c r="C5168" t="s">
        <v>29</v>
      </c>
      <c r="D5168" t="str">
        <f>HYPERLINK("http://service.sap.com/sap/support/notes/1821522","1821522")</f>
        <v>1821522</v>
      </c>
      <c r="E5168">
        <v>1</v>
      </c>
      <c r="F5168" t="s">
        <v>6617</v>
      </c>
    </row>
    <row r="5169" spans="1:6" x14ac:dyDescent="0.25">
      <c r="A5169" t="s">
        <v>6446</v>
      </c>
      <c r="B5169" t="s">
        <v>444</v>
      </c>
      <c r="C5169" t="s">
        <v>445</v>
      </c>
      <c r="D5169" t="str">
        <f>HYPERLINK("http://service.sap.com/sap/support/notes/1731471","1731471")</f>
        <v>1731471</v>
      </c>
      <c r="E5169">
        <v>1</v>
      </c>
      <c r="F5169" t="s">
        <v>447</v>
      </c>
    </row>
    <row r="5170" spans="1:6" x14ac:dyDescent="0.25">
      <c r="A5170" t="s">
        <v>6446</v>
      </c>
      <c r="B5170" t="s">
        <v>444</v>
      </c>
      <c r="C5170" t="s">
        <v>445</v>
      </c>
      <c r="D5170" t="str">
        <f>HYPERLINK("http://service.sap.com/sap/support/notes/1789010","1789010")</f>
        <v>1789010</v>
      </c>
      <c r="E5170">
        <v>1</v>
      </c>
      <c r="F5170" t="s">
        <v>6618</v>
      </c>
    </row>
    <row r="5171" spans="1:6" x14ac:dyDescent="0.25">
      <c r="A5171" t="s">
        <v>6446</v>
      </c>
      <c r="B5171" t="s">
        <v>444</v>
      </c>
      <c r="C5171" t="s">
        <v>445</v>
      </c>
      <c r="D5171" t="str">
        <f>HYPERLINK("http://service.sap.com/sap/support/notes/1827754","1827754")</f>
        <v>1827754</v>
      </c>
      <c r="E5171">
        <v>1</v>
      </c>
      <c r="F5171" t="s">
        <v>6619</v>
      </c>
    </row>
    <row r="5172" spans="1:6" x14ac:dyDescent="0.25">
      <c r="A5172" t="s">
        <v>6446</v>
      </c>
      <c r="B5172" t="s">
        <v>450</v>
      </c>
      <c r="C5172" t="s">
        <v>451</v>
      </c>
      <c r="D5172" t="str">
        <f>HYPERLINK("http://service.sap.com/sap/support/notes/1799320","1799320")</f>
        <v>1799320</v>
      </c>
      <c r="E5172">
        <v>1</v>
      </c>
      <c r="F5172" t="s">
        <v>6620</v>
      </c>
    </row>
    <row r="5173" spans="1:6" x14ac:dyDescent="0.25">
      <c r="A5173" t="s">
        <v>6446</v>
      </c>
      <c r="B5173" t="s">
        <v>450</v>
      </c>
      <c r="C5173" t="s">
        <v>451</v>
      </c>
      <c r="D5173" t="str">
        <f>HYPERLINK("http://service.sap.com/sap/support/notes/1800177","1800177")</f>
        <v>1800177</v>
      </c>
      <c r="E5173">
        <v>3</v>
      </c>
      <c r="F5173" t="s">
        <v>6621</v>
      </c>
    </row>
    <row r="5174" spans="1:6" x14ac:dyDescent="0.25">
      <c r="A5174" t="s">
        <v>6446</v>
      </c>
      <c r="B5174" t="s">
        <v>456</v>
      </c>
      <c r="C5174" t="s">
        <v>431</v>
      </c>
      <c r="D5174" t="str">
        <f>HYPERLINK("http://service.sap.com/sap/support/notes/1727968","1727968")</f>
        <v>1727968</v>
      </c>
      <c r="E5174">
        <v>2</v>
      </c>
      <c r="F5174" t="s">
        <v>6622</v>
      </c>
    </row>
    <row r="5175" spans="1:6" x14ac:dyDescent="0.25">
      <c r="A5175" t="s">
        <v>6446</v>
      </c>
      <c r="B5175" t="s">
        <v>456</v>
      </c>
      <c r="C5175" t="s">
        <v>431</v>
      </c>
      <c r="D5175" t="str">
        <f>HYPERLINK("http://service.sap.com/sap/support/notes/1789980","1789980")</f>
        <v>1789980</v>
      </c>
      <c r="E5175">
        <v>2</v>
      </c>
      <c r="F5175" t="s">
        <v>6623</v>
      </c>
    </row>
    <row r="5176" spans="1:6" x14ac:dyDescent="0.25">
      <c r="A5176" t="s">
        <v>6446</v>
      </c>
      <c r="B5176" t="s">
        <v>456</v>
      </c>
      <c r="C5176" t="s">
        <v>431</v>
      </c>
      <c r="D5176" t="str">
        <f>HYPERLINK("http://service.sap.com/sap/support/notes/1796792","1796792")</f>
        <v>1796792</v>
      </c>
      <c r="E5176">
        <v>1</v>
      </c>
      <c r="F5176" t="s">
        <v>6624</v>
      </c>
    </row>
    <row r="5177" spans="1:6" x14ac:dyDescent="0.25">
      <c r="A5177" t="s">
        <v>6446</v>
      </c>
      <c r="B5177" t="s">
        <v>456</v>
      </c>
      <c r="C5177" t="s">
        <v>431</v>
      </c>
      <c r="D5177" t="str">
        <f>HYPERLINK("http://service.sap.com/sap/support/notes/1807602","1807602")</f>
        <v>1807602</v>
      </c>
      <c r="E5177">
        <v>1</v>
      </c>
      <c r="F5177" t="s">
        <v>6625</v>
      </c>
    </row>
    <row r="5178" spans="1:6" x14ac:dyDescent="0.25">
      <c r="A5178" t="s">
        <v>6446</v>
      </c>
      <c r="B5178" t="s">
        <v>456</v>
      </c>
      <c r="C5178" t="s">
        <v>431</v>
      </c>
      <c r="D5178" t="str">
        <f>HYPERLINK("http://service.sap.com/sap/support/notes/1809596","1809596")</f>
        <v>1809596</v>
      </c>
      <c r="E5178">
        <v>1</v>
      </c>
      <c r="F5178" t="s">
        <v>6626</v>
      </c>
    </row>
    <row r="5179" spans="1:6" x14ac:dyDescent="0.25">
      <c r="A5179" t="s">
        <v>6446</v>
      </c>
      <c r="B5179" t="s">
        <v>456</v>
      </c>
      <c r="C5179" t="s">
        <v>431</v>
      </c>
      <c r="D5179" t="str">
        <f>HYPERLINK("http://service.sap.com/sap/support/notes/1828278","1828278")</f>
        <v>1828278</v>
      </c>
      <c r="E5179">
        <v>1</v>
      </c>
      <c r="F5179" t="s">
        <v>6627</v>
      </c>
    </row>
    <row r="5180" spans="1:6" x14ac:dyDescent="0.25">
      <c r="A5180" t="s">
        <v>6446</v>
      </c>
      <c r="B5180" t="s">
        <v>469</v>
      </c>
      <c r="C5180" t="s">
        <v>6628</v>
      </c>
      <c r="D5180" t="str">
        <f>HYPERLINK("http://service.sap.com/sap/support/notes/1793941","1793941")</f>
        <v>1793941</v>
      </c>
      <c r="E5180">
        <v>1</v>
      </c>
      <c r="F5180" t="s">
        <v>6629</v>
      </c>
    </row>
    <row r="5181" spans="1:6" x14ac:dyDescent="0.25">
      <c r="A5181" t="s">
        <v>6446</v>
      </c>
      <c r="B5181" t="s">
        <v>6630</v>
      </c>
      <c r="C5181" t="s">
        <v>29</v>
      </c>
      <c r="D5181" t="str">
        <f>HYPERLINK("http://service.sap.com/sap/support/notes/1803444","1803444")</f>
        <v>1803444</v>
      </c>
      <c r="E5181">
        <v>1</v>
      </c>
      <c r="F5181" t="s">
        <v>6631</v>
      </c>
    </row>
    <row r="5182" spans="1:6" x14ac:dyDescent="0.25">
      <c r="A5182" t="s">
        <v>6446</v>
      </c>
      <c r="B5182" t="s">
        <v>471</v>
      </c>
      <c r="C5182" t="s">
        <v>451</v>
      </c>
      <c r="D5182" t="str">
        <f>HYPERLINK("http://service.sap.com/sap/support/notes/945634","945634")</f>
        <v>945634</v>
      </c>
      <c r="E5182">
        <v>8</v>
      </c>
      <c r="F5182" t="s">
        <v>6632</v>
      </c>
    </row>
    <row r="5183" spans="1:6" x14ac:dyDescent="0.25">
      <c r="A5183" t="s">
        <v>6446</v>
      </c>
      <c r="B5183" t="s">
        <v>471</v>
      </c>
      <c r="C5183" t="s">
        <v>451</v>
      </c>
      <c r="D5183" t="str">
        <f>HYPERLINK("http://service.sap.com/sap/support/notes/1797225","1797225")</f>
        <v>1797225</v>
      </c>
      <c r="E5183">
        <v>1</v>
      </c>
      <c r="F5183" t="s">
        <v>6633</v>
      </c>
    </row>
    <row r="5184" spans="1:6" x14ac:dyDescent="0.25">
      <c r="A5184" t="s">
        <v>6446</v>
      </c>
      <c r="B5184" t="s">
        <v>471</v>
      </c>
      <c r="C5184" t="s">
        <v>451</v>
      </c>
      <c r="D5184" t="str">
        <f>HYPERLINK("http://service.sap.com/sap/support/notes/1807934","1807934")</f>
        <v>1807934</v>
      </c>
      <c r="E5184">
        <v>1</v>
      </c>
      <c r="F5184" t="s">
        <v>6634</v>
      </c>
    </row>
    <row r="5185" spans="1:6" x14ac:dyDescent="0.25">
      <c r="A5185" t="s">
        <v>6446</v>
      </c>
      <c r="B5185" t="s">
        <v>473</v>
      </c>
      <c r="C5185" t="s">
        <v>474</v>
      </c>
      <c r="D5185" t="str">
        <f>HYPERLINK("http://service.sap.com/sap/support/notes/1808214","1808214")</f>
        <v>1808214</v>
      </c>
      <c r="E5185">
        <v>2</v>
      </c>
      <c r="F5185" t="s">
        <v>6635</v>
      </c>
    </row>
    <row r="5186" spans="1:6" x14ac:dyDescent="0.25">
      <c r="A5186" t="s">
        <v>6446</v>
      </c>
      <c r="B5186" t="s">
        <v>473</v>
      </c>
      <c r="C5186" t="s">
        <v>474</v>
      </c>
      <c r="D5186" t="str">
        <f>HYPERLINK("http://service.sap.com/sap/support/notes/1811475","1811475")</f>
        <v>1811475</v>
      </c>
      <c r="E5186">
        <v>1</v>
      </c>
      <c r="F5186" t="s">
        <v>6636</v>
      </c>
    </row>
    <row r="5187" spans="1:6" x14ac:dyDescent="0.25">
      <c r="A5187" t="s">
        <v>6446</v>
      </c>
      <c r="B5187" t="s">
        <v>473</v>
      </c>
      <c r="C5187" t="s">
        <v>474</v>
      </c>
      <c r="D5187" t="str">
        <f>HYPERLINK("http://service.sap.com/sap/support/notes/1815005","1815005")</f>
        <v>1815005</v>
      </c>
      <c r="E5187">
        <v>3</v>
      </c>
      <c r="F5187" t="s">
        <v>6637</v>
      </c>
    </row>
    <row r="5188" spans="1:6" x14ac:dyDescent="0.25">
      <c r="A5188" t="s">
        <v>6446</v>
      </c>
      <c r="B5188" t="s">
        <v>473</v>
      </c>
      <c r="C5188" t="s">
        <v>474</v>
      </c>
      <c r="D5188" t="str">
        <f>HYPERLINK("http://service.sap.com/sap/support/notes/1826290","1826290")</f>
        <v>1826290</v>
      </c>
      <c r="E5188">
        <v>1</v>
      </c>
      <c r="F5188" t="s">
        <v>6638</v>
      </c>
    </row>
    <row r="5189" spans="1:6" x14ac:dyDescent="0.25">
      <c r="A5189" t="s">
        <v>6446</v>
      </c>
      <c r="B5189" t="s">
        <v>473</v>
      </c>
      <c r="C5189" t="s">
        <v>474</v>
      </c>
      <c r="D5189" t="str">
        <f>HYPERLINK("http://service.sap.com/sap/support/notes/1827106","1827106")</f>
        <v>1827106</v>
      </c>
      <c r="E5189">
        <v>1</v>
      </c>
      <c r="F5189" t="s">
        <v>6639</v>
      </c>
    </row>
    <row r="5190" spans="1:6" x14ac:dyDescent="0.25">
      <c r="A5190" t="s">
        <v>6446</v>
      </c>
      <c r="B5190" t="s">
        <v>479</v>
      </c>
      <c r="C5190" t="s">
        <v>480</v>
      </c>
      <c r="D5190" t="str">
        <f>HYPERLINK("http://service.sap.com/sap/support/notes/1814451","1814451")</f>
        <v>1814451</v>
      </c>
      <c r="E5190">
        <v>1</v>
      </c>
      <c r="F5190" t="s">
        <v>6640</v>
      </c>
    </row>
    <row r="5191" spans="1:6" x14ac:dyDescent="0.25">
      <c r="A5191" t="s">
        <v>6446</v>
      </c>
      <c r="B5191" t="s">
        <v>481</v>
      </c>
      <c r="C5191" t="s">
        <v>29</v>
      </c>
      <c r="D5191" t="str">
        <f>HYPERLINK("http://service.sap.com/sap/support/notes/1744098","1744098")</f>
        <v>1744098</v>
      </c>
      <c r="E5191">
        <v>2</v>
      </c>
      <c r="F5191" t="s">
        <v>6641</v>
      </c>
    </row>
    <row r="5192" spans="1:6" x14ac:dyDescent="0.25">
      <c r="A5192" t="s">
        <v>6446</v>
      </c>
      <c r="B5192" t="s">
        <v>481</v>
      </c>
      <c r="C5192" t="s">
        <v>29</v>
      </c>
      <c r="D5192" t="str">
        <f>HYPERLINK("http://service.sap.com/sap/support/notes/1786752","1786752")</f>
        <v>1786752</v>
      </c>
      <c r="E5192">
        <v>2</v>
      </c>
      <c r="F5192" t="s">
        <v>6642</v>
      </c>
    </row>
    <row r="5193" spans="1:6" x14ac:dyDescent="0.25">
      <c r="A5193" t="s">
        <v>6446</v>
      </c>
      <c r="B5193" t="s">
        <v>485</v>
      </c>
      <c r="C5193" t="s">
        <v>445</v>
      </c>
      <c r="D5193" t="str">
        <f>HYPERLINK("http://service.sap.com/sap/support/notes/1820075","1820075")</f>
        <v>1820075</v>
      </c>
      <c r="E5193">
        <v>1</v>
      </c>
      <c r="F5193" t="s">
        <v>6643</v>
      </c>
    </row>
    <row r="5194" spans="1:6" x14ac:dyDescent="0.25">
      <c r="A5194" t="s">
        <v>6446</v>
      </c>
      <c r="B5194" t="s">
        <v>489</v>
      </c>
      <c r="C5194" t="s">
        <v>490</v>
      </c>
      <c r="D5194" t="str">
        <f>HYPERLINK("http://service.sap.com/sap/support/notes/1786845","1786845")</f>
        <v>1786845</v>
      </c>
      <c r="E5194">
        <v>2</v>
      </c>
      <c r="F5194" t="s">
        <v>6644</v>
      </c>
    </row>
    <row r="5195" spans="1:6" x14ac:dyDescent="0.25">
      <c r="A5195" t="s">
        <v>6446</v>
      </c>
      <c r="B5195" t="s">
        <v>501</v>
      </c>
      <c r="C5195" t="s">
        <v>502</v>
      </c>
      <c r="D5195" t="str">
        <f>HYPERLINK("http://service.sap.com/sap/support/notes/1811111","1811111")</f>
        <v>1811111</v>
      </c>
      <c r="E5195">
        <v>2</v>
      </c>
      <c r="F5195" t="s">
        <v>6645</v>
      </c>
    </row>
    <row r="5196" spans="1:6" x14ac:dyDescent="0.25">
      <c r="A5196" t="s">
        <v>6446</v>
      </c>
      <c r="B5196" t="s">
        <v>504</v>
      </c>
      <c r="C5196" t="s">
        <v>431</v>
      </c>
      <c r="D5196" t="str">
        <f>HYPERLINK("http://service.sap.com/sap/support/notes/1396759","1396759")</f>
        <v>1396759</v>
      </c>
      <c r="E5196">
        <v>6</v>
      </c>
      <c r="F5196" t="s">
        <v>6646</v>
      </c>
    </row>
    <row r="5197" spans="1:6" x14ac:dyDescent="0.25">
      <c r="A5197" t="s">
        <v>6446</v>
      </c>
      <c r="B5197" t="s">
        <v>504</v>
      </c>
      <c r="C5197" t="s">
        <v>431</v>
      </c>
      <c r="D5197" t="str">
        <f>HYPERLINK("http://service.sap.com/sap/support/notes/1663310","1663310")</f>
        <v>1663310</v>
      </c>
      <c r="E5197">
        <v>3</v>
      </c>
      <c r="F5197" t="s">
        <v>6647</v>
      </c>
    </row>
    <row r="5198" spans="1:6" x14ac:dyDescent="0.25">
      <c r="A5198" t="s">
        <v>6446</v>
      </c>
      <c r="B5198" t="s">
        <v>504</v>
      </c>
      <c r="C5198" t="s">
        <v>431</v>
      </c>
      <c r="D5198" t="str">
        <f>HYPERLINK("http://service.sap.com/sap/support/notes/1781241","1781241")</f>
        <v>1781241</v>
      </c>
      <c r="E5198">
        <v>3</v>
      </c>
      <c r="F5198" t="s">
        <v>6648</v>
      </c>
    </row>
    <row r="5199" spans="1:6" x14ac:dyDescent="0.25">
      <c r="A5199" t="s">
        <v>6446</v>
      </c>
      <c r="B5199" t="s">
        <v>504</v>
      </c>
      <c r="C5199" t="s">
        <v>431</v>
      </c>
      <c r="D5199" t="str">
        <f>HYPERLINK("http://service.sap.com/sap/support/notes/1796594","1796594")</f>
        <v>1796594</v>
      </c>
      <c r="E5199">
        <v>1</v>
      </c>
      <c r="F5199" t="s">
        <v>4365</v>
      </c>
    </row>
    <row r="5200" spans="1:6" x14ac:dyDescent="0.25">
      <c r="A5200" t="s">
        <v>6446</v>
      </c>
      <c r="B5200" t="s">
        <v>504</v>
      </c>
      <c r="C5200" t="s">
        <v>431</v>
      </c>
      <c r="D5200" t="str">
        <f>HYPERLINK("http://service.sap.com/sap/support/notes/1801172","1801172")</f>
        <v>1801172</v>
      </c>
      <c r="E5200">
        <v>1</v>
      </c>
      <c r="F5200" t="s">
        <v>6649</v>
      </c>
    </row>
    <row r="5201" spans="1:6" x14ac:dyDescent="0.25">
      <c r="A5201" t="s">
        <v>6446</v>
      </c>
      <c r="B5201" t="s">
        <v>504</v>
      </c>
      <c r="C5201" t="s">
        <v>431</v>
      </c>
      <c r="D5201" t="str">
        <f>HYPERLINK("http://service.sap.com/sap/support/notes/1804749","1804749")</f>
        <v>1804749</v>
      </c>
      <c r="E5201">
        <v>2</v>
      </c>
      <c r="F5201" t="s">
        <v>508</v>
      </c>
    </row>
    <row r="5202" spans="1:6" x14ac:dyDescent="0.25">
      <c r="A5202" t="s">
        <v>6446</v>
      </c>
      <c r="B5202" t="s">
        <v>504</v>
      </c>
      <c r="C5202" t="s">
        <v>431</v>
      </c>
      <c r="D5202" t="str">
        <f>HYPERLINK("http://service.sap.com/sap/support/notes/1806521","1806521")</f>
        <v>1806521</v>
      </c>
      <c r="E5202">
        <v>1</v>
      </c>
      <c r="F5202" t="s">
        <v>6650</v>
      </c>
    </row>
    <row r="5203" spans="1:6" x14ac:dyDescent="0.25">
      <c r="A5203" t="s">
        <v>6446</v>
      </c>
      <c r="B5203" t="s">
        <v>504</v>
      </c>
      <c r="C5203" t="s">
        <v>431</v>
      </c>
      <c r="D5203" t="str">
        <f>HYPERLINK("http://service.sap.com/sap/support/notes/1825834","1825834")</f>
        <v>1825834</v>
      </c>
      <c r="E5203">
        <v>2</v>
      </c>
      <c r="F5203" t="s">
        <v>6651</v>
      </c>
    </row>
    <row r="5204" spans="1:6" x14ac:dyDescent="0.25">
      <c r="A5204" t="s">
        <v>6446</v>
      </c>
      <c r="B5204" t="s">
        <v>519</v>
      </c>
      <c r="C5204" t="s">
        <v>190</v>
      </c>
      <c r="D5204" t="str">
        <f>HYPERLINK("http://service.sap.com/sap/support/notes/1730428","1730428")</f>
        <v>1730428</v>
      </c>
      <c r="E5204">
        <v>2</v>
      </c>
      <c r="F5204" t="s">
        <v>4370</v>
      </c>
    </row>
    <row r="5205" spans="1:6" x14ac:dyDescent="0.25">
      <c r="A5205" t="s">
        <v>6446</v>
      </c>
      <c r="B5205" t="s">
        <v>519</v>
      </c>
      <c r="C5205" t="s">
        <v>190</v>
      </c>
      <c r="D5205" t="str">
        <f>HYPERLINK("http://service.sap.com/sap/support/notes/1761277","1761277")</f>
        <v>1761277</v>
      </c>
      <c r="E5205">
        <v>4</v>
      </c>
      <c r="F5205" t="s">
        <v>6652</v>
      </c>
    </row>
    <row r="5206" spans="1:6" x14ac:dyDescent="0.25">
      <c r="A5206" t="s">
        <v>6446</v>
      </c>
      <c r="B5206" t="s">
        <v>519</v>
      </c>
      <c r="C5206" t="s">
        <v>190</v>
      </c>
      <c r="D5206" t="str">
        <f>HYPERLINK("http://service.sap.com/sap/support/notes/1791632","1791632")</f>
        <v>1791632</v>
      </c>
      <c r="E5206">
        <v>3</v>
      </c>
      <c r="F5206" t="s">
        <v>6653</v>
      </c>
    </row>
    <row r="5207" spans="1:6" x14ac:dyDescent="0.25">
      <c r="A5207" t="s">
        <v>6446</v>
      </c>
      <c r="B5207" t="s">
        <v>519</v>
      </c>
      <c r="C5207" t="s">
        <v>190</v>
      </c>
      <c r="D5207" t="str">
        <f>HYPERLINK("http://service.sap.com/sap/support/notes/1800763","1800763")</f>
        <v>1800763</v>
      </c>
      <c r="E5207">
        <v>2</v>
      </c>
      <c r="F5207" t="s">
        <v>6654</v>
      </c>
    </row>
    <row r="5208" spans="1:6" x14ac:dyDescent="0.25">
      <c r="A5208" t="s">
        <v>6446</v>
      </c>
      <c r="B5208" t="s">
        <v>519</v>
      </c>
      <c r="C5208" t="s">
        <v>190</v>
      </c>
      <c r="D5208" t="str">
        <f>HYPERLINK("http://service.sap.com/sap/support/notes/1821555","1821555")</f>
        <v>1821555</v>
      </c>
      <c r="E5208">
        <v>2</v>
      </c>
      <c r="F5208" t="s">
        <v>6655</v>
      </c>
    </row>
    <row r="5209" spans="1:6" x14ac:dyDescent="0.25">
      <c r="A5209" t="s">
        <v>6446</v>
      </c>
      <c r="B5209" t="s">
        <v>519</v>
      </c>
      <c r="C5209" t="s">
        <v>190</v>
      </c>
      <c r="D5209" t="str">
        <f>HYPERLINK("http://service.sap.com/sap/support/notes/1826337","1826337")</f>
        <v>1826337</v>
      </c>
      <c r="E5209">
        <v>1</v>
      </c>
      <c r="F5209" t="s">
        <v>6656</v>
      </c>
    </row>
    <row r="5210" spans="1:6" x14ac:dyDescent="0.25">
      <c r="A5210" t="s">
        <v>6446</v>
      </c>
      <c r="B5210" t="s">
        <v>535</v>
      </c>
      <c r="C5210" t="s">
        <v>536</v>
      </c>
      <c r="D5210" t="str">
        <f>HYPERLINK("http://service.sap.com/sap/support/notes/1524362","1524362")</f>
        <v>1524362</v>
      </c>
      <c r="E5210">
        <v>5</v>
      </c>
      <c r="F5210" t="s">
        <v>6657</v>
      </c>
    </row>
    <row r="5211" spans="1:6" x14ac:dyDescent="0.25">
      <c r="A5211" t="s">
        <v>6446</v>
      </c>
      <c r="B5211" t="s">
        <v>535</v>
      </c>
      <c r="C5211" t="s">
        <v>536</v>
      </c>
      <c r="D5211" t="str">
        <f>HYPERLINK("http://service.sap.com/sap/support/notes/1802931","1802931")</f>
        <v>1802931</v>
      </c>
      <c r="E5211">
        <v>2</v>
      </c>
      <c r="F5211" t="s">
        <v>6658</v>
      </c>
    </row>
    <row r="5212" spans="1:6" x14ac:dyDescent="0.25">
      <c r="A5212" t="s">
        <v>6446</v>
      </c>
      <c r="B5212" t="s">
        <v>4381</v>
      </c>
      <c r="C5212" t="s">
        <v>824</v>
      </c>
      <c r="D5212" t="str">
        <f>HYPERLINK("http://service.sap.com/sap/support/notes/1820951","1820951")</f>
        <v>1820951</v>
      </c>
      <c r="E5212">
        <v>1</v>
      </c>
      <c r="F5212" t="s">
        <v>6659</v>
      </c>
    </row>
    <row r="5213" spans="1:6" x14ac:dyDescent="0.25">
      <c r="A5213" t="s">
        <v>6446</v>
      </c>
      <c r="B5213" t="s">
        <v>543</v>
      </c>
      <c r="C5213" t="s">
        <v>29</v>
      </c>
      <c r="D5213" t="str">
        <f>HYPERLINK("http://service.sap.com/sap/support/notes/1791660","1791660")</f>
        <v>1791660</v>
      </c>
      <c r="E5213">
        <v>5</v>
      </c>
      <c r="F5213" t="s">
        <v>6660</v>
      </c>
    </row>
    <row r="5214" spans="1:6" x14ac:dyDescent="0.25">
      <c r="A5214" t="s">
        <v>6446</v>
      </c>
      <c r="B5214" t="s">
        <v>543</v>
      </c>
      <c r="C5214" t="s">
        <v>29</v>
      </c>
      <c r="D5214" t="str">
        <f>HYPERLINK("http://service.sap.com/sap/support/notes/1817542","1817542")</f>
        <v>1817542</v>
      </c>
      <c r="E5214">
        <v>1</v>
      </c>
      <c r="F5214" t="s">
        <v>6661</v>
      </c>
    </row>
    <row r="5215" spans="1:6" x14ac:dyDescent="0.25">
      <c r="A5215" t="s">
        <v>6446</v>
      </c>
      <c r="B5215" t="s">
        <v>553</v>
      </c>
      <c r="C5215" t="s">
        <v>554</v>
      </c>
    </row>
    <row r="5216" spans="1:6" x14ac:dyDescent="0.25">
      <c r="A5216" t="s">
        <v>6446</v>
      </c>
      <c r="B5216" t="s">
        <v>555</v>
      </c>
      <c r="C5216" t="s">
        <v>556</v>
      </c>
      <c r="D5216" t="str">
        <f>HYPERLINK("http://service.sap.com/sap/support/notes/1712543","1712543")</f>
        <v>1712543</v>
      </c>
      <c r="E5216">
        <v>2</v>
      </c>
      <c r="F5216" t="s">
        <v>6662</v>
      </c>
    </row>
    <row r="5217" spans="1:6" x14ac:dyDescent="0.25">
      <c r="A5217" t="s">
        <v>6446</v>
      </c>
      <c r="B5217" t="s">
        <v>555</v>
      </c>
      <c r="C5217" t="s">
        <v>556</v>
      </c>
      <c r="D5217" t="str">
        <f>HYPERLINK("http://service.sap.com/sap/support/notes/1744210","1744210")</f>
        <v>1744210</v>
      </c>
      <c r="E5217">
        <v>9</v>
      </c>
      <c r="F5217" t="s">
        <v>6663</v>
      </c>
    </row>
    <row r="5218" spans="1:6" x14ac:dyDescent="0.25">
      <c r="A5218" t="s">
        <v>6446</v>
      </c>
      <c r="B5218" t="s">
        <v>555</v>
      </c>
      <c r="C5218" t="s">
        <v>556</v>
      </c>
      <c r="D5218" t="str">
        <f>HYPERLINK("http://service.sap.com/sap/support/notes/1753346","1753346")</f>
        <v>1753346</v>
      </c>
      <c r="E5218">
        <v>2</v>
      </c>
      <c r="F5218" t="s">
        <v>6664</v>
      </c>
    </row>
    <row r="5219" spans="1:6" x14ac:dyDescent="0.25">
      <c r="A5219" t="s">
        <v>6446</v>
      </c>
      <c r="B5219" t="s">
        <v>555</v>
      </c>
      <c r="C5219" t="s">
        <v>556</v>
      </c>
      <c r="D5219" t="str">
        <f>HYPERLINK("http://service.sap.com/sap/support/notes/1765142","1765142")</f>
        <v>1765142</v>
      </c>
      <c r="E5219">
        <v>5</v>
      </c>
      <c r="F5219" t="s">
        <v>6665</v>
      </c>
    </row>
    <row r="5220" spans="1:6" x14ac:dyDescent="0.25">
      <c r="A5220" t="s">
        <v>6446</v>
      </c>
      <c r="B5220" t="s">
        <v>555</v>
      </c>
      <c r="C5220" t="s">
        <v>556</v>
      </c>
      <c r="D5220" t="str">
        <f>HYPERLINK("http://service.sap.com/sap/support/notes/1787931","1787931")</f>
        <v>1787931</v>
      </c>
    </row>
    <row r="5221" spans="1:6" x14ac:dyDescent="0.25">
      <c r="A5221" t="s">
        <v>6446</v>
      </c>
      <c r="B5221" t="s">
        <v>555</v>
      </c>
      <c r="C5221" t="s">
        <v>556</v>
      </c>
      <c r="D5221" t="str">
        <f>HYPERLINK("http://service.sap.com/sap/support/notes/1789761","1789761")</f>
        <v>1789761</v>
      </c>
      <c r="E5221">
        <v>2</v>
      </c>
      <c r="F5221" t="s">
        <v>6666</v>
      </c>
    </row>
    <row r="5222" spans="1:6" x14ac:dyDescent="0.25">
      <c r="A5222" t="s">
        <v>6446</v>
      </c>
      <c r="B5222" t="s">
        <v>555</v>
      </c>
      <c r="C5222" t="s">
        <v>556</v>
      </c>
      <c r="D5222" t="str">
        <f>HYPERLINK("http://service.sap.com/sap/support/notes/1791724","1791724")</f>
        <v>1791724</v>
      </c>
      <c r="E5222">
        <v>4</v>
      </c>
      <c r="F5222" t="s">
        <v>6667</v>
      </c>
    </row>
    <row r="5223" spans="1:6" x14ac:dyDescent="0.25">
      <c r="A5223" t="s">
        <v>6446</v>
      </c>
      <c r="B5223" t="s">
        <v>555</v>
      </c>
      <c r="C5223" t="s">
        <v>556</v>
      </c>
      <c r="D5223" t="str">
        <f>HYPERLINK("http://service.sap.com/sap/support/notes/1795008","1795008")</f>
        <v>1795008</v>
      </c>
    </row>
    <row r="5224" spans="1:6" x14ac:dyDescent="0.25">
      <c r="A5224" t="s">
        <v>6446</v>
      </c>
      <c r="B5224" t="s">
        <v>555</v>
      </c>
      <c r="C5224" t="s">
        <v>556</v>
      </c>
      <c r="D5224" t="str">
        <f>HYPERLINK("http://service.sap.com/sap/support/notes/1798201","1798201")</f>
        <v>1798201</v>
      </c>
      <c r="E5224">
        <v>3</v>
      </c>
      <c r="F5224" t="s">
        <v>6668</v>
      </c>
    </row>
    <row r="5225" spans="1:6" x14ac:dyDescent="0.25">
      <c r="A5225" t="s">
        <v>6446</v>
      </c>
      <c r="B5225" t="s">
        <v>555</v>
      </c>
      <c r="C5225" t="s">
        <v>556</v>
      </c>
      <c r="D5225" t="str">
        <f>HYPERLINK("http://service.sap.com/sap/support/notes/1801171","1801171")</f>
        <v>1801171</v>
      </c>
      <c r="E5225">
        <v>2</v>
      </c>
      <c r="F5225" t="s">
        <v>6669</v>
      </c>
    </row>
    <row r="5226" spans="1:6" x14ac:dyDescent="0.25">
      <c r="A5226" t="s">
        <v>6446</v>
      </c>
      <c r="B5226" t="s">
        <v>555</v>
      </c>
      <c r="C5226" t="s">
        <v>556</v>
      </c>
      <c r="D5226" t="str">
        <f>HYPERLINK("http://service.sap.com/sap/support/notes/1801738","1801738")</f>
        <v>1801738</v>
      </c>
      <c r="E5226">
        <v>7</v>
      </c>
      <c r="F5226" t="s">
        <v>6670</v>
      </c>
    </row>
    <row r="5227" spans="1:6" x14ac:dyDescent="0.25">
      <c r="A5227" t="s">
        <v>6446</v>
      </c>
      <c r="B5227" t="s">
        <v>555</v>
      </c>
      <c r="C5227" t="s">
        <v>556</v>
      </c>
      <c r="D5227" t="str">
        <f>HYPERLINK("http://service.sap.com/sap/support/notes/1809530","1809530")</f>
        <v>1809530</v>
      </c>
    </row>
    <row r="5228" spans="1:6" x14ac:dyDescent="0.25">
      <c r="A5228" t="s">
        <v>6446</v>
      </c>
      <c r="B5228" t="s">
        <v>555</v>
      </c>
      <c r="C5228" t="s">
        <v>556</v>
      </c>
      <c r="D5228" t="str">
        <f>HYPERLINK("http://service.sap.com/sap/support/notes/1809717","1809717")</f>
        <v>1809717</v>
      </c>
      <c r="E5228">
        <v>3</v>
      </c>
      <c r="F5228" t="s">
        <v>6671</v>
      </c>
    </row>
    <row r="5229" spans="1:6" x14ac:dyDescent="0.25">
      <c r="A5229" t="s">
        <v>6446</v>
      </c>
      <c r="B5229" t="s">
        <v>555</v>
      </c>
      <c r="C5229" t="s">
        <v>556</v>
      </c>
      <c r="D5229" t="str">
        <f>HYPERLINK("http://service.sap.com/sap/support/notes/1809968","1809968")</f>
        <v>1809968</v>
      </c>
      <c r="E5229">
        <v>2</v>
      </c>
      <c r="F5229" t="s">
        <v>6672</v>
      </c>
    </row>
    <row r="5230" spans="1:6" x14ac:dyDescent="0.25">
      <c r="A5230" t="s">
        <v>6446</v>
      </c>
      <c r="B5230" t="s">
        <v>555</v>
      </c>
      <c r="C5230" t="s">
        <v>556</v>
      </c>
      <c r="D5230" t="str">
        <f>HYPERLINK("http://service.sap.com/sap/support/notes/1814521","1814521")</f>
        <v>1814521</v>
      </c>
    </row>
    <row r="5231" spans="1:6" x14ac:dyDescent="0.25">
      <c r="A5231" t="s">
        <v>6446</v>
      </c>
      <c r="B5231" t="s">
        <v>576</v>
      </c>
      <c r="C5231" t="s">
        <v>577</v>
      </c>
      <c r="D5231" t="str">
        <f>HYPERLINK("http://service.sap.com/sap/support/notes/1787340","1787340")</f>
        <v>1787340</v>
      </c>
      <c r="E5231">
        <v>2</v>
      </c>
      <c r="F5231" t="s">
        <v>6673</v>
      </c>
    </row>
    <row r="5232" spans="1:6" x14ac:dyDescent="0.25">
      <c r="A5232" t="s">
        <v>6446</v>
      </c>
      <c r="B5232" t="s">
        <v>585</v>
      </c>
      <c r="C5232" t="s">
        <v>586</v>
      </c>
      <c r="D5232" t="str">
        <f>HYPERLINK("http://service.sap.com/sap/support/notes/1800610","1800610")</f>
        <v>1800610</v>
      </c>
      <c r="E5232">
        <v>1</v>
      </c>
      <c r="F5232" t="s">
        <v>6674</v>
      </c>
    </row>
    <row r="5233" spans="1:6" x14ac:dyDescent="0.25">
      <c r="A5233" t="s">
        <v>6446</v>
      </c>
      <c r="B5233" t="s">
        <v>585</v>
      </c>
      <c r="C5233" t="s">
        <v>586</v>
      </c>
      <c r="D5233" t="str">
        <f>HYPERLINK("http://service.sap.com/sap/support/notes/1800973","1800973")</f>
        <v>1800973</v>
      </c>
      <c r="E5233">
        <v>1</v>
      </c>
      <c r="F5233" t="s">
        <v>6675</v>
      </c>
    </row>
    <row r="5234" spans="1:6" x14ac:dyDescent="0.25">
      <c r="A5234" t="s">
        <v>6446</v>
      </c>
      <c r="B5234" t="s">
        <v>585</v>
      </c>
      <c r="C5234" t="s">
        <v>586</v>
      </c>
      <c r="D5234" t="str">
        <f>HYPERLINK("http://service.sap.com/sap/support/notes/1808543","1808543")</f>
        <v>1808543</v>
      </c>
      <c r="E5234">
        <v>1</v>
      </c>
      <c r="F5234" t="s">
        <v>6676</v>
      </c>
    </row>
    <row r="5235" spans="1:6" x14ac:dyDescent="0.25">
      <c r="A5235" t="s">
        <v>6446</v>
      </c>
      <c r="B5235" t="s">
        <v>585</v>
      </c>
      <c r="C5235" t="s">
        <v>586</v>
      </c>
      <c r="D5235" t="str">
        <f>HYPERLINK("http://service.sap.com/sap/support/notes/1814994","1814994")</f>
        <v>1814994</v>
      </c>
      <c r="E5235">
        <v>1</v>
      </c>
      <c r="F5235" t="s">
        <v>6677</v>
      </c>
    </row>
    <row r="5236" spans="1:6" x14ac:dyDescent="0.25">
      <c r="A5236" t="s">
        <v>6446</v>
      </c>
      <c r="B5236" t="s">
        <v>585</v>
      </c>
      <c r="C5236" t="s">
        <v>586</v>
      </c>
      <c r="D5236" t="str">
        <f>HYPERLINK("http://service.sap.com/sap/support/notes/1817039","1817039")</f>
        <v>1817039</v>
      </c>
      <c r="E5236">
        <v>2</v>
      </c>
      <c r="F5236" t="s">
        <v>6678</v>
      </c>
    </row>
    <row r="5237" spans="1:6" x14ac:dyDescent="0.25">
      <c r="A5237" t="s">
        <v>6446</v>
      </c>
      <c r="B5237" t="s">
        <v>585</v>
      </c>
      <c r="C5237" t="s">
        <v>586</v>
      </c>
      <c r="D5237" t="str">
        <f>HYPERLINK("http://service.sap.com/sap/support/notes/1831582","1831582")</f>
        <v>1831582</v>
      </c>
      <c r="E5237">
        <v>1</v>
      </c>
      <c r="F5237" t="s">
        <v>6679</v>
      </c>
    </row>
    <row r="5238" spans="1:6" x14ac:dyDescent="0.25">
      <c r="A5238" t="s">
        <v>6446</v>
      </c>
      <c r="B5238" t="s">
        <v>593</v>
      </c>
      <c r="C5238" t="s">
        <v>594</v>
      </c>
      <c r="D5238" t="str">
        <f>HYPERLINK("http://service.sap.com/sap/support/notes/416854","416854")</f>
        <v>416854</v>
      </c>
      <c r="E5238">
        <v>4</v>
      </c>
      <c r="F5238" t="s">
        <v>6680</v>
      </c>
    </row>
    <row r="5239" spans="1:6" x14ac:dyDescent="0.25">
      <c r="A5239" t="s">
        <v>6446</v>
      </c>
      <c r="B5239" t="s">
        <v>593</v>
      </c>
      <c r="C5239" t="s">
        <v>594</v>
      </c>
      <c r="D5239" t="str">
        <f>HYPERLINK("http://service.sap.com/sap/support/notes/1786913","1786913")</f>
        <v>1786913</v>
      </c>
      <c r="E5239">
        <v>1</v>
      </c>
      <c r="F5239" t="s">
        <v>6681</v>
      </c>
    </row>
    <row r="5240" spans="1:6" x14ac:dyDescent="0.25">
      <c r="A5240" t="s">
        <v>6446</v>
      </c>
      <c r="B5240" t="s">
        <v>593</v>
      </c>
      <c r="C5240" t="s">
        <v>594</v>
      </c>
      <c r="D5240" t="str">
        <f>HYPERLINK("http://service.sap.com/sap/support/notes/1799436","1799436")</f>
        <v>1799436</v>
      </c>
      <c r="E5240">
        <v>1</v>
      </c>
      <c r="F5240" t="s">
        <v>6682</v>
      </c>
    </row>
    <row r="5241" spans="1:6" x14ac:dyDescent="0.25">
      <c r="A5241" t="s">
        <v>6446</v>
      </c>
      <c r="B5241" t="s">
        <v>593</v>
      </c>
      <c r="C5241" t="s">
        <v>594</v>
      </c>
      <c r="D5241" t="str">
        <f>HYPERLINK("http://service.sap.com/sap/support/notes/1805655","1805655")</f>
        <v>1805655</v>
      </c>
      <c r="E5241">
        <v>2</v>
      </c>
      <c r="F5241" t="s">
        <v>6683</v>
      </c>
    </row>
    <row r="5242" spans="1:6" x14ac:dyDescent="0.25">
      <c r="A5242" t="s">
        <v>6446</v>
      </c>
      <c r="B5242" t="s">
        <v>593</v>
      </c>
      <c r="C5242" t="s">
        <v>594</v>
      </c>
      <c r="D5242" t="str">
        <f>HYPERLINK("http://service.sap.com/sap/support/notes/1812581","1812581")</f>
        <v>1812581</v>
      </c>
      <c r="E5242">
        <v>4</v>
      </c>
      <c r="F5242" t="s">
        <v>4442</v>
      </c>
    </row>
    <row r="5243" spans="1:6" x14ac:dyDescent="0.25">
      <c r="A5243" t="s">
        <v>6446</v>
      </c>
      <c r="B5243" t="s">
        <v>593</v>
      </c>
      <c r="C5243" t="s">
        <v>594</v>
      </c>
      <c r="D5243" t="str">
        <f>HYPERLINK("http://service.sap.com/sap/support/notes/1819453","1819453")</f>
        <v>1819453</v>
      </c>
      <c r="E5243">
        <v>1</v>
      </c>
      <c r="F5243" t="s">
        <v>6684</v>
      </c>
    </row>
    <row r="5244" spans="1:6" x14ac:dyDescent="0.25">
      <c r="A5244" t="s">
        <v>6446</v>
      </c>
      <c r="B5244" t="s">
        <v>593</v>
      </c>
      <c r="C5244" t="s">
        <v>594</v>
      </c>
      <c r="D5244" t="str">
        <f>HYPERLINK("http://service.sap.com/sap/support/notes/1821396","1821396")</f>
        <v>1821396</v>
      </c>
      <c r="E5244">
        <v>2</v>
      </c>
      <c r="F5244" t="s">
        <v>6685</v>
      </c>
    </row>
    <row r="5245" spans="1:6" x14ac:dyDescent="0.25">
      <c r="A5245" t="s">
        <v>6446</v>
      </c>
      <c r="B5245" t="s">
        <v>593</v>
      </c>
      <c r="C5245" t="s">
        <v>594</v>
      </c>
      <c r="D5245" t="str">
        <f>HYPERLINK("http://service.sap.com/sap/support/notes/1822522","1822522")</f>
        <v>1822522</v>
      </c>
      <c r="E5245">
        <v>1</v>
      </c>
      <c r="F5245" t="s">
        <v>6686</v>
      </c>
    </row>
    <row r="5246" spans="1:6" x14ac:dyDescent="0.25">
      <c r="A5246" t="s">
        <v>6446</v>
      </c>
      <c r="B5246" t="s">
        <v>593</v>
      </c>
      <c r="C5246" t="s">
        <v>594</v>
      </c>
      <c r="D5246" t="str">
        <f>HYPERLINK("http://service.sap.com/sap/support/notes/1822932","1822932")</f>
        <v>1822932</v>
      </c>
      <c r="E5246">
        <v>1</v>
      </c>
      <c r="F5246" t="s">
        <v>6687</v>
      </c>
    </row>
    <row r="5247" spans="1:6" x14ac:dyDescent="0.25">
      <c r="A5247" t="s">
        <v>6446</v>
      </c>
      <c r="B5247" t="s">
        <v>593</v>
      </c>
      <c r="C5247" t="s">
        <v>594</v>
      </c>
      <c r="D5247" t="str">
        <f>HYPERLINK("http://service.sap.com/sap/support/notes/1823981","1823981")</f>
        <v>1823981</v>
      </c>
      <c r="E5247">
        <v>1</v>
      </c>
      <c r="F5247" t="s">
        <v>6688</v>
      </c>
    </row>
    <row r="5248" spans="1:6" x14ac:dyDescent="0.25">
      <c r="A5248" t="s">
        <v>6446</v>
      </c>
      <c r="B5248" t="s">
        <v>593</v>
      </c>
      <c r="C5248" t="s">
        <v>594</v>
      </c>
      <c r="D5248" t="str">
        <f>HYPERLINK("http://service.sap.com/sap/support/notes/1826375","1826375")</f>
        <v>1826375</v>
      </c>
      <c r="E5248">
        <v>3</v>
      </c>
      <c r="F5248" t="s">
        <v>6689</v>
      </c>
    </row>
    <row r="5249" spans="1:6" x14ac:dyDescent="0.25">
      <c r="A5249" t="s">
        <v>6446</v>
      </c>
      <c r="B5249" t="s">
        <v>6690</v>
      </c>
      <c r="C5249" t="s">
        <v>6691</v>
      </c>
      <c r="D5249" t="str">
        <f>HYPERLINK("http://service.sap.com/sap/support/notes/1811554","1811554")</f>
        <v>1811554</v>
      </c>
      <c r="E5249">
        <v>1</v>
      </c>
      <c r="F5249" t="s">
        <v>6692</v>
      </c>
    </row>
    <row r="5250" spans="1:6" x14ac:dyDescent="0.25">
      <c r="A5250" t="s">
        <v>6446</v>
      </c>
      <c r="B5250" t="s">
        <v>4444</v>
      </c>
      <c r="C5250" t="s">
        <v>4445</v>
      </c>
      <c r="D5250" t="str">
        <f>HYPERLINK("http://service.sap.com/sap/support/notes/1790770","1790770")</f>
        <v>1790770</v>
      </c>
      <c r="E5250">
        <v>1</v>
      </c>
      <c r="F5250" t="s">
        <v>6693</v>
      </c>
    </row>
    <row r="5251" spans="1:6" x14ac:dyDescent="0.25">
      <c r="A5251" t="s">
        <v>6446</v>
      </c>
      <c r="B5251" t="s">
        <v>4444</v>
      </c>
      <c r="C5251" t="s">
        <v>4445</v>
      </c>
      <c r="D5251" t="str">
        <f>HYPERLINK("http://service.sap.com/sap/support/notes/1798591","1798591")</f>
        <v>1798591</v>
      </c>
      <c r="E5251">
        <v>1</v>
      </c>
      <c r="F5251" t="s">
        <v>6694</v>
      </c>
    </row>
    <row r="5252" spans="1:6" x14ac:dyDescent="0.25">
      <c r="A5252" t="s">
        <v>6446</v>
      </c>
      <c r="B5252" t="s">
        <v>4444</v>
      </c>
      <c r="C5252" t="s">
        <v>4445</v>
      </c>
      <c r="D5252" t="str">
        <f>HYPERLINK("http://service.sap.com/sap/support/notes/1801287","1801287")</f>
        <v>1801287</v>
      </c>
      <c r="E5252">
        <v>2</v>
      </c>
      <c r="F5252" t="s">
        <v>6695</v>
      </c>
    </row>
    <row r="5253" spans="1:6" x14ac:dyDescent="0.25">
      <c r="A5253" t="s">
        <v>6446</v>
      </c>
      <c r="B5253" t="s">
        <v>4444</v>
      </c>
      <c r="C5253" t="s">
        <v>4445</v>
      </c>
      <c r="D5253" t="str">
        <f>HYPERLINK("http://service.sap.com/sap/support/notes/1831113","1831113")</f>
        <v>1831113</v>
      </c>
      <c r="E5253">
        <v>1</v>
      </c>
      <c r="F5253" t="s">
        <v>6696</v>
      </c>
    </row>
    <row r="5254" spans="1:6" x14ac:dyDescent="0.25">
      <c r="A5254" t="s">
        <v>6446</v>
      </c>
      <c r="B5254" t="s">
        <v>4447</v>
      </c>
      <c r="C5254" t="s">
        <v>4448</v>
      </c>
      <c r="D5254" t="str">
        <f>HYPERLINK("http://service.sap.com/sap/support/notes/1824574","1824574")</f>
        <v>1824574</v>
      </c>
      <c r="E5254">
        <v>1</v>
      </c>
      <c r="F5254" t="s">
        <v>6697</v>
      </c>
    </row>
    <row r="5255" spans="1:6" x14ac:dyDescent="0.25">
      <c r="A5255" t="s">
        <v>6446</v>
      </c>
      <c r="B5255" t="s">
        <v>598</v>
      </c>
      <c r="C5255" t="s">
        <v>599</v>
      </c>
      <c r="D5255" t="str">
        <f>HYPERLINK("http://service.sap.com/sap/support/notes/1791666","1791666")</f>
        <v>1791666</v>
      </c>
      <c r="E5255">
        <v>1</v>
      </c>
      <c r="F5255" t="s">
        <v>6698</v>
      </c>
    </row>
    <row r="5256" spans="1:6" x14ac:dyDescent="0.25">
      <c r="A5256" t="s">
        <v>6446</v>
      </c>
      <c r="B5256" t="s">
        <v>598</v>
      </c>
      <c r="C5256" t="s">
        <v>599</v>
      </c>
      <c r="D5256" t="str">
        <f>HYPERLINK("http://service.sap.com/sap/support/notes/1794357","1794357")</f>
        <v>1794357</v>
      </c>
      <c r="E5256">
        <v>1</v>
      </c>
      <c r="F5256" t="s">
        <v>6699</v>
      </c>
    </row>
    <row r="5257" spans="1:6" x14ac:dyDescent="0.25">
      <c r="A5257" t="s">
        <v>6446</v>
      </c>
      <c r="B5257" t="s">
        <v>598</v>
      </c>
      <c r="C5257" t="s">
        <v>599</v>
      </c>
      <c r="D5257" t="str">
        <f>HYPERLINK("http://service.sap.com/sap/support/notes/1798874","1798874")</f>
        <v>1798874</v>
      </c>
      <c r="E5257">
        <v>1</v>
      </c>
      <c r="F5257" t="s">
        <v>6700</v>
      </c>
    </row>
    <row r="5258" spans="1:6" x14ac:dyDescent="0.25">
      <c r="A5258" t="s">
        <v>6446</v>
      </c>
      <c r="B5258" t="s">
        <v>598</v>
      </c>
      <c r="C5258" t="s">
        <v>599</v>
      </c>
      <c r="D5258" t="str">
        <f>HYPERLINK("http://service.sap.com/sap/support/notes/1800038","1800038")</f>
        <v>1800038</v>
      </c>
      <c r="E5258">
        <v>1</v>
      </c>
      <c r="F5258" t="s">
        <v>6701</v>
      </c>
    </row>
    <row r="5259" spans="1:6" x14ac:dyDescent="0.25">
      <c r="A5259" t="s">
        <v>6446</v>
      </c>
      <c r="B5259" t="s">
        <v>598</v>
      </c>
      <c r="C5259" t="s">
        <v>599</v>
      </c>
      <c r="D5259" t="str">
        <f>HYPERLINK("http://service.sap.com/sap/support/notes/1807351","1807351")</f>
        <v>1807351</v>
      </c>
      <c r="E5259">
        <v>1</v>
      </c>
      <c r="F5259" t="s">
        <v>6702</v>
      </c>
    </row>
    <row r="5260" spans="1:6" x14ac:dyDescent="0.25">
      <c r="A5260" t="s">
        <v>6446</v>
      </c>
      <c r="B5260" t="s">
        <v>598</v>
      </c>
      <c r="C5260" t="s">
        <v>599</v>
      </c>
      <c r="D5260" t="str">
        <f>HYPERLINK("http://service.sap.com/sap/support/notes/1810072","1810072")</f>
        <v>1810072</v>
      </c>
      <c r="E5260">
        <v>2</v>
      </c>
      <c r="F5260" t="s">
        <v>6703</v>
      </c>
    </row>
    <row r="5261" spans="1:6" x14ac:dyDescent="0.25">
      <c r="A5261" t="s">
        <v>6446</v>
      </c>
      <c r="B5261" t="s">
        <v>598</v>
      </c>
      <c r="C5261" t="s">
        <v>599</v>
      </c>
      <c r="D5261" t="str">
        <f>HYPERLINK("http://service.sap.com/sap/support/notes/1819102","1819102")</f>
        <v>1819102</v>
      </c>
      <c r="E5261">
        <v>1</v>
      </c>
      <c r="F5261" t="s">
        <v>6704</v>
      </c>
    </row>
    <row r="5262" spans="1:6" x14ac:dyDescent="0.25">
      <c r="A5262" t="s">
        <v>6446</v>
      </c>
      <c r="B5262" t="s">
        <v>598</v>
      </c>
      <c r="C5262" t="s">
        <v>599</v>
      </c>
      <c r="D5262" t="str">
        <f>HYPERLINK("http://service.sap.com/sap/support/notes/1825117","1825117")</f>
        <v>1825117</v>
      </c>
      <c r="E5262">
        <v>2</v>
      </c>
      <c r="F5262" t="s">
        <v>6705</v>
      </c>
    </row>
    <row r="5263" spans="1:6" x14ac:dyDescent="0.25">
      <c r="A5263" t="s">
        <v>6446</v>
      </c>
      <c r="B5263" t="s">
        <v>598</v>
      </c>
      <c r="C5263" t="s">
        <v>599</v>
      </c>
      <c r="D5263" t="str">
        <f>HYPERLINK("http://service.sap.com/sap/support/notes/1825683","1825683")</f>
        <v>1825683</v>
      </c>
      <c r="E5263">
        <v>1</v>
      </c>
      <c r="F5263" t="s">
        <v>6706</v>
      </c>
    </row>
    <row r="5264" spans="1:6" x14ac:dyDescent="0.25">
      <c r="A5264" t="s">
        <v>6446</v>
      </c>
      <c r="B5264" t="s">
        <v>116</v>
      </c>
      <c r="C5264" t="s">
        <v>117</v>
      </c>
    </row>
    <row r="5265" spans="1:6" x14ac:dyDescent="0.25">
      <c r="A5265" t="s">
        <v>6446</v>
      </c>
      <c r="B5265" t="s">
        <v>6707</v>
      </c>
      <c r="C5265" t="s">
        <v>151</v>
      </c>
    </row>
    <row r="5266" spans="1:6" x14ac:dyDescent="0.25">
      <c r="A5266" t="s">
        <v>6446</v>
      </c>
      <c r="B5266" t="s">
        <v>6708</v>
      </c>
      <c r="C5266" t="s">
        <v>6709</v>
      </c>
      <c r="D5266" t="str">
        <f>HYPERLINK("http://service.sap.com/sap/support/notes/1816449","1816449")</f>
        <v>1816449</v>
      </c>
      <c r="E5266">
        <v>2</v>
      </c>
      <c r="F5266" t="s">
        <v>6710</v>
      </c>
    </row>
    <row r="5267" spans="1:6" x14ac:dyDescent="0.25">
      <c r="A5267" t="s">
        <v>6446</v>
      </c>
      <c r="B5267" t="s">
        <v>6711</v>
      </c>
      <c r="C5267" t="s">
        <v>998</v>
      </c>
      <c r="D5267" t="str">
        <f>HYPERLINK("http://service.sap.com/sap/support/notes/1803253","1803253")</f>
        <v>1803253</v>
      </c>
    </row>
    <row r="5268" spans="1:6" x14ac:dyDescent="0.25">
      <c r="A5268" t="s">
        <v>6446</v>
      </c>
      <c r="B5268" t="s">
        <v>616</v>
      </c>
      <c r="C5268" t="s">
        <v>617</v>
      </c>
    </row>
    <row r="5269" spans="1:6" x14ac:dyDescent="0.25">
      <c r="A5269" t="s">
        <v>6446</v>
      </c>
      <c r="B5269" t="s">
        <v>618</v>
      </c>
      <c r="C5269" t="s">
        <v>619</v>
      </c>
    </row>
    <row r="5270" spans="1:6" x14ac:dyDescent="0.25">
      <c r="A5270" t="s">
        <v>6446</v>
      </c>
      <c r="B5270" t="s">
        <v>620</v>
      </c>
      <c r="C5270" t="s">
        <v>621</v>
      </c>
      <c r="D5270" t="str">
        <f>HYPERLINK("http://service.sap.com/sap/support/notes/1791248","1791248")</f>
        <v>1791248</v>
      </c>
      <c r="E5270">
        <v>1</v>
      </c>
      <c r="F5270" t="s">
        <v>6712</v>
      </c>
    </row>
    <row r="5271" spans="1:6" x14ac:dyDescent="0.25">
      <c r="A5271" t="s">
        <v>6446</v>
      </c>
      <c r="B5271" t="s">
        <v>626</v>
      </c>
      <c r="C5271" t="s">
        <v>627</v>
      </c>
      <c r="D5271" t="str">
        <f>HYPERLINK("http://service.sap.com/sap/support/notes/1791734","1791734")</f>
        <v>1791734</v>
      </c>
      <c r="E5271">
        <v>2</v>
      </c>
      <c r="F5271" t="s">
        <v>6713</v>
      </c>
    </row>
    <row r="5272" spans="1:6" x14ac:dyDescent="0.25">
      <c r="A5272" t="s">
        <v>6446</v>
      </c>
      <c r="B5272" t="s">
        <v>626</v>
      </c>
      <c r="C5272" t="s">
        <v>627</v>
      </c>
      <c r="D5272" t="str">
        <f>HYPERLINK("http://service.sap.com/sap/support/notes/1800294","1800294")</f>
        <v>1800294</v>
      </c>
      <c r="E5272">
        <v>8</v>
      </c>
      <c r="F5272" t="s">
        <v>6714</v>
      </c>
    </row>
    <row r="5273" spans="1:6" x14ac:dyDescent="0.25">
      <c r="A5273" t="s">
        <v>6446</v>
      </c>
      <c r="B5273" t="s">
        <v>630</v>
      </c>
      <c r="C5273" t="s">
        <v>624</v>
      </c>
      <c r="D5273" t="str">
        <f>HYPERLINK("http://service.sap.com/sap/support/notes/1772652","1772652")</f>
        <v>1772652</v>
      </c>
      <c r="E5273">
        <v>3</v>
      </c>
      <c r="F5273" t="s">
        <v>6715</v>
      </c>
    </row>
    <row r="5274" spans="1:6" x14ac:dyDescent="0.25">
      <c r="A5274" t="s">
        <v>6446</v>
      </c>
      <c r="B5274" t="s">
        <v>630</v>
      </c>
      <c r="C5274" t="s">
        <v>624</v>
      </c>
      <c r="D5274" t="str">
        <f>HYPERLINK("http://service.sap.com/sap/support/notes/1802481","1802481")</f>
        <v>1802481</v>
      </c>
      <c r="E5274">
        <v>2</v>
      </c>
      <c r="F5274" t="s">
        <v>6716</v>
      </c>
    </row>
    <row r="5275" spans="1:6" x14ac:dyDescent="0.25">
      <c r="A5275" t="s">
        <v>6446</v>
      </c>
      <c r="B5275" t="s">
        <v>4460</v>
      </c>
      <c r="C5275" t="s">
        <v>4461</v>
      </c>
    </row>
    <row r="5276" spans="1:6" x14ac:dyDescent="0.25">
      <c r="A5276" t="s">
        <v>6446</v>
      </c>
      <c r="B5276" t="s">
        <v>4462</v>
      </c>
      <c r="C5276" t="s">
        <v>4463</v>
      </c>
      <c r="D5276" t="str">
        <f>HYPERLINK("http://service.sap.com/sap/support/notes/1731372","1731372")</f>
        <v>1731372</v>
      </c>
      <c r="E5276">
        <v>5</v>
      </c>
      <c r="F5276" t="s">
        <v>6717</v>
      </c>
    </row>
    <row r="5277" spans="1:6" x14ac:dyDescent="0.25">
      <c r="A5277" t="s">
        <v>6446</v>
      </c>
      <c r="B5277" t="s">
        <v>632</v>
      </c>
      <c r="C5277" t="s">
        <v>633</v>
      </c>
      <c r="D5277" t="str">
        <f>HYPERLINK("http://service.sap.com/sap/support/notes/1801817","1801817")</f>
        <v>1801817</v>
      </c>
      <c r="E5277">
        <v>3</v>
      </c>
      <c r="F5277" t="s">
        <v>6718</v>
      </c>
    </row>
    <row r="5278" spans="1:6" x14ac:dyDescent="0.25">
      <c r="A5278" t="s">
        <v>6446</v>
      </c>
      <c r="B5278" t="s">
        <v>632</v>
      </c>
      <c r="C5278" t="s">
        <v>633</v>
      </c>
      <c r="D5278" t="str">
        <f>HYPERLINK("http://service.sap.com/sap/support/notes/1811323","1811323")</f>
        <v>1811323</v>
      </c>
      <c r="E5278">
        <v>2</v>
      </c>
      <c r="F5278" t="s">
        <v>6719</v>
      </c>
    </row>
    <row r="5279" spans="1:6" x14ac:dyDescent="0.25">
      <c r="A5279" t="s">
        <v>6446</v>
      </c>
      <c r="B5279" t="s">
        <v>4469</v>
      </c>
      <c r="C5279" t="s">
        <v>4470</v>
      </c>
    </row>
    <row r="5280" spans="1:6" x14ac:dyDescent="0.25">
      <c r="A5280" t="s">
        <v>6446</v>
      </c>
      <c r="B5280" t="s">
        <v>6720</v>
      </c>
      <c r="C5280" t="s">
        <v>3728</v>
      </c>
      <c r="D5280" t="str">
        <f>HYPERLINK("http://service.sap.com/sap/support/notes/1810353","1810353")</f>
        <v>1810353</v>
      </c>
      <c r="E5280">
        <v>1</v>
      </c>
      <c r="F5280" t="s">
        <v>6721</v>
      </c>
    </row>
    <row r="5281" spans="1:6" x14ac:dyDescent="0.25">
      <c r="A5281" t="s">
        <v>6446</v>
      </c>
      <c r="B5281" t="s">
        <v>655</v>
      </c>
      <c r="C5281" t="s">
        <v>29</v>
      </c>
    </row>
    <row r="5282" spans="1:6" x14ac:dyDescent="0.25">
      <c r="A5282" t="s">
        <v>6446</v>
      </c>
      <c r="B5282" t="s">
        <v>656</v>
      </c>
      <c r="C5282" t="s">
        <v>657</v>
      </c>
    </row>
    <row r="5283" spans="1:6" x14ac:dyDescent="0.25">
      <c r="A5283" t="s">
        <v>6446</v>
      </c>
      <c r="B5283" t="s">
        <v>658</v>
      </c>
      <c r="C5283" t="s">
        <v>659</v>
      </c>
      <c r="D5283" t="str">
        <f>HYPERLINK("http://service.sap.com/sap/support/notes/1782373","1782373")</f>
        <v>1782373</v>
      </c>
      <c r="E5283">
        <v>3</v>
      </c>
      <c r="F5283" t="s">
        <v>6722</v>
      </c>
    </row>
    <row r="5284" spans="1:6" x14ac:dyDescent="0.25">
      <c r="A5284" t="s">
        <v>6446</v>
      </c>
      <c r="B5284" t="s">
        <v>658</v>
      </c>
      <c r="C5284" t="s">
        <v>659</v>
      </c>
      <c r="D5284" t="str">
        <f>HYPERLINK("http://service.sap.com/sap/support/notes/1792985","1792985")</f>
        <v>1792985</v>
      </c>
      <c r="E5284">
        <v>2</v>
      </c>
      <c r="F5284" t="s">
        <v>6723</v>
      </c>
    </row>
    <row r="5285" spans="1:6" x14ac:dyDescent="0.25">
      <c r="A5285" t="s">
        <v>6446</v>
      </c>
      <c r="B5285" t="s">
        <v>658</v>
      </c>
      <c r="C5285" t="s">
        <v>659</v>
      </c>
      <c r="D5285" t="str">
        <f>HYPERLINK("http://service.sap.com/sap/support/notes/1794326","1794326")</f>
        <v>1794326</v>
      </c>
      <c r="E5285">
        <v>2</v>
      </c>
      <c r="F5285" t="s">
        <v>6724</v>
      </c>
    </row>
    <row r="5286" spans="1:6" x14ac:dyDescent="0.25">
      <c r="A5286" t="s">
        <v>6446</v>
      </c>
      <c r="B5286" t="s">
        <v>658</v>
      </c>
      <c r="C5286" t="s">
        <v>659</v>
      </c>
      <c r="D5286" t="str">
        <f>HYPERLINK("http://service.sap.com/sap/support/notes/1796833","1796833")</f>
        <v>1796833</v>
      </c>
      <c r="E5286">
        <v>7</v>
      </c>
      <c r="F5286" t="s">
        <v>6725</v>
      </c>
    </row>
    <row r="5287" spans="1:6" x14ac:dyDescent="0.25">
      <c r="A5287" t="s">
        <v>6446</v>
      </c>
      <c r="B5287" t="s">
        <v>4477</v>
      </c>
      <c r="C5287" t="s">
        <v>4478</v>
      </c>
    </row>
    <row r="5288" spans="1:6" x14ac:dyDescent="0.25">
      <c r="A5288" t="s">
        <v>6446</v>
      </c>
      <c r="B5288" t="s">
        <v>6726</v>
      </c>
      <c r="C5288" t="s">
        <v>6727</v>
      </c>
      <c r="D5288" t="str">
        <f>HYPERLINK("http://service.sap.com/sap/support/notes/1432758","1432758")</f>
        <v>1432758</v>
      </c>
      <c r="E5288">
        <v>6</v>
      </c>
      <c r="F5288" t="s">
        <v>6728</v>
      </c>
    </row>
    <row r="5289" spans="1:6" x14ac:dyDescent="0.25">
      <c r="A5289" t="s">
        <v>6446</v>
      </c>
      <c r="B5289" t="s">
        <v>6726</v>
      </c>
      <c r="C5289" t="s">
        <v>6727</v>
      </c>
      <c r="D5289" t="str">
        <f>HYPERLINK("http://service.sap.com/sap/support/notes/1790237","1790237")</f>
        <v>1790237</v>
      </c>
      <c r="E5289">
        <v>1</v>
      </c>
      <c r="F5289" t="s">
        <v>6729</v>
      </c>
    </row>
    <row r="5290" spans="1:6" x14ac:dyDescent="0.25">
      <c r="A5290" t="s">
        <v>6446</v>
      </c>
      <c r="B5290" t="s">
        <v>674</v>
      </c>
      <c r="C5290" t="s">
        <v>675</v>
      </c>
    </row>
    <row r="5291" spans="1:6" x14ac:dyDescent="0.25">
      <c r="A5291" t="s">
        <v>6446</v>
      </c>
      <c r="B5291" t="s">
        <v>4485</v>
      </c>
      <c r="C5291" t="s">
        <v>1588</v>
      </c>
    </row>
    <row r="5292" spans="1:6" x14ac:dyDescent="0.25">
      <c r="A5292" t="s">
        <v>6446</v>
      </c>
      <c r="B5292" t="s">
        <v>4486</v>
      </c>
      <c r="C5292" t="s">
        <v>657</v>
      </c>
      <c r="D5292" t="str">
        <f>HYPERLINK("http://service.sap.com/sap/support/notes/1799863","1799863")</f>
        <v>1799863</v>
      </c>
      <c r="E5292">
        <v>4</v>
      </c>
      <c r="F5292" t="s">
        <v>6730</v>
      </c>
    </row>
    <row r="5293" spans="1:6" x14ac:dyDescent="0.25">
      <c r="A5293" t="s">
        <v>6446</v>
      </c>
      <c r="B5293" t="s">
        <v>4486</v>
      </c>
      <c r="C5293" t="s">
        <v>657</v>
      </c>
      <c r="D5293" t="str">
        <f>HYPERLINK("http://service.sap.com/sap/support/notes/1828109","1828109")</f>
        <v>1828109</v>
      </c>
      <c r="E5293">
        <v>1</v>
      </c>
      <c r="F5293" t="s">
        <v>6731</v>
      </c>
    </row>
    <row r="5294" spans="1:6" x14ac:dyDescent="0.25">
      <c r="A5294" t="s">
        <v>6446</v>
      </c>
      <c r="B5294" t="s">
        <v>4489</v>
      </c>
      <c r="C5294" t="s">
        <v>4490</v>
      </c>
      <c r="D5294" t="str">
        <f>HYPERLINK("http://service.sap.com/sap/support/notes/1764089","1764089")</f>
        <v>1764089</v>
      </c>
      <c r="E5294">
        <v>2</v>
      </c>
      <c r="F5294" t="s">
        <v>6732</v>
      </c>
    </row>
    <row r="5295" spans="1:6" x14ac:dyDescent="0.25">
      <c r="A5295" t="s">
        <v>6446</v>
      </c>
      <c r="B5295" t="s">
        <v>4489</v>
      </c>
      <c r="C5295" t="s">
        <v>4490</v>
      </c>
      <c r="D5295" t="str">
        <f>HYPERLINK("http://service.sap.com/sap/support/notes/1811448","1811448")</f>
        <v>1811448</v>
      </c>
      <c r="E5295">
        <v>1</v>
      </c>
      <c r="F5295" t="s">
        <v>6733</v>
      </c>
    </row>
    <row r="5296" spans="1:6" x14ac:dyDescent="0.25">
      <c r="A5296" t="s">
        <v>6446</v>
      </c>
      <c r="B5296" t="s">
        <v>4489</v>
      </c>
      <c r="C5296" t="s">
        <v>4490</v>
      </c>
      <c r="D5296" t="str">
        <f>HYPERLINK("http://service.sap.com/sap/support/notes/1831870","1831870")</f>
        <v>1831870</v>
      </c>
      <c r="E5296">
        <v>2</v>
      </c>
      <c r="F5296" t="s">
        <v>6734</v>
      </c>
    </row>
    <row r="5297" spans="1:6" x14ac:dyDescent="0.25">
      <c r="A5297" t="s">
        <v>6446</v>
      </c>
      <c r="B5297" t="s">
        <v>693</v>
      </c>
      <c r="C5297" t="s">
        <v>694</v>
      </c>
    </row>
    <row r="5298" spans="1:6" x14ac:dyDescent="0.25">
      <c r="A5298" t="s">
        <v>6446</v>
      </c>
      <c r="B5298" t="s">
        <v>695</v>
      </c>
      <c r="C5298" t="s">
        <v>696</v>
      </c>
    </row>
    <row r="5299" spans="1:6" x14ac:dyDescent="0.25">
      <c r="A5299" t="s">
        <v>6446</v>
      </c>
      <c r="B5299" t="s">
        <v>697</v>
      </c>
      <c r="C5299" t="s">
        <v>698</v>
      </c>
    </row>
    <row r="5300" spans="1:6" x14ac:dyDescent="0.25">
      <c r="A5300" t="s">
        <v>6446</v>
      </c>
      <c r="B5300" t="s">
        <v>699</v>
      </c>
      <c r="C5300" t="s">
        <v>700</v>
      </c>
      <c r="D5300" t="str">
        <f>HYPERLINK("http://service.sap.com/sap/support/notes/1828971","1828971")</f>
        <v>1828971</v>
      </c>
      <c r="E5300">
        <v>1</v>
      </c>
      <c r="F5300" t="s">
        <v>6735</v>
      </c>
    </row>
    <row r="5301" spans="1:6" x14ac:dyDescent="0.25">
      <c r="A5301" t="s">
        <v>6446</v>
      </c>
      <c r="B5301" t="s">
        <v>708</v>
      </c>
      <c r="C5301" t="s">
        <v>709</v>
      </c>
      <c r="D5301" t="str">
        <f>HYPERLINK("http://service.sap.com/sap/support/notes/1691379","1691379")</f>
        <v>1691379</v>
      </c>
      <c r="E5301">
        <v>1</v>
      </c>
      <c r="F5301" t="s">
        <v>6736</v>
      </c>
    </row>
    <row r="5302" spans="1:6" x14ac:dyDescent="0.25">
      <c r="A5302" t="s">
        <v>6446</v>
      </c>
      <c r="B5302" t="s">
        <v>716</v>
      </c>
      <c r="C5302" t="s">
        <v>717</v>
      </c>
      <c r="D5302" t="str">
        <f>HYPERLINK("http://service.sap.com/sap/support/notes/1769792","1769792")</f>
        <v>1769792</v>
      </c>
      <c r="E5302">
        <v>1</v>
      </c>
      <c r="F5302" t="s">
        <v>6737</v>
      </c>
    </row>
    <row r="5303" spans="1:6" x14ac:dyDescent="0.25">
      <c r="A5303" t="s">
        <v>6446</v>
      </c>
      <c r="B5303" t="s">
        <v>716</v>
      </c>
      <c r="C5303" t="s">
        <v>717</v>
      </c>
      <c r="D5303" t="str">
        <f>HYPERLINK("http://service.sap.com/sap/support/notes/1790652","1790652")</f>
        <v>1790652</v>
      </c>
      <c r="E5303">
        <v>2</v>
      </c>
      <c r="F5303" t="s">
        <v>6738</v>
      </c>
    </row>
    <row r="5304" spans="1:6" x14ac:dyDescent="0.25">
      <c r="A5304" t="s">
        <v>6446</v>
      </c>
      <c r="B5304" t="s">
        <v>6739</v>
      </c>
      <c r="C5304" t="s">
        <v>824</v>
      </c>
      <c r="D5304" t="str">
        <f>HYPERLINK("http://service.sap.com/sap/support/notes/1823728","1823728")</f>
        <v>1823728</v>
      </c>
      <c r="E5304">
        <v>1</v>
      </c>
      <c r="F5304" t="s">
        <v>6740</v>
      </c>
    </row>
    <row r="5305" spans="1:6" x14ac:dyDescent="0.25">
      <c r="A5305" t="s">
        <v>6446</v>
      </c>
      <c r="B5305" t="s">
        <v>719</v>
      </c>
      <c r="C5305" t="s">
        <v>720</v>
      </c>
    </row>
    <row r="5306" spans="1:6" x14ac:dyDescent="0.25">
      <c r="A5306" t="s">
        <v>6446</v>
      </c>
      <c r="B5306" t="s">
        <v>6741</v>
      </c>
      <c r="C5306" t="s">
        <v>6742</v>
      </c>
      <c r="D5306" t="str">
        <f>HYPERLINK("http://service.sap.com/sap/support/notes/1467948","1467948")</f>
        <v>1467948</v>
      </c>
      <c r="E5306">
        <v>1</v>
      </c>
      <c r="F5306" t="s">
        <v>6743</v>
      </c>
    </row>
    <row r="5307" spans="1:6" x14ac:dyDescent="0.25">
      <c r="A5307" t="s">
        <v>6446</v>
      </c>
      <c r="B5307" t="s">
        <v>721</v>
      </c>
      <c r="C5307" t="s">
        <v>722</v>
      </c>
      <c r="D5307" t="str">
        <f>HYPERLINK("http://service.sap.com/sap/support/notes/1800005","1800005")</f>
        <v>1800005</v>
      </c>
      <c r="E5307">
        <v>1</v>
      </c>
      <c r="F5307" t="s">
        <v>4506</v>
      </c>
    </row>
    <row r="5308" spans="1:6" x14ac:dyDescent="0.25">
      <c r="A5308" t="s">
        <v>6446</v>
      </c>
      <c r="B5308" t="s">
        <v>721</v>
      </c>
      <c r="C5308" t="s">
        <v>722</v>
      </c>
      <c r="D5308" t="str">
        <f>HYPERLINK("http://service.sap.com/sap/support/notes/1801004","1801004")</f>
        <v>1801004</v>
      </c>
      <c r="E5308">
        <v>1</v>
      </c>
      <c r="F5308" t="s">
        <v>6744</v>
      </c>
    </row>
    <row r="5309" spans="1:6" x14ac:dyDescent="0.25">
      <c r="A5309" t="s">
        <v>6446</v>
      </c>
      <c r="B5309" t="s">
        <v>721</v>
      </c>
      <c r="C5309" t="s">
        <v>722</v>
      </c>
      <c r="D5309" t="str">
        <f>HYPERLINK("http://service.sap.com/sap/support/notes/1801274","1801274")</f>
        <v>1801274</v>
      </c>
      <c r="E5309">
        <v>1</v>
      </c>
      <c r="F5309" t="s">
        <v>6745</v>
      </c>
    </row>
    <row r="5310" spans="1:6" x14ac:dyDescent="0.25">
      <c r="A5310" t="s">
        <v>6446</v>
      </c>
      <c r="B5310" t="s">
        <v>721</v>
      </c>
      <c r="C5310" t="s">
        <v>722</v>
      </c>
      <c r="D5310" t="str">
        <f>HYPERLINK("http://service.sap.com/sap/support/notes/1803295","1803295")</f>
        <v>1803295</v>
      </c>
      <c r="E5310">
        <v>2</v>
      </c>
      <c r="F5310" t="s">
        <v>6746</v>
      </c>
    </row>
    <row r="5311" spans="1:6" x14ac:dyDescent="0.25">
      <c r="A5311" t="s">
        <v>6446</v>
      </c>
      <c r="B5311" t="s">
        <v>721</v>
      </c>
      <c r="C5311" t="s">
        <v>722</v>
      </c>
      <c r="D5311" t="str">
        <f>HYPERLINK("http://service.sap.com/sap/support/notes/1803720","1803720")</f>
        <v>1803720</v>
      </c>
      <c r="E5311">
        <v>2</v>
      </c>
      <c r="F5311" t="s">
        <v>6747</v>
      </c>
    </row>
    <row r="5312" spans="1:6" x14ac:dyDescent="0.25">
      <c r="A5312" t="s">
        <v>6446</v>
      </c>
      <c r="B5312" t="s">
        <v>721</v>
      </c>
      <c r="C5312" t="s">
        <v>722</v>
      </c>
      <c r="D5312" t="str">
        <f>HYPERLINK("http://service.sap.com/sap/support/notes/1803965","1803965")</f>
        <v>1803965</v>
      </c>
      <c r="E5312">
        <v>1</v>
      </c>
      <c r="F5312" t="s">
        <v>6748</v>
      </c>
    </row>
    <row r="5313" spans="1:6" x14ac:dyDescent="0.25">
      <c r="A5313" t="s">
        <v>6446</v>
      </c>
      <c r="B5313" t="s">
        <v>721</v>
      </c>
      <c r="C5313" t="s">
        <v>722</v>
      </c>
      <c r="D5313" t="str">
        <f>HYPERLINK("http://service.sap.com/sap/support/notes/1807174","1807174")</f>
        <v>1807174</v>
      </c>
      <c r="E5313">
        <v>1</v>
      </c>
      <c r="F5313" t="s">
        <v>6749</v>
      </c>
    </row>
    <row r="5314" spans="1:6" x14ac:dyDescent="0.25">
      <c r="A5314" t="s">
        <v>6446</v>
      </c>
      <c r="B5314" t="s">
        <v>721</v>
      </c>
      <c r="C5314" t="s">
        <v>722</v>
      </c>
      <c r="D5314" t="str">
        <f>HYPERLINK("http://service.sap.com/sap/support/notes/1816210","1816210")</f>
        <v>1816210</v>
      </c>
      <c r="E5314">
        <v>1</v>
      </c>
      <c r="F5314" t="s">
        <v>6750</v>
      </c>
    </row>
    <row r="5315" spans="1:6" x14ac:dyDescent="0.25">
      <c r="A5315" t="s">
        <v>6446</v>
      </c>
      <c r="B5315" t="s">
        <v>721</v>
      </c>
      <c r="C5315" t="s">
        <v>722</v>
      </c>
      <c r="D5315" t="str">
        <f>HYPERLINK("http://service.sap.com/sap/support/notes/1816763","1816763")</f>
        <v>1816763</v>
      </c>
      <c r="E5315">
        <v>1</v>
      </c>
      <c r="F5315" t="s">
        <v>6751</v>
      </c>
    </row>
    <row r="5316" spans="1:6" x14ac:dyDescent="0.25">
      <c r="A5316" t="s">
        <v>6446</v>
      </c>
      <c r="B5316" t="s">
        <v>721</v>
      </c>
      <c r="C5316" t="s">
        <v>722</v>
      </c>
      <c r="D5316" t="str">
        <f>HYPERLINK("http://service.sap.com/sap/support/notes/1828862","1828862")</f>
        <v>1828862</v>
      </c>
      <c r="E5316">
        <v>1</v>
      </c>
      <c r="F5316" t="s">
        <v>6752</v>
      </c>
    </row>
    <row r="5317" spans="1:6" x14ac:dyDescent="0.25">
      <c r="A5317" t="s">
        <v>6446</v>
      </c>
      <c r="B5317" t="s">
        <v>731</v>
      </c>
      <c r="C5317" t="s">
        <v>6753</v>
      </c>
    </row>
    <row r="5318" spans="1:6" x14ac:dyDescent="0.25">
      <c r="A5318" t="s">
        <v>6446</v>
      </c>
      <c r="B5318" t="s">
        <v>735</v>
      </c>
      <c r="C5318" t="s">
        <v>736</v>
      </c>
    </row>
    <row r="5319" spans="1:6" x14ac:dyDescent="0.25">
      <c r="A5319" t="s">
        <v>6446</v>
      </c>
      <c r="B5319" t="s">
        <v>6754</v>
      </c>
      <c r="C5319" t="s">
        <v>6755</v>
      </c>
      <c r="D5319" t="str">
        <f>HYPERLINK("http://service.sap.com/sap/support/notes/1783036","1783036")</f>
        <v>1783036</v>
      </c>
      <c r="E5319">
        <v>5</v>
      </c>
      <c r="F5319" t="s">
        <v>6756</v>
      </c>
    </row>
    <row r="5320" spans="1:6" x14ac:dyDescent="0.25">
      <c r="A5320" t="s">
        <v>6446</v>
      </c>
      <c r="B5320" t="s">
        <v>6757</v>
      </c>
      <c r="C5320" t="s">
        <v>6758</v>
      </c>
      <c r="D5320" t="str">
        <f>HYPERLINK("http://service.sap.com/sap/support/notes/1625625","1625625")</f>
        <v>1625625</v>
      </c>
      <c r="E5320">
        <v>2</v>
      </c>
      <c r="F5320" t="s">
        <v>6759</v>
      </c>
    </row>
    <row r="5321" spans="1:6" x14ac:dyDescent="0.25">
      <c r="A5321" t="s">
        <v>6446</v>
      </c>
      <c r="B5321" t="s">
        <v>4519</v>
      </c>
      <c r="C5321" t="s">
        <v>4520</v>
      </c>
    </row>
    <row r="5322" spans="1:6" x14ac:dyDescent="0.25">
      <c r="A5322" t="s">
        <v>6446</v>
      </c>
      <c r="B5322" t="s">
        <v>6760</v>
      </c>
      <c r="C5322" t="s">
        <v>978</v>
      </c>
      <c r="D5322" t="str">
        <f>HYPERLINK("http://service.sap.com/sap/support/notes/1802991","1802991")</f>
        <v>1802991</v>
      </c>
      <c r="E5322">
        <v>2</v>
      </c>
      <c r="F5322" t="s">
        <v>6761</v>
      </c>
    </row>
    <row r="5323" spans="1:6" x14ac:dyDescent="0.25">
      <c r="A5323" t="s">
        <v>6446</v>
      </c>
      <c r="B5323" t="s">
        <v>748</v>
      </c>
      <c r="C5323" t="s">
        <v>749</v>
      </c>
    </row>
    <row r="5324" spans="1:6" x14ac:dyDescent="0.25">
      <c r="A5324" t="s">
        <v>6446</v>
      </c>
      <c r="B5324" t="s">
        <v>6762</v>
      </c>
      <c r="C5324" t="s">
        <v>6763</v>
      </c>
      <c r="D5324" t="str">
        <f>HYPERLINK("http://service.sap.com/sap/support/notes/1827208","1827208")</f>
        <v>1827208</v>
      </c>
      <c r="E5324">
        <v>1</v>
      </c>
      <c r="F5324" t="s">
        <v>6764</v>
      </c>
    </row>
    <row r="5325" spans="1:6" x14ac:dyDescent="0.25">
      <c r="A5325" t="s">
        <v>6446</v>
      </c>
      <c r="B5325" t="s">
        <v>4530</v>
      </c>
      <c r="C5325" t="s">
        <v>4531</v>
      </c>
      <c r="D5325" t="str">
        <f>HYPERLINK("http://service.sap.com/sap/support/notes/1810405","1810405")</f>
        <v>1810405</v>
      </c>
      <c r="E5325">
        <v>1</v>
      </c>
      <c r="F5325" t="s">
        <v>6765</v>
      </c>
    </row>
    <row r="5326" spans="1:6" x14ac:dyDescent="0.25">
      <c r="A5326" t="s">
        <v>6446</v>
      </c>
      <c r="B5326" t="s">
        <v>6766</v>
      </c>
      <c r="C5326" t="s">
        <v>6767</v>
      </c>
    </row>
    <row r="5327" spans="1:6" x14ac:dyDescent="0.25">
      <c r="A5327" t="s">
        <v>6446</v>
      </c>
      <c r="B5327" t="s">
        <v>6768</v>
      </c>
      <c r="C5327" t="s">
        <v>6769</v>
      </c>
      <c r="D5327" t="str">
        <f>HYPERLINK("http://service.sap.com/sap/support/notes/1775080","1775080")</f>
        <v>1775080</v>
      </c>
      <c r="E5327">
        <v>1</v>
      </c>
      <c r="F5327" t="s">
        <v>6770</v>
      </c>
    </row>
    <row r="5328" spans="1:6" x14ac:dyDescent="0.25">
      <c r="A5328" t="s">
        <v>6446</v>
      </c>
      <c r="B5328" t="s">
        <v>763</v>
      </c>
      <c r="C5328" t="s">
        <v>764</v>
      </c>
    </row>
    <row r="5329" spans="1:6" x14ac:dyDescent="0.25">
      <c r="A5329" t="s">
        <v>6446</v>
      </c>
      <c r="B5329" t="s">
        <v>765</v>
      </c>
      <c r="C5329" t="s">
        <v>766</v>
      </c>
    </row>
    <row r="5330" spans="1:6" x14ac:dyDescent="0.25">
      <c r="A5330" t="s">
        <v>6446</v>
      </c>
      <c r="B5330" t="s">
        <v>767</v>
      </c>
      <c r="C5330" t="s">
        <v>768</v>
      </c>
    </row>
    <row r="5331" spans="1:6" x14ac:dyDescent="0.25">
      <c r="A5331" t="s">
        <v>6446</v>
      </c>
      <c r="B5331" t="s">
        <v>769</v>
      </c>
      <c r="C5331" t="s">
        <v>770</v>
      </c>
      <c r="D5331" t="str">
        <f>HYPERLINK("http://service.sap.com/sap/support/notes/1822444","1822444")</f>
        <v>1822444</v>
      </c>
      <c r="E5331">
        <v>1</v>
      </c>
      <c r="F5331" t="s">
        <v>6771</v>
      </c>
    </row>
    <row r="5332" spans="1:6" x14ac:dyDescent="0.25">
      <c r="A5332" t="s">
        <v>6446</v>
      </c>
      <c r="B5332" t="s">
        <v>4535</v>
      </c>
      <c r="C5332" t="s">
        <v>4536</v>
      </c>
      <c r="D5332" t="str">
        <f>HYPERLINK("http://service.sap.com/sap/support/notes/1711246","1711246")</f>
        <v>1711246</v>
      </c>
      <c r="E5332">
        <v>2</v>
      </c>
      <c r="F5332" t="s">
        <v>6772</v>
      </c>
    </row>
    <row r="5333" spans="1:6" x14ac:dyDescent="0.25">
      <c r="A5333" t="s">
        <v>6446</v>
      </c>
      <c r="B5333" t="s">
        <v>4539</v>
      </c>
      <c r="C5333" t="s">
        <v>4540</v>
      </c>
    </row>
    <row r="5334" spans="1:6" x14ac:dyDescent="0.25">
      <c r="A5334" t="s">
        <v>6446</v>
      </c>
      <c r="B5334" t="s">
        <v>4541</v>
      </c>
      <c r="C5334" t="s">
        <v>4542</v>
      </c>
      <c r="D5334" t="str">
        <f>HYPERLINK("http://service.sap.com/sap/support/notes/1727566","1727566")</f>
        <v>1727566</v>
      </c>
      <c r="E5334">
        <v>6</v>
      </c>
      <c r="F5334" t="s">
        <v>6773</v>
      </c>
    </row>
    <row r="5335" spans="1:6" x14ac:dyDescent="0.25">
      <c r="A5335" t="s">
        <v>6446</v>
      </c>
      <c r="B5335" t="s">
        <v>4541</v>
      </c>
      <c r="C5335" t="s">
        <v>4542</v>
      </c>
      <c r="D5335" t="str">
        <f>HYPERLINK("http://service.sap.com/sap/support/notes/1731196","1731196")</f>
        <v>1731196</v>
      </c>
      <c r="E5335">
        <v>3</v>
      </c>
      <c r="F5335" t="s">
        <v>6774</v>
      </c>
    </row>
    <row r="5336" spans="1:6" x14ac:dyDescent="0.25">
      <c r="A5336" t="s">
        <v>6446</v>
      </c>
      <c r="B5336" t="s">
        <v>4541</v>
      </c>
      <c r="C5336" t="s">
        <v>4542</v>
      </c>
      <c r="D5336" t="str">
        <f>HYPERLINK("http://service.sap.com/sap/support/notes/1789378","1789378")</f>
        <v>1789378</v>
      </c>
      <c r="E5336">
        <v>2</v>
      </c>
      <c r="F5336" t="s">
        <v>6775</v>
      </c>
    </row>
    <row r="5337" spans="1:6" x14ac:dyDescent="0.25">
      <c r="A5337" t="s">
        <v>6446</v>
      </c>
      <c r="B5337" t="s">
        <v>4541</v>
      </c>
      <c r="C5337" t="s">
        <v>4542</v>
      </c>
      <c r="D5337" t="str">
        <f>HYPERLINK("http://service.sap.com/sap/support/notes/1830985","1830985")</f>
        <v>1830985</v>
      </c>
      <c r="E5337">
        <v>1</v>
      </c>
      <c r="F5337" t="s">
        <v>6776</v>
      </c>
    </row>
    <row r="5338" spans="1:6" x14ac:dyDescent="0.25">
      <c r="A5338" t="s">
        <v>6446</v>
      </c>
      <c r="B5338" t="s">
        <v>772</v>
      </c>
      <c r="C5338" t="s">
        <v>773</v>
      </c>
    </row>
    <row r="5339" spans="1:6" x14ac:dyDescent="0.25">
      <c r="A5339" t="s">
        <v>6446</v>
      </c>
      <c r="B5339" t="s">
        <v>774</v>
      </c>
      <c r="C5339" t="s">
        <v>775</v>
      </c>
      <c r="D5339" t="str">
        <f>HYPERLINK("http://service.sap.com/sap/support/notes/1796826","1796826")</f>
        <v>1796826</v>
      </c>
      <c r="E5339">
        <v>2</v>
      </c>
      <c r="F5339" t="s">
        <v>784</v>
      </c>
    </row>
    <row r="5340" spans="1:6" x14ac:dyDescent="0.25">
      <c r="A5340" t="s">
        <v>6446</v>
      </c>
      <c r="B5340" t="s">
        <v>774</v>
      </c>
      <c r="C5340" t="s">
        <v>775</v>
      </c>
      <c r="D5340" t="str">
        <f>HYPERLINK("http://service.sap.com/sap/support/notes/1813149","1813149")</f>
        <v>1813149</v>
      </c>
      <c r="E5340">
        <v>1</v>
      </c>
      <c r="F5340" t="s">
        <v>6777</v>
      </c>
    </row>
    <row r="5341" spans="1:6" x14ac:dyDescent="0.25">
      <c r="A5341" t="s">
        <v>6446</v>
      </c>
      <c r="B5341" t="s">
        <v>6778</v>
      </c>
      <c r="C5341" t="s">
        <v>6779</v>
      </c>
    </row>
    <row r="5342" spans="1:6" x14ac:dyDescent="0.25">
      <c r="A5342" t="s">
        <v>6446</v>
      </c>
      <c r="B5342" t="s">
        <v>6780</v>
      </c>
      <c r="C5342" t="s">
        <v>6781</v>
      </c>
      <c r="D5342" t="str">
        <f>HYPERLINK("http://service.sap.com/sap/support/notes/1810659","1810659")</f>
        <v>1810659</v>
      </c>
      <c r="E5342">
        <v>2</v>
      </c>
      <c r="F5342" t="s">
        <v>6782</v>
      </c>
    </row>
    <row r="5343" spans="1:6" x14ac:dyDescent="0.25">
      <c r="A5343" t="s">
        <v>6446</v>
      </c>
      <c r="B5343" t="s">
        <v>6780</v>
      </c>
      <c r="C5343" t="s">
        <v>6781</v>
      </c>
      <c r="D5343" t="str">
        <f>HYPERLINK("http://service.sap.com/sap/support/notes/1810798","1810798")</f>
        <v>1810798</v>
      </c>
      <c r="E5343">
        <v>3</v>
      </c>
      <c r="F5343" t="s">
        <v>6783</v>
      </c>
    </row>
    <row r="5344" spans="1:6" x14ac:dyDescent="0.25">
      <c r="A5344" t="s">
        <v>6446</v>
      </c>
      <c r="B5344" t="s">
        <v>786</v>
      </c>
      <c r="C5344" t="s">
        <v>198</v>
      </c>
    </row>
    <row r="5345" spans="1:6" x14ac:dyDescent="0.25">
      <c r="A5345" t="s">
        <v>6446</v>
      </c>
      <c r="B5345" t="s">
        <v>787</v>
      </c>
      <c r="C5345" t="s">
        <v>201</v>
      </c>
      <c r="D5345" t="str">
        <f>HYPERLINK("http://service.sap.com/sap/support/notes/1710691","1710691")</f>
        <v>1710691</v>
      </c>
      <c r="E5345">
        <v>1</v>
      </c>
      <c r="F5345" t="s">
        <v>790</v>
      </c>
    </row>
    <row r="5346" spans="1:6" x14ac:dyDescent="0.25">
      <c r="A5346" t="s">
        <v>6446</v>
      </c>
      <c r="B5346" t="s">
        <v>787</v>
      </c>
      <c r="C5346" t="s">
        <v>201</v>
      </c>
      <c r="D5346" t="str">
        <f>HYPERLINK("http://service.sap.com/sap/support/notes/1733513","1733513")</f>
        <v>1733513</v>
      </c>
      <c r="E5346">
        <v>18</v>
      </c>
      <c r="F5346" t="s">
        <v>6784</v>
      </c>
    </row>
    <row r="5347" spans="1:6" x14ac:dyDescent="0.25">
      <c r="A5347" t="s">
        <v>6446</v>
      </c>
      <c r="B5347" t="s">
        <v>787</v>
      </c>
      <c r="C5347" t="s">
        <v>201</v>
      </c>
      <c r="D5347" t="str">
        <f>HYPERLINK("http://service.sap.com/sap/support/notes/1813234","1813234")</f>
        <v>1813234</v>
      </c>
      <c r="E5347">
        <v>1</v>
      </c>
      <c r="F5347" t="s">
        <v>6785</v>
      </c>
    </row>
    <row r="5348" spans="1:6" x14ac:dyDescent="0.25">
      <c r="A5348" t="s">
        <v>6446</v>
      </c>
      <c r="B5348" t="s">
        <v>791</v>
      </c>
      <c r="C5348" t="s">
        <v>151</v>
      </c>
      <c r="D5348" t="str">
        <f>HYPERLINK("http://service.sap.com/sap/support/notes/1796489","1796489")</f>
        <v>1796489</v>
      </c>
      <c r="E5348">
        <v>3</v>
      </c>
      <c r="F5348" t="s">
        <v>6786</v>
      </c>
    </row>
    <row r="5349" spans="1:6" x14ac:dyDescent="0.25">
      <c r="A5349" t="s">
        <v>6446</v>
      </c>
      <c r="B5349" t="s">
        <v>793</v>
      </c>
      <c r="C5349" t="s">
        <v>29</v>
      </c>
      <c r="D5349" t="str">
        <f>HYPERLINK("http://service.sap.com/sap/support/notes/1685026","1685026")</f>
        <v>1685026</v>
      </c>
      <c r="E5349">
        <v>2</v>
      </c>
      <c r="F5349" t="s">
        <v>6787</v>
      </c>
    </row>
    <row r="5350" spans="1:6" x14ac:dyDescent="0.25">
      <c r="A5350" t="s">
        <v>6446</v>
      </c>
      <c r="B5350" t="s">
        <v>793</v>
      </c>
      <c r="C5350" t="s">
        <v>29</v>
      </c>
      <c r="D5350" t="str">
        <f>HYPERLINK("http://service.sap.com/sap/support/notes/1706458","1706458")</f>
        <v>1706458</v>
      </c>
      <c r="E5350">
        <v>2</v>
      </c>
      <c r="F5350" t="s">
        <v>6788</v>
      </c>
    </row>
    <row r="5351" spans="1:6" x14ac:dyDescent="0.25">
      <c r="A5351" t="s">
        <v>6446</v>
      </c>
      <c r="B5351" t="s">
        <v>793</v>
      </c>
      <c r="C5351" t="s">
        <v>29</v>
      </c>
      <c r="D5351" t="str">
        <f>HYPERLINK("http://service.sap.com/sap/support/notes/1722364","1722364")</f>
        <v>1722364</v>
      </c>
      <c r="E5351">
        <v>2</v>
      </c>
      <c r="F5351" t="s">
        <v>6789</v>
      </c>
    </row>
    <row r="5352" spans="1:6" x14ac:dyDescent="0.25">
      <c r="A5352" t="s">
        <v>6446</v>
      </c>
      <c r="B5352" t="s">
        <v>793</v>
      </c>
      <c r="C5352" t="s">
        <v>29</v>
      </c>
      <c r="D5352" t="str">
        <f>HYPERLINK("http://service.sap.com/sap/support/notes/1723376","1723376")</f>
        <v>1723376</v>
      </c>
      <c r="E5352">
        <v>1</v>
      </c>
      <c r="F5352" t="s">
        <v>6790</v>
      </c>
    </row>
    <row r="5353" spans="1:6" x14ac:dyDescent="0.25">
      <c r="A5353" t="s">
        <v>6446</v>
      </c>
      <c r="B5353" t="s">
        <v>793</v>
      </c>
      <c r="C5353" t="s">
        <v>29</v>
      </c>
      <c r="D5353" t="str">
        <f>HYPERLINK("http://service.sap.com/sap/support/notes/1750377","1750377")</f>
        <v>1750377</v>
      </c>
      <c r="E5353">
        <v>3</v>
      </c>
      <c r="F5353" t="s">
        <v>6791</v>
      </c>
    </row>
    <row r="5354" spans="1:6" x14ac:dyDescent="0.25">
      <c r="A5354" t="s">
        <v>6446</v>
      </c>
      <c r="B5354" t="s">
        <v>793</v>
      </c>
      <c r="C5354" t="s">
        <v>29</v>
      </c>
      <c r="D5354" t="str">
        <f>HYPERLINK("http://service.sap.com/sap/support/notes/1750382","1750382")</f>
        <v>1750382</v>
      </c>
      <c r="E5354">
        <v>2</v>
      </c>
      <c r="F5354" t="s">
        <v>6792</v>
      </c>
    </row>
    <row r="5355" spans="1:6" x14ac:dyDescent="0.25">
      <c r="A5355" t="s">
        <v>6446</v>
      </c>
      <c r="B5355" t="s">
        <v>793</v>
      </c>
      <c r="C5355" t="s">
        <v>29</v>
      </c>
      <c r="D5355" t="str">
        <f>HYPERLINK("http://service.sap.com/sap/support/notes/1750751","1750751")</f>
        <v>1750751</v>
      </c>
      <c r="E5355">
        <v>3</v>
      </c>
      <c r="F5355" t="s">
        <v>6793</v>
      </c>
    </row>
    <row r="5356" spans="1:6" x14ac:dyDescent="0.25">
      <c r="A5356" t="s">
        <v>6446</v>
      </c>
      <c r="B5356" t="s">
        <v>793</v>
      </c>
      <c r="C5356" t="s">
        <v>29</v>
      </c>
      <c r="D5356" t="str">
        <f>HYPERLINK("http://service.sap.com/sap/support/notes/1770358","1770358")</f>
        <v>1770358</v>
      </c>
      <c r="E5356">
        <v>3</v>
      </c>
      <c r="F5356" t="s">
        <v>6794</v>
      </c>
    </row>
    <row r="5357" spans="1:6" x14ac:dyDescent="0.25">
      <c r="A5357" t="s">
        <v>6446</v>
      </c>
      <c r="B5357" t="s">
        <v>793</v>
      </c>
      <c r="C5357" t="s">
        <v>29</v>
      </c>
      <c r="D5357" t="str">
        <f>HYPERLINK("http://service.sap.com/sap/support/notes/1786327","1786327")</f>
        <v>1786327</v>
      </c>
      <c r="E5357">
        <v>1</v>
      </c>
      <c r="F5357" t="s">
        <v>6795</v>
      </c>
    </row>
    <row r="5358" spans="1:6" x14ac:dyDescent="0.25">
      <c r="A5358" t="s">
        <v>6446</v>
      </c>
      <c r="B5358" t="s">
        <v>793</v>
      </c>
      <c r="C5358" t="s">
        <v>29</v>
      </c>
      <c r="D5358" t="str">
        <f>HYPERLINK("http://service.sap.com/sap/support/notes/1791913","1791913")</f>
        <v>1791913</v>
      </c>
    </row>
    <row r="5359" spans="1:6" x14ac:dyDescent="0.25">
      <c r="A5359" t="s">
        <v>6446</v>
      </c>
      <c r="B5359" t="s">
        <v>793</v>
      </c>
      <c r="C5359" t="s">
        <v>29</v>
      </c>
      <c r="D5359" t="str">
        <f>HYPERLINK("http://service.sap.com/sap/support/notes/1792705","1792705")</f>
        <v>1792705</v>
      </c>
    </row>
    <row r="5360" spans="1:6" x14ac:dyDescent="0.25">
      <c r="A5360" t="s">
        <v>6446</v>
      </c>
      <c r="B5360" t="s">
        <v>793</v>
      </c>
      <c r="C5360" t="s">
        <v>29</v>
      </c>
      <c r="D5360" t="str">
        <f>HYPERLINK("http://service.sap.com/sap/support/notes/1800710","1800710")</f>
        <v>1800710</v>
      </c>
    </row>
    <row r="5361" spans="1:6" x14ac:dyDescent="0.25">
      <c r="A5361" t="s">
        <v>6446</v>
      </c>
      <c r="B5361" t="s">
        <v>793</v>
      </c>
      <c r="C5361" t="s">
        <v>29</v>
      </c>
      <c r="D5361" t="str">
        <f>HYPERLINK("http://service.sap.com/sap/support/notes/1805725","1805725")</f>
        <v>1805725</v>
      </c>
      <c r="E5361">
        <v>2</v>
      </c>
      <c r="F5361" t="s">
        <v>6796</v>
      </c>
    </row>
    <row r="5362" spans="1:6" x14ac:dyDescent="0.25">
      <c r="A5362" t="s">
        <v>6446</v>
      </c>
      <c r="B5362" t="s">
        <v>793</v>
      </c>
      <c r="C5362" t="s">
        <v>29</v>
      </c>
      <c r="D5362" t="str">
        <f>HYPERLINK("http://service.sap.com/sap/support/notes/1815874","1815874")</f>
        <v>1815874</v>
      </c>
    </row>
    <row r="5363" spans="1:6" x14ac:dyDescent="0.25">
      <c r="A5363" t="s">
        <v>6446</v>
      </c>
      <c r="B5363" t="s">
        <v>793</v>
      </c>
      <c r="C5363" t="s">
        <v>29</v>
      </c>
      <c r="D5363" t="str">
        <f>HYPERLINK("http://service.sap.com/sap/support/notes/1827776","1827776")</f>
        <v>1827776</v>
      </c>
      <c r="E5363">
        <v>1</v>
      </c>
      <c r="F5363" t="s">
        <v>6797</v>
      </c>
    </row>
    <row r="5364" spans="1:6" x14ac:dyDescent="0.25">
      <c r="A5364" t="s">
        <v>6446</v>
      </c>
      <c r="B5364" t="s">
        <v>805</v>
      </c>
      <c r="C5364" t="s">
        <v>806</v>
      </c>
      <c r="D5364" t="str">
        <f>HYPERLINK("http://service.sap.com/sap/support/notes/1674142","1674142")</f>
        <v>1674142</v>
      </c>
      <c r="E5364">
        <v>2</v>
      </c>
      <c r="F5364" t="s">
        <v>6798</v>
      </c>
    </row>
    <row r="5365" spans="1:6" x14ac:dyDescent="0.25">
      <c r="A5365" t="s">
        <v>6446</v>
      </c>
      <c r="B5365" t="s">
        <v>805</v>
      </c>
      <c r="C5365" t="s">
        <v>806</v>
      </c>
      <c r="D5365" t="str">
        <f>HYPERLINK("http://service.sap.com/sap/support/notes/1787494","1787494")</f>
        <v>1787494</v>
      </c>
      <c r="E5365">
        <v>2</v>
      </c>
      <c r="F5365" t="s">
        <v>6799</v>
      </c>
    </row>
    <row r="5366" spans="1:6" x14ac:dyDescent="0.25">
      <c r="A5366" t="s">
        <v>6446</v>
      </c>
      <c r="B5366" t="s">
        <v>805</v>
      </c>
      <c r="C5366" t="s">
        <v>806</v>
      </c>
      <c r="D5366" t="str">
        <f>HYPERLINK("http://service.sap.com/sap/support/notes/1795562","1795562")</f>
        <v>1795562</v>
      </c>
    </row>
    <row r="5367" spans="1:6" x14ac:dyDescent="0.25">
      <c r="A5367" t="s">
        <v>6446</v>
      </c>
      <c r="B5367" t="s">
        <v>805</v>
      </c>
      <c r="C5367" t="s">
        <v>806</v>
      </c>
      <c r="D5367" t="str">
        <f>HYPERLINK("http://service.sap.com/sap/support/notes/1822540","1822540")</f>
        <v>1822540</v>
      </c>
      <c r="E5367">
        <v>1</v>
      </c>
      <c r="F5367" t="s">
        <v>6800</v>
      </c>
    </row>
    <row r="5368" spans="1:6" x14ac:dyDescent="0.25">
      <c r="A5368" t="s">
        <v>6446</v>
      </c>
      <c r="B5368" t="s">
        <v>809</v>
      </c>
      <c r="C5368" t="s">
        <v>810</v>
      </c>
      <c r="D5368" t="str">
        <f>HYPERLINK("http://service.sap.com/sap/support/notes/1302649","1302649")</f>
        <v>1302649</v>
      </c>
      <c r="E5368">
        <v>7</v>
      </c>
      <c r="F5368" t="s">
        <v>6801</v>
      </c>
    </row>
    <row r="5369" spans="1:6" x14ac:dyDescent="0.25">
      <c r="A5369" t="s">
        <v>6446</v>
      </c>
      <c r="B5369" t="s">
        <v>809</v>
      </c>
      <c r="C5369" t="s">
        <v>810</v>
      </c>
      <c r="D5369" t="str">
        <f>HYPERLINK("http://service.sap.com/sap/support/notes/1681827","1681827")</f>
        <v>1681827</v>
      </c>
      <c r="E5369">
        <v>2</v>
      </c>
      <c r="F5369" t="s">
        <v>6802</v>
      </c>
    </row>
    <row r="5370" spans="1:6" x14ac:dyDescent="0.25">
      <c r="A5370" t="s">
        <v>6446</v>
      </c>
      <c r="B5370" t="s">
        <v>809</v>
      </c>
      <c r="C5370" t="s">
        <v>810</v>
      </c>
      <c r="D5370" t="str">
        <f>HYPERLINK("http://service.sap.com/sap/support/notes/1727145","1727145")</f>
        <v>1727145</v>
      </c>
      <c r="E5370">
        <v>2</v>
      </c>
      <c r="F5370" t="s">
        <v>6803</v>
      </c>
    </row>
    <row r="5371" spans="1:6" x14ac:dyDescent="0.25">
      <c r="A5371" t="s">
        <v>6446</v>
      </c>
      <c r="B5371" t="s">
        <v>809</v>
      </c>
      <c r="C5371" t="s">
        <v>810</v>
      </c>
      <c r="D5371" t="str">
        <f>HYPERLINK("http://service.sap.com/sap/support/notes/1746758","1746758")</f>
        <v>1746758</v>
      </c>
      <c r="E5371">
        <v>2</v>
      </c>
      <c r="F5371" t="s">
        <v>6804</v>
      </c>
    </row>
    <row r="5372" spans="1:6" x14ac:dyDescent="0.25">
      <c r="A5372" t="s">
        <v>6446</v>
      </c>
      <c r="B5372" t="s">
        <v>809</v>
      </c>
      <c r="C5372" t="s">
        <v>810</v>
      </c>
      <c r="D5372" t="str">
        <f>HYPERLINK("http://service.sap.com/sap/support/notes/1776849","1776849")</f>
        <v>1776849</v>
      </c>
      <c r="E5372">
        <v>1</v>
      </c>
      <c r="F5372" t="s">
        <v>6805</v>
      </c>
    </row>
    <row r="5373" spans="1:6" x14ac:dyDescent="0.25">
      <c r="A5373" t="s">
        <v>6446</v>
      </c>
      <c r="B5373" t="s">
        <v>809</v>
      </c>
      <c r="C5373" t="s">
        <v>810</v>
      </c>
      <c r="D5373" t="str">
        <f>HYPERLINK("http://service.sap.com/sap/support/notes/1785619","1785619")</f>
        <v>1785619</v>
      </c>
      <c r="E5373">
        <v>2</v>
      </c>
      <c r="F5373" t="s">
        <v>6806</v>
      </c>
    </row>
    <row r="5374" spans="1:6" x14ac:dyDescent="0.25">
      <c r="A5374" t="s">
        <v>6446</v>
      </c>
      <c r="B5374" t="s">
        <v>809</v>
      </c>
      <c r="C5374" t="s">
        <v>810</v>
      </c>
      <c r="D5374" t="str">
        <f>HYPERLINK("http://service.sap.com/sap/support/notes/1788628","1788628")</f>
        <v>1788628</v>
      </c>
      <c r="E5374">
        <v>1</v>
      </c>
      <c r="F5374" t="s">
        <v>6807</v>
      </c>
    </row>
    <row r="5375" spans="1:6" x14ac:dyDescent="0.25">
      <c r="A5375" t="s">
        <v>6446</v>
      </c>
      <c r="B5375" t="s">
        <v>809</v>
      </c>
      <c r="C5375" t="s">
        <v>810</v>
      </c>
      <c r="D5375" t="str">
        <f>HYPERLINK("http://service.sap.com/sap/support/notes/1789700","1789700")</f>
        <v>1789700</v>
      </c>
      <c r="E5375">
        <v>3</v>
      </c>
      <c r="F5375" t="s">
        <v>6808</v>
      </c>
    </row>
    <row r="5376" spans="1:6" x14ac:dyDescent="0.25">
      <c r="A5376" t="s">
        <v>6446</v>
      </c>
      <c r="B5376" t="s">
        <v>809</v>
      </c>
      <c r="C5376" t="s">
        <v>810</v>
      </c>
      <c r="D5376" t="str">
        <f>HYPERLINK("http://service.sap.com/sap/support/notes/1799925","1799925")</f>
        <v>1799925</v>
      </c>
      <c r="E5376">
        <v>1</v>
      </c>
      <c r="F5376" t="s">
        <v>6809</v>
      </c>
    </row>
    <row r="5377" spans="1:6" x14ac:dyDescent="0.25">
      <c r="A5377" t="s">
        <v>6446</v>
      </c>
      <c r="B5377" t="s">
        <v>809</v>
      </c>
      <c r="C5377" t="s">
        <v>810</v>
      </c>
      <c r="D5377" t="str">
        <f>HYPERLINK("http://service.sap.com/sap/support/notes/1808029","1808029")</f>
        <v>1808029</v>
      </c>
      <c r="E5377">
        <v>1</v>
      </c>
      <c r="F5377" t="s">
        <v>6810</v>
      </c>
    </row>
    <row r="5378" spans="1:6" x14ac:dyDescent="0.25">
      <c r="A5378" t="s">
        <v>6446</v>
      </c>
      <c r="B5378" t="s">
        <v>809</v>
      </c>
      <c r="C5378" t="s">
        <v>810</v>
      </c>
      <c r="D5378" t="str">
        <f>HYPERLINK("http://service.sap.com/sap/support/notes/1814605","1814605")</f>
        <v>1814605</v>
      </c>
      <c r="E5378">
        <v>1</v>
      </c>
      <c r="F5378" t="s">
        <v>6811</v>
      </c>
    </row>
    <row r="5379" spans="1:6" x14ac:dyDescent="0.25">
      <c r="A5379" t="s">
        <v>6446</v>
      </c>
      <c r="B5379" t="s">
        <v>809</v>
      </c>
      <c r="C5379" t="s">
        <v>810</v>
      </c>
      <c r="D5379" t="str">
        <f>HYPERLINK("http://service.sap.com/sap/support/notes/1815628","1815628")</f>
        <v>1815628</v>
      </c>
      <c r="E5379">
        <v>2</v>
      </c>
      <c r="F5379" t="s">
        <v>6812</v>
      </c>
    </row>
    <row r="5380" spans="1:6" x14ac:dyDescent="0.25">
      <c r="A5380" t="s">
        <v>6446</v>
      </c>
      <c r="B5380" t="s">
        <v>809</v>
      </c>
      <c r="C5380" t="s">
        <v>810</v>
      </c>
      <c r="D5380" t="str">
        <f>HYPERLINK("http://service.sap.com/sap/support/notes/1818661","1818661")</f>
        <v>1818661</v>
      </c>
    </row>
    <row r="5381" spans="1:6" x14ac:dyDescent="0.25">
      <c r="A5381" t="s">
        <v>6446</v>
      </c>
      <c r="B5381" t="s">
        <v>815</v>
      </c>
      <c r="C5381" t="s">
        <v>816</v>
      </c>
      <c r="D5381" t="str">
        <f>HYPERLINK("http://service.sap.com/sap/support/notes/1806599","1806599")</f>
        <v>1806599</v>
      </c>
      <c r="E5381">
        <v>2</v>
      </c>
      <c r="F5381" t="s">
        <v>6813</v>
      </c>
    </row>
    <row r="5382" spans="1:6" x14ac:dyDescent="0.25">
      <c r="A5382" t="s">
        <v>6446</v>
      </c>
      <c r="B5382" t="s">
        <v>819</v>
      </c>
      <c r="C5382" t="s">
        <v>820</v>
      </c>
      <c r="D5382" t="str">
        <f>HYPERLINK("http://service.sap.com/sap/support/notes/1804988","1804988")</f>
        <v>1804988</v>
      </c>
      <c r="E5382">
        <v>1</v>
      </c>
      <c r="F5382" t="s">
        <v>6814</v>
      </c>
    </row>
    <row r="5383" spans="1:6" x14ac:dyDescent="0.25">
      <c r="A5383" t="s">
        <v>6446</v>
      </c>
      <c r="B5383" t="s">
        <v>823</v>
      </c>
      <c r="C5383" t="s">
        <v>824</v>
      </c>
      <c r="D5383" t="str">
        <f>HYPERLINK("http://service.sap.com/sap/support/notes/1784911","1784911")</f>
        <v>1784911</v>
      </c>
      <c r="E5383">
        <v>1</v>
      </c>
      <c r="F5383" t="s">
        <v>6815</v>
      </c>
    </row>
    <row r="5384" spans="1:6" x14ac:dyDescent="0.25">
      <c r="A5384" t="s">
        <v>6446</v>
      </c>
      <c r="B5384" t="s">
        <v>823</v>
      </c>
      <c r="C5384" t="s">
        <v>824</v>
      </c>
      <c r="D5384" t="str">
        <f>HYPERLINK("http://service.sap.com/sap/support/notes/1790125","1790125")</f>
        <v>1790125</v>
      </c>
      <c r="E5384">
        <v>1</v>
      </c>
      <c r="F5384" t="s">
        <v>6816</v>
      </c>
    </row>
    <row r="5385" spans="1:6" x14ac:dyDescent="0.25">
      <c r="A5385" t="s">
        <v>6446</v>
      </c>
      <c r="B5385" t="s">
        <v>823</v>
      </c>
      <c r="C5385" t="s">
        <v>824</v>
      </c>
      <c r="D5385" t="str">
        <f>HYPERLINK("http://service.sap.com/sap/support/notes/1796422","1796422")</f>
        <v>1796422</v>
      </c>
      <c r="E5385">
        <v>3</v>
      </c>
      <c r="F5385" t="s">
        <v>6817</v>
      </c>
    </row>
    <row r="5386" spans="1:6" x14ac:dyDescent="0.25">
      <c r="A5386" t="s">
        <v>6446</v>
      </c>
      <c r="B5386" t="s">
        <v>823</v>
      </c>
      <c r="C5386" t="s">
        <v>824</v>
      </c>
      <c r="D5386" t="str">
        <f>HYPERLINK("http://service.sap.com/sap/support/notes/1802101","1802101")</f>
        <v>1802101</v>
      </c>
      <c r="E5386">
        <v>2</v>
      </c>
      <c r="F5386" t="s">
        <v>6818</v>
      </c>
    </row>
    <row r="5387" spans="1:6" x14ac:dyDescent="0.25">
      <c r="A5387" t="s">
        <v>6446</v>
      </c>
      <c r="B5387" t="s">
        <v>823</v>
      </c>
      <c r="C5387" t="s">
        <v>824</v>
      </c>
      <c r="D5387" t="str">
        <f>HYPERLINK("http://service.sap.com/sap/support/notes/1806335","1806335")</f>
        <v>1806335</v>
      </c>
      <c r="E5387">
        <v>2</v>
      </c>
      <c r="F5387" t="s">
        <v>6819</v>
      </c>
    </row>
    <row r="5388" spans="1:6" x14ac:dyDescent="0.25">
      <c r="A5388" t="s">
        <v>6446</v>
      </c>
      <c r="B5388" t="s">
        <v>823</v>
      </c>
      <c r="C5388" t="s">
        <v>824</v>
      </c>
      <c r="D5388" t="str">
        <f>HYPERLINK("http://service.sap.com/sap/support/notes/1812700","1812700")</f>
        <v>1812700</v>
      </c>
      <c r="E5388">
        <v>2</v>
      </c>
      <c r="F5388" t="s">
        <v>6820</v>
      </c>
    </row>
    <row r="5389" spans="1:6" x14ac:dyDescent="0.25">
      <c r="A5389" t="s">
        <v>6446</v>
      </c>
      <c r="B5389" t="s">
        <v>823</v>
      </c>
      <c r="C5389" t="s">
        <v>824</v>
      </c>
      <c r="D5389" t="str">
        <f>HYPERLINK("http://service.sap.com/sap/support/notes/1816336","1816336")</f>
        <v>1816336</v>
      </c>
      <c r="E5389">
        <v>1</v>
      </c>
      <c r="F5389" t="s">
        <v>6821</v>
      </c>
    </row>
    <row r="5390" spans="1:6" x14ac:dyDescent="0.25">
      <c r="A5390" t="s">
        <v>6446</v>
      </c>
      <c r="B5390" t="s">
        <v>830</v>
      </c>
      <c r="C5390" t="s">
        <v>831</v>
      </c>
      <c r="D5390" t="str">
        <f>HYPERLINK("http://service.sap.com/sap/support/notes/1793898","1793898")</f>
        <v>1793898</v>
      </c>
      <c r="E5390">
        <v>1</v>
      </c>
      <c r="F5390" t="s">
        <v>6822</v>
      </c>
    </row>
    <row r="5391" spans="1:6" x14ac:dyDescent="0.25">
      <c r="A5391" t="s">
        <v>6446</v>
      </c>
      <c r="B5391" t="s">
        <v>834</v>
      </c>
      <c r="C5391" t="s">
        <v>151</v>
      </c>
      <c r="D5391" t="str">
        <f>HYPERLINK("http://service.sap.com/sap/support/notes/1808544","1808544")</f>
        <v>1808544</v>
      </c>
      <c r="E5391">
        <v>4</v>
      </c>
      <c r="F5391" t="s">
        <v>6823</v>
      </c>
    </row>
    <row r="5392" spans="1:6" x14ac:dyDescent="0.25">
      <c r="A5392" t="s">
        <v>6446</v>
      </c>
      <c r="B5392" t="s">
        <v>834</v>
      </c>
      <c r="C5392" t="s">
        <v>151</v>
      </c>
      <c r="D5392" t="str">
        <f>HYPERLINK("http://service.sap.com/sap/support/notes/1811382","1811382")</f>
        <v>1811382</v>
      </c>
      <c r="E5392">
        <v>5</v>
      </c>
      <c r="F5392" t="s">
        <v>6824</v>
      </c>
    </row>
    <row r="5393" spans="1:6" x14ac:dyDescent="0.25">
      <c r="A5393" t="s">
        <v>6446</v>
      </c>
      <c r="B5393" t="s">
        <v>834</v>
      </c>
      <c r="C5393" t="s">
        <v>151</v>
      </c>
      <c r="D5393" t="str">
        <f>HYPERLINK("http://service.sap.com/sap/support/notes/1813125","1813125")</f>
        <v>1813125</v>
      </c>
      <c r="E5393">
        <v>4</v>
      </c>
      <c r="F5393" t="s">
        <v>6825</v>
      </c>
    </row>
    <row r="5394" spans="1:6" x14ac:dyDescent="0.25">
      <c r="A5394" t="s">
        <v>6446</v>
      </c>
      <c r="B5394" t="s">
        <v>834</v>
      </c>
      <c r="C5394" t="s">
        <v>151</v>
      </c>
      <c r="D5394" t="str">
        <f>HYPERLINK("http://service.sap.com/sap/support/notes/1816915","1816915")</f>
        <v>1816915</v>
      </c>
      <c r="E5394">
        <v>1</v>
      </c>
      <c r="F5394" t="s">
        <v>6826</v>
      </c>
    </row>
    <row r="5395" spans="1:6" x14ac:dyDescent="0.25">
      <c r="A5395" t="s">
        <v>6446</v>
      </c>
      <c r="B5395" t="s">
        <v>838</v>
      </c>
      <c r="C5395" t="s">
        <v>839</v>
      </c>
      <c r="D5395" t="str">
        <f>HYPERLINK("http://service.sap.com/sap/support/notes/1787152","1787152")</f>
        <v>1787152</v>
      </c>
      <c r="E5395">
        <v>2</v>
      </c>
      <c r="F5395" t="s">
        <v>6827</v>
      </c>
    </row>
    <row r="5396" spans="1:6" x14ac:dyDescent="0.25">
      <c r="A5396" t="s">
        <v>6446</v>
      </c>
      <c r="B5396" t="s">
        <v>838</v>
      </c>
      <c r="C5396" t="s">
        <v>839</v>
      </c>
      <c r="D5396" t="str">
        <f>HYPERLINK("http://service.sap.com/sap/support/notes/1792624","1792624")</f>
        <v>1792624</v>
      </c>
      <c r="E5396">
        <v>1</v>
      </c>
      <c r="F5396" t="s">
        <v>6828</v>
      </c>
    </row>
    <row r="5397" spans="1:6" x14ac:dyDescent="0.25">
      <c r="A5397" t="s">
        <v>6446</v>
      </c>
      <c r="B5397" t="s">
        <v>838</v>
      </c>
      <c r="C5397" t="s">
        <v>839</v>
      </c>
      <c r="D5397" t="str">
        <f>HYPERLINK("http://service.sap.com/sap/support/notes/1796892","1796892")</f>
        <v>1796892</v>
      </c>
      <c r="E5397">
        <v>1</v>
      </c>
      <c r="F5397" t="s">
        <v>6829</v>
      </c>
    </row>
    <row r="5398" spans="1:6" x14ac:dyDescent="0.25">
      <c r="A5398" t="s">
        <v>6446</v>
      </c>
      <c r="B5398" t="s">
        <v>838</v>
      </c>
      <c r="C5398" t="s">
        <v>839</v>
      </c>
      <c r="D5398" t="str">
        <f>HYPERLINK("http://service.sap.com/sap/support/notes/1799180","1799180")</f>
        <v>1799180</v>
      </c>
      <c r="E5398">
        <v>1</v>
      </c>
      <c r="F5398" t="s">
        <v>6830</v>
      </c>
    </row>
    <row r="5399" spans="1:6" x14ac:dyDescent="0.25">
      <c r="A5399" t="s">
        <v>6446</v>
      </c>
      <c r="B5399" t="s">
        <v>838</v>
      </c>
      <c r="C5399" t="s">
        <v>839</v>
      </c>
      <c r="D5399" t="str">
        <f>HYPERLINK("http://service.sap.com/sap/support/notes/1800445","1800445")</f>
        <v>1800445</v>
      </c>
      <c r="E5399">
        <v>1</v>
      </c>
      <c r="F5399" t="s">
        <v>6831</v>
      </c>
    </row>
    <row r="5400" spans="1:6" x14ac:dyDescent="0.25">
      <c r="A5400" t="s">
        <v>6446</v>
      </c>
      <c r="B5400" t="s">
        <v>838</v>
      </c>
      <c r="C5400" t="s">
        <v>839</v>
      </c>
      <c r="D5400" t="str">
        <f>HYPERLINK("http://service.sap.com/sap/support/notes/1810526","1810526")</f>
        <v>1810526</v>
      </c>
      <c r="E5400">
        <v>1</v>
      </c>
      <c r="F5400" t="s">
        <v>6832</v>
      </c>
    </row>
    <row r="5401" spans="1:6" x14ac:dyDescent="0.25">
      <c r="A5401" t="s">
        <v>6446</v>
      </c>
      <c r="B5401" t="s">
        <v>838</v>
      </c>
      <c r="C5401" t="s">
        <v>839</v>
      </c>
      <c r="D5401" t="str">
        <f>HYPERLINK("http://service.sap.com/sap/support/notes/1819688","1819688")</f>
        <v>1819688</v>
      </c>
      <c r="E5401">
        <v>1</v>
      </c>
      <c r="F5401" t="s">
        <v>6833</v>
      </c>
    </row>
    <row r="5402" spans="1:6" x14ac:dyDescent="0.25">
      <c r="A5402" t="s">
        <v>6446</v>
      </c>
      <c r="B5402" t="s">
        <v>847</v>
      </c>
      <c r="C5402" t="s">
        <v>848</v>
      </c>
      <c r="D5402" t="str">
        <f>HYPERLINK("http://service.sap.com/sap/support/notes/1633073","1633073")</f>
        <v>1633073</v>
      </c>
      <c r="E5402">
        <v>3</v>
      </c>
      <c r="F5402" t="s">
        <v>6834</v>
      </c>
    </row>
    <row r="5403" spans="1:6" x14ac:dyDescent="0.25">
      <c r="A5403" t="s">
        <v>6446</v>
      </c>
      <c r="B5403" t="s">
        <v>847</v>
      </c>
      <c r="C5403" t="s">
        <v>848</v>
      </c>
      <c r="D5403" t="str">
        <f>HYPERLINK("http://service.sap.com/sap/support/notes/1679118","1679118")</f>
        <v>1679118</v>
      </c>
      <c r="E5403">
        <v>4</v>
      </c>
      <c r="F5403" t="s">
        <v>6835</v>
      </c>
    </row>
    <row r="5404" spans="1:6" x14ac:dyDescent="0.25">
      <c r="A5404" t="s">
        <v>6446</v>
      </c>
      <c r="B5404" t="s">
        <v>847</v>
      </c>
      <c r="C5404" t="s">
        <v>848</v>
      </c>
      <c r="D5404" t="str">
        <f>HYPERLINK("http://service.sap.com/sap/support/notes/1771242","1771242")</f>
        <v>1771242</v>
      </c>
      <c r="E5404">
        <v>4</v>
      </c>
      <c r="F5404" t="s">
        <v>6836</v>
      </c>
    </row>
    <row r="5405" spans="1:6" x14ac:dyDescent="0.25">
      <c r="A5405" t="s">
        <v>6446</v>
      </c>
      <c r="B5405" t="s">
        <v>847</v>
      </c>
      <c r="C5405" t="s">
        <v>848</v>
      </c>
      <c r="D5405" t="str">
        <f>HYPERLINK("http://service.sap.com/sap/support/notes/1772113","1772113")</f>
        <v>1772113</v>
      </c>
      <c r="E5405">
        <v>2</v>
      </c>
      <c r="F5405" t="s">
        <v>6837</v>
      </c>
    </row>
    <row r="5406" spans="1:6" x14ac:dyDescent="0.25">
      <c r="A5406" t="s">
        <v>6446</v>
      </c>
      <c r="B5406" t="s">
        <v>847</v>
      </c>
      <c r="C5406" t="s">
        <v>848</v>
      </c>
      <c r="D5406" t="str">
        <f>HYPERLINK("http://service.sap.com/sap/support/notes/1780941","1780941")</f>
        <v>1780941</v>
      </c>
      <c r="E5406">
        <v>3</v>
      </c>
      <c r="F5406" t="s">
        <v>6838</v>
      </c>
    </row>
    <row r="5407" spans="1:6" x14ac:dyDescent="0.25">
      <c r="A5407" t="s">
        <v>6446</v>
      </c>
      <c r="B5407" t="s">
        <v>847</v>
      </c>
      <c r="C5407" t="s">
        <v>848</v>
      </c>
      <c r="D5407" t="str">
        <f>HYPERLINK("http://service.sap.com/sap/support/notes/1785683","1785683")</f>
        <v>1785683</v>
      </c>
      <c r="E5407">
        <v>1</v>
      </c>
      <c r="F5407" t="s">
        <v>6839</v>
      </c>
    </row>
    <row r="5408" spans="1:6" x14ac:dyDescent="0.25">
      <c r="A5408" t="s">
        <v>6446</v>
      </c>
      <c r="B5408" t="s">
        <v>847</v>
      </c>
      <c r="C5408" t="s">
        <v>848</v>
      </c>
      <c r="D5408" t="str">
        <f>HYPERLINK("http://service.sap.com/sap/support/notes/1789857","1789857")</f>
        <v>1789857</v>
      </c>
      <c r="E5408">
        <v>1</v>
      </c>
      <c r="F5408" t="s">
        <v>6840</v>
      </c>
    </row>
    <row r="5409" spans="1:6" x14ac:dyDescent="0.25">
      <c r="A5409" t="s">
        <v>6446</v>
      </c>
      <c r="B5409" t="s">
        <v>847</v>
      </c>
      <c r="C5409" t="s">
        <v>848</v>
      </c>
      <c r="D5409" t="str">
        <f>HYPERLINK("http://service.sap.com/sap/support/notes/1798745","1798745")</f>
        <v>1798745</v>
      </c>
      <c r="E5409">
        <v>2</v>
      </c>
      <c r="F5409" t="s">
        <v>6841</v>
      </c>
    </row>
    <row r="5410" spans="1:6" x14ac:dyDescent="0.25">
      <c r="A5410" t="s">
        <v>6446</v>
      </c>
      <c r="B5410" t="s">
        <v>847</v>
      </c>
      <c r="C5410" t="s">
        <v>848</v>
      </c>
      <c r="D5410" t="str">
        <f>HYPERLINK("http://service.sap.com/sap/support/notes/1800587","1800587")</f>
        <v>1800587</v>
      </c>
      <c r="E5410">
        <v>1</v>
      </c>
      <c r="F5410" t="s">
        <v>6842</v>
      </c>
    </row>
    <row r="5411" spans="1:6" x14ac:dyDescent="0.25">
      <c r="A5411" t="s">
        <v>6446</v>
      </c>
      <c r="B5411" t="s">
        <v>847</v>
      </c>
      <c r="C5411" t="s">
        <v>848</v>
      </c>
      <c r="D5411" t="str">
        <f>HYPERLINK("http://service.sap.com/sap/support/notes/1800986","1800986")</f>
        <v>1800986</v>
      </c>
      <c r="E5411">
        <v>1</v>
      </c>
      <c r="F5411" t="s">
        <v>6843</v>
      </c>
    </row>
    <row r="5412" spans="1:6" x14ac:dyDescent="0.25">
      <c r="A5412" t="s">
        <v>6446</v>
      </c>
      <c r="B5412" t="s">
        <v>847</v>
      </c>
      <c r="C5412" t="s">
        <v>848</v>
      </c>
      <c r="D5412" t="str">
        <f>HYPERLINK("http://service.sap.com/sap/support/notes/1801504","1801504")</f>
        <v>1801504</v>
      </c>
      <c r="E5412">
        <v>1</v>
      </c>
      <c r="F5412" t="s">
        <v>6844</v>
      </c>
    </row>
    <row r="5413" spans="1:6" x14ac:dyDescent="0.25">
      <c r="A5413" t="s">
        <v>6446</v>
      </c>
      <c r="B5413" t="s">
        <v>847</v>
      </c>
      <c r="C5413" t="s">
        <v>848</v>
      </c>
      <c r="D5413" t="str">
        <f>HYPERLINK("http://service.sap.com/sap/support/notes/1801505","1801505")</f>
        <v>1801505</v>
      </c>
      <c r="E5413">
        <v>1</v>
      </c>
      <c r="F5413" t="s">
        <v>6845</v>
      </c>
    </row>
    <row r="5414" spans="1:6" x14ac:dyDescent="0.25">
      <c r="A5414" t="s">
        <v>6446</v>
      </c>
      <c r="B5414" t="s">
        <v>847</v>
      </c>
      <c r="C5414" t="s">
        <v>848</v>
      </c>
      <c r="D5414" t="str">
        <f>HYPERLINK("http://service.sap.com/sap/support/notes/1803333","1803333")</f>
        <v>1803333</v>
      </c>
      <c r="E5414">
        <v>3</v>
      </c>
      <c r="F5414" t="s">
        <v>6846</v>
      </c>
    </row>
    <row r="5415" spans="1:6" x14ac:dyDescent="0.25">
      <c r="A5415" t="s">
        <v>6446</v>
      </c>
      <c r="B5415" t="s">
        <v>847</v>
      </c>
      <c r="C5415" t="s">
        <v>848</v>
      </c>
      <c r="D5415" t="str">
        <f>HYPERLINK("http://service.sap.com/sap/support/notes/1805691","1805691")</f>
        <v>1805691</v>
      </c>
      <c r="E5415">
        <v>2</v>
      </c>
      <c r="F5415" t="s">
        <v>6847</v>
      </c>
    </row>
    <row r="5416" spans="1:6" x14ac:dyDescent="0.25">
      <c r="A5416" t="s">
        <v>6446</v>
      </c>
      <c r="B5416" t="s">
        <v>847</v>
      </c>
      <c r="C5416" t="s">
        <v>848</v>
      </c>
      <c r="D5416" t="str">
        <f>HYPERLINK("http://service.sap.com/sap/support/notes/1807635","1807635")</f>
        <v>1807635</v>
      </c>
      <c r="E5416">
        <v>4</v>
      </c>
      <c r="F5416" t="s">
        <v>6848</v>
      </c>
    </row>
    <row r="5417" spans="1:6" x14ac:dyDescent="0.25">
      <c r="A5417" t="s">
        <v>6446</v>
      </c>
      <c r="B5417" t="s">
        <v>847</v>
      </c>
      <c r="C5417" t="s">
        <v>848</v>
      </c>
      <c r="D5417" t="str">
        <f>HYPERLINK("http://service.sap.com/sap/support/notes/1809873","1809873")</f>
        <v>1809873</v>
      </c>
      <c r="E5417">
        <v>1</v>
      </c>
      <c r="F5417" t="s">
        <v>6849</v>
      </c>
    </row>
    <row r="5418" spans="1:6" x14ac:dyDescent="0.25">
      <c r="A5418" t="s">
        <v>6446</v>
      </c>
      <c r="B5418" t="s">
        <v>847</v>
      </c>
      <c r="C5418" t="s">
        <v>848</v>
      </c>
      <c r="D5418" t="str">
        <f>HYPERLINK("http://service.sap.com/sap/support/notes/1815827","1815827")</f>
        <v>1815827</v>
      </c>
      <c r="E5418">
        <v>2</v>
      </c>
      <c r="F5418" t="s">
        <v>6850</v>
      </c>
    </row>
    <row r="5419" spans="1:6" x14ac:dyDescent="0.25">
      <c r="A5419" t="s">
        <v>6446</v>
      </c>
      <c r="B5419" t="s">
        <v>847</v>
      </c>
      <c r="C5419" t="s">
        <v>848</v>
      </c>
      <c r="D5419" t="str">
        <f>HYPERLINK("http://service.sap.com/sap/support/notes/1817624","1817624")</f>
        <v>1817624</v>
      </c>
      <c r="E5419">
        <v>1</v>
      </c>
      <c r="F5419" t="s">
        <v>6851</v>
      </c>
    </row>
    <row r="5420" spans="1:6" x14ac:dyDescent="0.25">
      <c r="A5420" t="s">
        <v>6446</v>
      </c>
      <c r="B5420" t="s">
        <v>847</v>
      </c>
      <c r="C5420" t="s">
        <v>848</v>
      </c>
      <c r="D5420" t="str">
        <f>HYPERLINK("http://service.sap.com/sap/support/notes/1821760","1821760")</f>
        <v>1821760</v>
      </c>
      <c r="E5420">
        <v>7</v>
      </c>
      <c r="F5420" t="s">
        <v>6852</v>
      </c>
    </row>
    <row r="5421" spans="1:6" x14ac:dyDescent="0.25">
      <c r="A5421" t="s">
        <v>6446</v>
      </c>
      <c r="B5421" t="s">
        <v>847</v>
      </c>
      <c r="C5421" t="s">
        <v>848</v>
      </c>
      <c r="D5421" t="str">
        <f>HYPERLINK("http://service.sap.com/sap/support/notes/1822411","1822411")</f>
        <v>1822411</v>
      </c>
      <c r="E5421">
        <v>2</v>
      </c>
      <c r="F5421" t="s">
        <v>6853</v>
      </c>
    </row>
    <row r="5422" spans="1:6" x14ac:dyDescent="0.25">
      <c r="A5422" t="s">
        <v>6446</v>
      </c>
      <c r="B5422" t="s">
        <v>847</v>
      </c>
      <c r="C5422" t="s">
        <v>848</v>
      </c>
      <c r="D5422" t="str">
        <f>HYPERLINK("http://service.sap.com/sap/support/notes/1824519","1824519")</f>
        <v>1824519</v>
      </c>
      <c r="E5422">
        <v>1</v>
      </c>
      <c r="F5422" t="s">
        <v>6854</v>
      </c>
    </row>
    <row r="5423" spans="1:6" x14ac:dyDescent="0.25">
      <c r="A5423" t="s">
        <v>6446</v>
      </c>
      <c r="B5423" t="s">
        <v>847</v>
      </c>
      <c r="C5423" t="s">
        <v>848</v>
      </c>
      <c r="D5423" t="str">
        <f>HYPERLINK("http://service.sap.com/sap/support/notes/1825803","1825803")</f>
        <v>1825803</v>
      </c>
      <c r="E5423">
        <v>2</v>
      </c>
      <c r="F5423" t="s">
        <v>6855</v>
      </c>
    </row>
    <row r="5424" spans="1:6" x14ac:dyDescent="0.25">
      <c r="A5424" t="s">
        <v>6446</v>
      </c>
      <c r="B5424" t="s">
        <v>847</v>
      </c>
      <c r="C5424" t="s">
        <v>848</v>
      </c>
      <c r="D5424" t="str">
        <f>HYPERLINK("http://service.sap.com/sap/support/notes/1826501","1826501")</f>
        <v>1826501</v>
      </c>
      <c r="E5424">
        <v>1</v>
      </c>
      <c r="F5424" t="s">
        <v>6856</v>
      </c>
    </row>
    <row r="5425" spans="1:6" x14ac:dyDescent="0.25">
      <c r="A5425" t="s">
        <v>6446</v>
      </c>
      <c r="B5425" t="s">
        <v>847</v>
      </c>
      <c r="C5425" t="s">
        <v>848</v>
      </c>
      <c r="D5425" t="str">
        <f>HYPERLINK("http://service.sap.com/sap/support/notes/1830854","1830854")</f>
        <v>1830854</v>
      </c>
      <c r="E5425">
        <v>1</v>
      </c>
      <c r="F5425" t="s">
        <v>6857</v>
      </c>
    </row>
    <row r="5426" spans="1:6" x14ac:dyDescent="0.25">
      <c r="A5426" t="s">
        <v>6446</v>
      </c>
      <c r="B5426" t="s">
        <v>868</v>
      </c>
      <c r="C5426" t="s">
        <v>869</v>
      </c>
      <c r="D5426" t="str">
        <f>HYPERLINK("http://service.sap.com/sap/support/notes/1665873","1665873")</f>
        <v>1665873</v>
      </c>
      <c r="E5426">
        <v>14</v>
      </c>
      <c r="F5426" t="s">
        <v>6858</v>
      </c>
    </row>
    <row r="5427" spans="1:6" x14ac:dyDescent="0.25">
      <c r="A5427" t="s">
        <v>6446</v>
      </c>
      <c r="B5427" t="s">
        <v>868</v>
      </c>
      <c r="C5427" t="s">
        <v>869</v>
      </c>
      <c r="D5427" t="str">
        <f>HYPERLINK("http://service.sap.com/sap/support/notes/1763090","1763090")</f>
        <v>1763090</v>
      </c>
      <c r="E5427">
        <v>4</v>
      </c>
      <c r="F5427" t="s">
        <v>6859</v>
      </c>
    </row>
    <row r="5428" spans="1:6" x14ac:dyDescent="0.25">
      <c r="A5428" t="s">
        <v>6446</v>
      </c>
      <c r="B5428" t="s">
        <v>868</v>
      </c>
      <c r="C5428" t="s">
        <v>869</v>
      </c>
      <c r="D5428" t="str">
        <f>HYPERLINK("http://service.sap.com/sap/support/notes/1774351","1774351")</f>
        <v>1774351</v>
      </c>
      <c r="E5428">
        <v>2</v>
      </c>
      <c r="F5428" t="s">
        <v>6860</v>
      </c>
    </row>
    <row r="5429" spans="1:6" x14ac:dyDescent="0.25">
      <c r="A5429" t="s">
        <v>6446</v>
      </c>
      <c r="B5429" t="s">
        <v>868</v>
      </c>
      <c r="C5429" t="s">
        <v>869</v>
      </c>
      <c r="D5429" t="str">
        <f>HYPERLINK("http://service.sap.com/sap/support/notes/1780739","1780739")</f>
        <v>1780739</v>
      </c>
      <c r="E5429">
        <v>3</v>
      </c>
      <c r="F5429" t="s">
        <v>6861</v>
      </c>
    </row>
    <row r="5430" spans="1:6" x14ac:dyDescent="0.25">
      <c r="A5430" t="s">
        <v>6446</v>
      </c>
      <c r="B5430" t="s">
        <v>868</v>
      </c>
      <c r="C5430" t="s">
        <v>869</v>
      </c>
      <c r="D5430" t="str">
        <f>HYPERLINK("http://service.sap.com/sap/support/notes/1792605","1792605")</f>
        <v>1792605</v>
      </c>
      <c r="E5430">
        <v>1</v>
      </c>
      <c r="F5430" t="s">
        <v>6862</v>
      </c>
    </row>
    <row r="5431" spans="1:6" x14ac:dyDescent="0.25">
      <c r="A5431" t="s">
        <v>6446</v>
      </c>
      <c r="B5431" t="s">
        <v>868</v>
      </c>
      <c r="C5431" t="s">
        <v>869</v>
      </c>
      <c r="D5431" t="str">
        <f>HYPERLINK("http://service.sap.com/sap/support/notes/1797614","1797614")</f>
        <v>1797614</v>
      </c>
      <c r="E5431">
        <v>3</v>
      </c>
      <c r="F5431" t="s">
        <v>6863</v>
      </c>
    </row>
    <row r="5432" spans="1:6" x14ac:dyDescent="0.25">
      <c r="A5432" t="s">
        <v>6446</v>
      </c>
      <c r="B5432" t="s">
        <v>868</v>
      </c>
      <c r="C5432" t="s">
        <v>869</v>
      </c>
      <c r="D5432" t="str">
        <f>HYPERLINK("http://service.sap.com/sap/support/notes/1797925","1797925")</f>
        <v>1797925</v>
      </c>
      <c r="E5432">
        <v>2</v>
      </c>
      <c r="F5432" t="s">
        <v>6864</v>
      </c>
    </row>
    <row r="5433" spans="1:6" x14ac:dyDescent="0.25">
      <c r="A5433" t="s">
        <v>6446</v>
      </c>
      <c r="B5433" t="s">
        <v>868</v>
      </c>
      <c r="C5433" t="s">
        <v>869</v>
      </c>
      <c r="D5433" t="str">
        <f>HYPERLINK("http://service.sap.com/sap/support/notes/1800424","1800424")</f>
        <v>1800424</v>
      </c>
      <c r="E5433">
        <v>1</v>
      </c>
      <c r="F5433" t="s">
        <v>6865</v>
      </c>
    </row>
    <row r="5434" spans="1:6" x14ac:dyDescent="0.25">
      <c r="A5434" t="s">
        <v>6446</v>
      </c>
      <c r="B5434" t="s">
        <v>868</v>
      </c>
      <c r="C5434" t="s">
        <v>869</v>
      </c>
      <c r="D5434" t="str">
        <f>HYPERLINK("http://service.sap.com/sap/support/notes/1801959","1801959")</f>
        <v>1801959</v>
      </c>
      <c r="E5434">
        <v>1</v>
      </c>
      <c r="F5434" t="s">
        <v>6866</v>
      </c>
    </row>
    <row r="5435" spans="1:6" x14ac:dyDescent="0.25">
      <c r="A5435" t="s">
        <v>6446</v>
      </c>
      <c r="B5435" t="s">
        <v>868</v>
      </c>
      <c r="C5435" t="s">
        <v>869</v>
      </c>
      <c r="D5435" t="str">
        <f>HYPERLINK("http://service.sap.com/sap/support/notes/1802009","1802009")</f>
        <v>1802009</v>
      </c>
      <c r="E5435">
        <v>1</v>
      </c>
      <c r="F5435" t="s">
        <v>6867</v>
      </c>
    </row>
    <row r="5436" spans="1:6" x14ac:dyDescent="0.25">
      <c r="A5436" t="s">
        <v>6446</v>
      </c>
      <c r="B5436" t="s">
        <v>868</v>
      </c>
      <c r="C5436" t="s">
        <v>869</v>
      </c>
      <c r="D5436" t="str">
        <f>HYPERLINK("http://service.sap.com/sap/support/notes/1803213","1803213")</f>
        <v>1803213</v>
      </c>
      <c r="E5436">
        <v>2</v>
      </c>
      <c r="F5436" t="s">
        <v>6868</v>
      </c>
    </row>
    <row r="5437" spans="1:6" x14ac:dyDescent="0.25">
      <c r="A5437" t="s">
        <v>6446</v>
      </c>
      <c r="B5437" t="s">
        <v>868</v>
      </c>
      <c r="C5437" t="s">
        <v>869</v>
      </c>
      <c r="D5437" t="str">
        <f>HYPERLINK("http://service.sap.com/sap/support/notes/1805192","1805192")</f>
        <v>1805192</v>
      </c>
      <c r="E5437">
        <v>1</v>
      </c>
      <c r="F5437" t="s">
        <v>6869</v>
      </c>
    </row>
    <row r="5438" spans="1:6" x14ac:dyDescent="0.25">
      <c r="A5438" t="s">
        <v>6446</v>
      </c>
      <c r="B5438" t="s">
        <v>868</v>
      </c>
      <c r="C5438" t="s">
        <v>869</v>
      </c>
      <c r="D5438" t="str">
        <f>HYPERLINK("http://service.sap.com/sap/support/notes/1807252","1807252")</f>
        <v>1807252</v>
      </c>
      <c r="E5438">
        <v>1</v>
      </c>
      <c r="F5438" t="s">
        <v>6870</v>
      </c>
    </row>
    <row r="5439" spans="1:6" x14ac:dyDescent="0.25">
      <c r="A5439" t="s">
        <v>6446</v>
      </c>
      <c r="B5439" t="s">
        <v>868</v>
      </c>
      <c r="C5439" t="s">
        <v>869</v>
      </c>
      <c r="D5439" t="str">
        <f>HYPERLINK("http://service.sap.com/sap/support/notes/1812938","1812938")</f>
        <v>1812938</v>
      </c>
      <c r="E5439">
        <v>1</v>
      </c>
      <c r="F5439" t="s">
        <v>6871</v>
      </c>
    </row>
    <row r="5440" spans="1:6" x14ac:dyDescent="0.25">
      <c r="A5440" t="s">
        <v>6446</v>
      </c>
      <c r="B5440" t="s">
        <v>868</v>
      </c>
      <c r="C5440" t="s">
        <v>869</v>
      </c>
      <c r="D5440" t="str">
        <f>HYPERLINK("http://service.sap.com/sap/support/notes/1815733","1815733")</f>
        <v>1815733</v>
      </c>
      <c r="E5440">
        <v>2</v>
      </c>
      <c r="F5440" t="s">
        <v>6864</v>
      </c>
    </row>
    <row r="5441" spans="1:6" x14ac:dyDescent="0.25">
      <c r="A5441" t="s">
        <v>6446</v>
      </c>
      <c r="B5441" t="s">
        <v>868</v>
      </c>
      <c r="C5441" t="s">
        <v>869</v>
      </c>
      <c r="D5441" t="str">
        <f>HYPERLINK("http://service.sap.com/sap/support/notes/1817769","1817769")</f>
        <v>1817769</v>
      </c>
      <c r="E5441">
        <v>2</v>
      </c>
      <c r="F5441" t="s">
        <v>6872</v>
      </c>
    </row>
    <row r="5442" spans="1:6" x14ac:dyDescent="0.25">
      <c r="A5442" t="s">
        <v>6446</v>
      </c>
      <c r="B5442" t="s">
        <v>868</v>
      </c>
      <c r="C5442" t="s">
        <v>869</v>
      </c>
      <c r="D5442" t="str">
        <f>HYPERLINK("http://service.sap.com/sap/support/notes/1820759","1820759")</f>
        <v>1820759</v>
      </c>
      <c r="E5442">
        <v>1</v>
      </c>
      <c r="F5442" t="s">
        <v>6873</v>
      </c>
    </row>
    <row r="5443" spans="1:6" x14ac:dyDescent="0.25">
      <c r="A5443" t="s">
        <v>6446</v>
      </c>
      <c r="B5443" t="s">
        <v>868</v>
      </c>
      <c r="C5443" t="s">
        <v>869</v>
      </c>
      <c r="D5443" t="str">
        <f>HYPERLINK("http://service.sap.com/sap/support/notes/1820795","1820795")</f>
        <v>1820795</v>
      </c>
      <c r="E5443">
        <v>1</v>
      </c>
      <c r="F5443" t="s">
        <v>6874</v>
      </c>
    </row>
    <row r="5444" spans="1:6" x14ac:dyDescent="0.25">
      <c r="A5444" t="s">
        <v>6446</v>
      </c>
      <c r="B5444" t="s">
        <v>868</v>
      </c>
      <c r="C5444" t="s">
        <v>869</v>
      </c>
      <c r="D5444" t="str">
        <f>HYPERLINK("http://service.sap.com/sap/support/notes/1820817","1820817")</f>
        <v>1820817</v>
      </c>
      <c r="E5444">
        <v>1</v>
      </c>
      <c r="F5444" t="s">
        <v>6875</v>
      </c>
    </row>
    <row r="5445" spans="1:6" x14ac:dyDescent="0.25">
      <c r="A5445" t="s">
        <v>6446</v>
      </c>
      <c r="B5445" t="s">
        <v>882</v>
      </c>
      <c r="C5445" t="s">
        <v>883</v>
      </c>
      <c r="D5445" t="str">
        <f>HYPERLINK("http://service.sap.com/sap/support/notes/1799437","1799437")</f>
        <v>1799437</v>
      </c>
      <c r="E5445">
        <v>1</v>
      </c>
      <c r="F5445" t="s">
        <v>6876</v>
      </c>
    </row>
    <row r="5446" spans="1:6" x14ac:dyDescent="0.25">
      <c r="A5446" t="s">
        <v>6446</v>
      </c>
      <c r="B5446" t="s">
        <v>882</v>
      </c>
      <c r="C5446" t="s">
        <v>883</v>
      </c>
      <c r="D5446" t="str">
        <f>HYPERLINK("http://service.sap.com/sap/support/notes/1806985","1806985")</f>
        <v>1806985</v>
      </c>
      <c r="E5446">
        <v>1</v>
      </c>
      <c r="F5446" t="s">
        <v>6877</v>
      </c>
    </row>
    <row r="5447" spans="1:6" x14ac:dyDescent="0.25">
      <c r="A5447" t="s">
        <v>6446</v>
      </c>
      <c r="B5447" t="s">
        <v>882</v>
      </c>
      <c r="C5447" t="s">
        <v>883</v>
      </c>
      <c r="D5447" t="str">
        <f>HYPERLINK("http://service.sap.com/sap/support/notes/1823503","1823503")</f>
        <v>1823503</v>
      </c>
      <c r="E5447">
        <v>1</v>
      </c>
      <c r="F5447" t="s">
        <v>6878</v>
      </c>
    </row>
    <row r="5448" spans="1:6" x14ac:dyDescent="0.25">
      <c r="A5448" t="s">
        <v>6446</v>
      </c>
      <c r="B5448" t="s">
        <v>890</v>
      </c>
      <c r="C5448" t="s">
        <v>891</v>
      </c>
      <c r="D5448" t="str">
        <f>HYPERLINK("http://service.sap.com/sap/support/notes/1690159","1690159")</f>
        <v>1690159</v>
      </c>
      <c r="E5448">
        <v>2</v>
      </c>
      <c r="F5448" t="s">
        <v>6879</v>
      </c>
    </row>
    <row r="5449" spans="1:6" x14ac:dyDescent="0.25">
      <c r="A5449" t="s">
        <v>6446</v>
      </c>
      <c r="B5449" t="s">
        <v>890</v>
      </c>
      <c r="C5449" t="s">
        <v>891</v>
      </c>
      <c r="D5449" t="str">
        <f>HYPERLINK("http://service.sap.com/sap/support/notes/1793702","1793702")</f>
        <v>1793702</v>
      </c>
      <c r="E5449">
        <v>2</v>
      </c>
      <c r="F5449" t="s">
        <v>6880</v>
      </c>
    </row>
    <row r="5450" spans="1:6" x14ac:dyDescent="0.25">
      <c r="A5450" t="s">
        <v>6446</v>
      </c>
      <c r="B5450" t="s">
        <v>890</v>
      </c>
      <c r="C5450" t="s">
        <v>891</v>
      </c>
      <c r="D5450" t="str">
        <f>HYPERLINK("http://service.sap.com/sap/support/notes/1796472","1796472")</f>
        <v>1796472</v>
      </c>
      <c r="E5450">
        <v>2</v>
      </c>
      <c r="F5450" t="s">
        <v>4645</v>
      </c>
    </row>
    <row r="5451" spans="1:6" x14ac:dyDescent="0.25">
      <c r="A5451" t="s">
        <v>6446</v>
      </c>
      <c r="B5451" t="s">
        <v>890</v>
      </c>
      <c r="C5451" t="s">
        <v>891</v>
      </c>
      <c r="D5451" t="str">
        <f>HYPERLINK("http://service.sap.com/sap/support/notes/1798454","1798454")</f>
        <v>1798454</v>
      </c>
      <c r="E5451">
        <v>1</v>
      </c>
      <c r="F5451" t="s">
        <v>6881</v>
      </c>
    </row>
    <row r="5452" spans="1:6" x14ac:dyDescent="0.25">
      <c r="A5452" t="s">
        <v>6446</v>
      </c>
      <c r="B5452" t="s">
        <v>890</v>
      </c>
      <c r="C5452" t="s">
        <v>891</v>
      </c>
      <c r="D5452" t="str">
        <f>HYPERLINK("http://service.sap.com/sap/support/notes/1800794","1800794")</f>
        <v>1800794</v>
      </c>
      <c r="E5452">
        <v>1</v>
      </c>
      <c r="F5452" t="s">
        <v>6882</v>
      </c>
    </row>
    <row r="5453" spans="1:6" x14ac:dyDescent="0.25">
      <c r="A5453" t="s">
        <v>6446</v>
      </c>
      <c r="B5453" t="s">
        <v>890</v>
      </c>
      <c r="C5453" t="s">
        <v>891</v>
      </c>
      <c r="D5453" t="str">
        <f>HYPERLINK("http://service.sap.com/sap/support/notes/1808797","1808797")</f>
        <v>1808797</v>
      </c>
      <c r="E5453">
        <v>2</v>
      </c>
      <c r="F5453" t="s">
        <v>6883</v>
      </c>
    </row>
    <row r="5454" spans="1:6" x14ac:dyDescent="0.25">
      <c r="A5454" t="s">
        <v>6446</v>
      </c>
      <c r="B5454" t="s">
        <v>890</v>
      </c>
      <c r="C5454" t="s">
        <v>891</v>
      </c>
      <c r="D5454" t="str">
        <f>HYPERLINK("http://service.sap.com/sap/support/notes/1809520","1809520")</f>
        <v>1809520</v>
      </c>
      <c r="E5454">
        <v>1</v>
      </c>
      <c r="F5454" t="s">
        <v>6884</v>
      </c>
    </row>
    <row r="5455" spans="1:6" x14ac:dyDescent="0.25">
      <c r="A5455" t="s">
        <v>6446</v>
      </c>
      <c r="B5455" t="s">
        <v>890</v>
      </c>
      <c r="C5455" t="s">
        <v>891</v>
      </c>
      <c r="D5455" t="str">
        <f>HYPERLINK("http://service.sap.com/sap/support/notes/1814614","1814614")</f>
        <v>1814614</v>
      </c>
      <c r="E5455">
        <v>1</v>
      </c>
      <c r="F5455" t="s">
        <v>6885</v>
      </c>
    </row>
    <row r="5456" spans="1:6" x14ac:dyDescent="0.25">
      <c r="A5456" t="s">
        <v>6446</v>
      </c>
      <c r="B5456" t="s">
        <v>890</v>
      </c>
      <c r="C5456" t="s">
        <v>891</v>
      </c>
      <c r="D5456" t="str">
        <f>HYPERLINK("http://service.sap.com/sap/support/notes/1817945","1817945")</f>
        <v>1817945</v>
      </c>
      <c r="E5456">
        <v>1</v>
      </c>
      <c r="F5456" t="s">
        <v>6886</v>
      </c>
    </row>
    <row r="5457" spans="1:6" x14ac:dyDescent="0.25">
      <c r="A5457" t="s">
        <v>6446</v>
      </c>
      <c r="B5457" t="s">
        <v>890</v>
      </c>
      <c r="C5457" t="s">
        <v>891</v>
      </c>
      <c r="D5457" t="str">
        <f>HYPERLINK("http://service.sap.com/sap/support/notes/1818127","1818127")</f>
        <v>1818127</v>
      </c>
      <c r="E5457">
        <v>1</v>
      </c>
      <c r="F5457" t="s">
        <v>6887</v>
      </c>
    </row>
    <row r="5458" spans="1:6" x14ac:dyDescent="0.25">
      <c r="A5458" t="s">
        <v>6446</v>
      </c>
      <c r="B5458" t="s">
        <v>890</v>
      </c>
      <c r="C5458" t="s">
        <v>891</v>
      </c>
      <c r="D5458" t="str">
        <f>HYPERLINK("http://service.sap.com/sap/support/notes/1818733","1818733")</f>
        <v>1818733</v>
      </c>
      <c r="E5458">
        <v>2</v>
      </c>
      <c r="F5458" t="s">
        <v>6888</v>
      </c>
    </row>
    <row r="5459" spans="1:6" x14ac:dyDescent="0.25">
      <c r="A5459" t="s">
        <v>6446</v>
      </c>
      <c r="B5459" t="s">
        <v>890</v>
      </c>
      <c r="C5459" t="s">
        <v>891</v>
      </c>
      <c r="D5459" t="str">
        <f>HYPERLINK("http://service.sap.com/sap/support/notes/1826479","1826479")</f>
        <v>1826479</v>
      </c>
      <c r="E5459">
        <v>1</v>
      </c>
      <c r="F5459" t="s">
        <v>6889</v>
      </c>
    </row>
    <row r="5460" spans="1:6" x14ac:dyDescent="0.25">
      <c r="A5460" t="s">
        <v>6446</v>
      </c>
      <c r="B5460" t="s">
        <v>901</v>
      </c>
      <c r="C5460" t="s">
        <v>902</v>
      </c>
      <c r="D5460" t="str">
        <f>HYPERLINK("http://service.sap.com/sap/support/notes/1796211","1796211")</f>
        <v>1796211</v>
      </c>
      <c r="E5460">
        <v>1</v>
      </c>
      <c r="F5460" t="s">
        <v>6890</v>
      </c>
    </row>
    <row r="5461" spans="1:6" x14ac:dyDescent="0.25">
      <c r="A5461" t="s">
        <v>6446</v>
      </c>
      <c r="B5461" t="s">
        <v>901</v>
      </c>
      <c r="C5461" t="s">
        <v>902</v>
      </c>
      <c r="D5461" t="str">
        <f>HYPERLINK("http://service.sap.com/sap/support/notes/1816129","1816129")</f>
        <v>1816129</v>
      </c>
      <c r="E5461">
        <v>1</v>
      </c>
      <c r="F5461" t="s">
        <v>6891</v>
      </c>
    </row>
    <row r="5462" spans="1:6" x14ac:dyDescent="0.25">
      <c r="A5462" t="s">
        <v>6446</v>
      </c>
      <c r="B5462" t="s">
        <v>901</v>
      </c>
      <c r="C5462" t="s">
        <v>902</v>
      </c>
      <c r="D5462" t="str">
        <f>HYPERLINK("http://service.sap.com/sap/support/notes/1820636","1820636")</f>
        <v>1820636</v>
      </c>
      <c r="E5462">
        <v>1</v>
      </c>
      <c r="F5462" t="s">
        <v>6892</v>
      </c>
    </row>
    <row r="5463" spans="1:6" x14ac:dyDescent="0.25">
      <c r="A5463" t="s">
        <v>6446</v>
      </c>
      <c r="B5463" t="s">
        <v>911</v>
      </c>
      <c r="C5463" t="s">
        <v>912</v>
      </c>
      <c r="D5463" t="str">
        <f>HYPERLINK("http://service.sap.com/sap/support/notes/1776690","1776690")</f>
        <v>1776690</v>
      </c>
      <c r="E5463">
        <v>2</v>
      </c>
      <c r="F5463" t="s">
        <v>6893</v>
      </c>
    </row>
    <row r="5464" spans="1:6" x14ac:dyDescent="0.25">
      <c r="A5464" t="s">
        <v>6446</v>
      </c>
      <c r="B5464" t="s">
        <v>911</v>
      </c>
      <c r="C5464" t="s">
        <v>912</v>
      </c>
      <c r="D5464" t="str">
        <f>HYPERLINK("http://service.sap.com/sap/support/notes/1815065","1815065")</f>
        <v>1815065</v>
      </c>
      <c r="E5464">
        <v>1</v>
      </c>
      <c r="F5464" t="s">
        <v>6894</v>
      </c>
    </row>
    <row r="5465" spans="1:6" x14ac:dyDescent="0.25">
      <c r="A5465" t="s">
        <v>6446</v>
      </c>
      <c r="B5465" t="s">
        <v>911</v>
      </c>
      <c r="C5465" t="s">
        <v>912</v>
      </c>
      <c r="D5465" t="str">
        <f>HYPERLINK("http://service.sap.com/sap/support/notes/1818497","1818497")</f>
        <v>1818497</v>
      </c>
      <c r="E5465">
        <v>1</v>
      </c>
      <c r="F5465" t="s">
        <v>6895</v>
      </c>
    </row>
    <row r="5466" spans="1:6" x14ac:dyDescent="0.25">
      <c r="A5466" t="s">
        <v>6446</v>
      </c>
      <c r="B5466" t="s">
        <v>919</v>
      </c>
      <c r="C5466" t="s">
        <v>920</v>
      </c>
      <c r="D5466" t="str">
        <f>HYPERLINK("http://service.sap.com/sap/support/notes/1786190","1786190")</f>
        <v>1786190</v>
      </c>
      <c r="E5466">
        <v>2</v>
      </c>
      <c r="F5466" t="s">
        <v>6896</v>
      </c>
    </row>
    <row r="5467" spans="1:6" x14ac:dyDescent="0.25">
      <c r="A5467" t="s">
        <v>6446</v>
      </c>
      <c r="B5467" t="s">
        <v>919</v>
      </c>
      <c r="C5467" t="s">
        <v>920</v>
      </c>
      <c r="D5467" t="str">
        <f>HYPERLINK("http://service.sap.com/sap/support/notes/1788796","1788796")</f>
        <v>1788796</v>
      </c>
      <c r="E5467">
        <v>1</v>
      </c>
      <c r="F5467" t="s">
        <v>6897</v>
      </c>
    </row>
    <row r="5468" spans="1:6" x14ac:dyDescent="0.25">
      <c r="A5468" t="s">
        <v>6446</v>
      </c>
      <c r="B5468" t="s">
        <v>919</v>
      </c>
      <c r="C5468" t="s">
        <v>920</v>
      </c>
      <c r="D5468" t="str">
        <f>HYPERLINK("http://service.sap.com/sap/support/notes/1796096","1796096")</f>
        <v>1796096</v>
      </c>
      <c r="E5468">
        <v>4</v>
      </c>
      <c r="F5468" t="s">
        <v>6898</v>
      </c>
    </row>
    <row r="5469" spans="1:6" x14ac:dyDescent="0.25">
      <c r="A5469" t="s">
        <v>6446</v>
      </c>
      <c r="B5469" t="s">
        <v>919</v>
      </c>
      <c r="C5469" t="s">
        <v>920</v>
      </c>
      <c r="D5469" t="str">
        <f>HYPERLINK("http://service.sap.com/sap/support/notes/1796146","1796146")</f>
        <v>1796146</v>
      </c>
      <c r="E5469">
        <v>1</v>
      </c>
      <c r="F5469" t="s">
        <v>6899</v>
      </c>
    </row>
    <row r="5470" spans="1:6" x14ac:dyDescent="0.25">
      <c r="A5470" t="s">
        <v>6446</v>
      </c>
      <c r="B5470" t="s">
        <v>919</v>
      </c>
      <c r="C5470" t="s">
        <v>920</v>
      </c>
      <c r="D5470" t="str">
        <f>HYPERLINK("http://service.sap.com/sap/support/notes/1803283","1803283")</f>
        <v>1803283</v>
      </c>
      <c r="E5470">
        <v>2</v>
      </c>
      <c r="F5470" t="s">
        <v>6900</v>
      </c>
    </row>
    <row r="5471" spans="1:6" x14ac:dyDescent="0.25">
      <c r="A5471" t="s">
        <v>6446</v>
      </c>
      <c r="B5471" t="s">
        <v>919</v>
      </c>
      <c r="C5471" t="s">
        <v>920</v>
      </c>
      <c r="D5471" t="str">
        <f>HYPERLINK("http://service.sap.com/sap/support/notes/1811955","1811955")</f>
        <v>1811955</v>
      </c>
      <c r="E5471">
        <v>3</v>
      </c>
      <c r="F5471" t="s">
        <v>6901</v>
      </c>
    </row>
    <row r="5472" spans="1:6" x14ac:dyDescent="0.25">
      <c r="A5472" t="s">
        <v>6446</v>
      </c>
      <c r="B5472" t="s">
        <v>919</v>
      </c>
      <c r="C5472" t="s">
        <v>920</v>
      </c>
      <c r="D5472" t="str">
        <f>HYPERLINK("http://service.sap.com/sap/support/notes/1814751","1814751")</f>
        <v>1814751</v>
      </c>
      <c r="E5472">
        <v>1</v>
      </c>
      <c r="F5472" t="s">
        <v>6902</v>
      </c>
    </row>
    <row r="5473" spans="1:6" x14ac:dyDescent="0.25">
      <c r="A5473" t="s">
        <v>6446</v>
      </c>
      <c r="B5473" t="s">
        <v>919</v>
      </c>
      <c r="C5473" t="s">
        <v>920</v>
      </c>
      <c r="D5473" t="str">
        <f>HYPERLINK("http://service.sap.com/sap/support/notes/1816028","1816028")</f>
        <v>1816028</v>
      </c>
      <c r="E5473">
        <v>1</v>
      </c>
      <c r="F5473" t="s">
        <v>6903</v>
      </c>
    </row>
    <row r="5474" spans="1:6" x14ac:dyDescent="0.25">
      <c r="A5474" t="s">
        <v>6446</v>
      </c>
      <c r="B5474" t="s">
        <v>919</v>
      </c>
      <c r="C5474" t="s">
        <v>920</v>
      </c>
      <c r="D5474" t="str">
        <f>HYPERLINK("http://service.sap.com/sap/support/notes/1816089","1816089")</f>
        <v>1816089</v>
      </c>
      <c r="E5474">
        <v>1</v>
      </c>
      <c r="F5474" t="s">
        <v>6904</v>
      </c>
    </row>
    <row r="5475" spans="1:6" x14ac:dyDescent="0.25">
      <c r="A5475" t="s">
        <v>6446</v>
      </c>
      <c r="B5475" t="s">
        <v>919</v>
      </c>
      <c r="C5475" t="s">
        <v>920</v>
      </c>
      <c r="D5475" t="str">
        <f>HYPERLINK("http://service.sap.com/sap/support/notes/1818483","1818483")</f>
        <v>1818483</v>
      </c>
      <c r="E5475">
        <v>1</v>
      </c>
      <c r="F5475" t="s">
        <v>6905</v>
      </c>
    </row>
    <row r="5476" spans="1:6" x14ac:dyDescent="0.25">
      <c r="A5476" t="s">
        <v>6446</v>
      </c>
      <c r="B5476" t="s">
        <v>919</v>
      </c>
      <c r="C5476" t="s">
        <v>920</v>
      </c>
      <c r="D5476" t="str">
        <f>HYPERLINK("http://service.sap.com/sap/support/notes/1820204","1820204")</f>
        <v>1820204</v>
      </c>
      <c r="E5476">
        <v>1</v>
      </c>
      <c r="F5476" t="s">
        <v>6906</v>
      </c>
    </row>
    <row r="5477" spans="1:6" x14ac:dyDescent="0.25">
      <c r="A5477" t="s">
        <v>6446</v>
      </c>
      <c r="B5477" t="s">
        <v>919</v>
      </c>
      <c r="C5477" t="s">
        <v>920</v>
      </c>
      <c r="D5477" t="str">
        <f>HYPERLINK("http://service.sap.com/sap/support/notes/1825810","1825810")</f>
        <v>1825810</v>
      </c>
      <c r="E5477">
        <v>2</v>
      </c>
      <c r="F5477" t="s">
        <v>6907</v>
      </c>
    </row>
    <row r="5478" spans="1:6" x14ac:dyDescent="0.25">
      <c r="A5478" t="s">
        <v>6446</v>
      </c>
      <c r="B5478" t="s">
        <v>919</v>
      </c>
      <c r="C5478" t="s">
        <v>920</v>
      </c>
      <c r="D5478" t="str">
        <f>HYPERLINK("http://service.sap.com/sap/support/notes/1830184","1830184")</f>
        <v>1830184</v>
      </c>
      <c r="E5478">
        <v>1</v>
      </c>
      <c r="F5478" t="s">
        <v>6908</v>
      </c>
    </row>
    <row r="5479" spans="1:6" x14ac:dyDescent="0.25">
      <c r="A5479" t="s">
        <v>6446</v>
      </c>
      <c r="B5479" t="s">
        <v>936</v>
      </c>
      <c r="C5479" t="s">
        <v>937</v>
      </c>
      <c r="D5479" t="str">
        <f>HYPERLINK("http://service.sap.com/sap/support/notes/1819286","1819286")</f>
        <v>1819286</v>
      </c>
      <c r="E5479">
        <v>2</v>
      </c>
      <c r="F5479" t="s">
        <v>6909</v>
      </c>
    </row>
    <row r="5480" spans="1:6" x14ac:dyDescent="0.25">
      <c r="A5480" t="s">
        <v>6446</v>
      </c>
      <c r="B5480" t="s">
        <v>942</v>
      </c>
      <c r="C5480" t="s">
        <v>943</v>
      </c>
      <c r="D5480" t="str">
        <f>HYPERLINK("http://service.sap.com/sap/support/notes/1773591","1773591")</f>
        <v>1773591</v>
      </c>
      <c r="E5480">
        <v>2</v>
      </c>
      <c r="F5480" t="s">
        <v>4675</v>
      </c>
    </row>
    <row r="5481" spans="1:6" x14ac:dyDescent="0.25">
      <c r="A5481" t="s">
        <v>6446</v>
      </c>
      <c r="B5481" t="s">
        <v>942</v>
      </c>
      <c r="C5481" t="s">
        <v>943</v>
      </c>
      <c r="D5481" t="str">
        <f>HYPERLINK("http://service.sap.com/sap/support/notes/1812884","1812884")</f>
        <v>1812884</v>
      </c>
      <c r="E5481">
        <v>1</v>
      </c>
      <c r="F5481" t="s">
        <v>6910</v>
      </c>
    </row>
    <row r="5482" spans="1:6" x14ac:dyDescent="0.25">
      <c r="A5482" t="s">
        <v>6446</v>
      </c>
      <c r="B5482" t="s">
        <v>944</v>
      </c>
      <c r="C5482" t="s">
        <v>151</v>
      </c>
    </row>
    <row r="5483" spans="1:6" x14ac:dyDescent="0.25">
      <c r="A5483" t="s">
        <v>6446</v>
      </c>
      <c r="B5483" t="s">
        <v>945</v>
      </c>
      <c r="C5483" t="s">
        <v>839</v>
      </c>
      <c r="D5483" t="str">
        <f>HYPERLINK("http://service.sap.com/sap/support/notes/1792698","1792698")</f>
        <v>1792698</v>
      </c>
      <c r="E5483">
        <v>1</v>
      </c>
      <c r="F5483" t="s">
        <v>6911</v>
      </c>
    </row>
    <row r="5484" spans="1:6" x14ac:dyDescent="0.25">
      <c r="A5484" t="s">
        <v>6446</v>
      </c>
      <c r="B5484" t="s">
        <v>945</v>
      </c>
      <c r="C5484" t="s">
        <v>839</v>
      </c>
      <c r="D5484" t="str">
        <f>HYPERLINK("http://service.sap.com/sap/support/notes/1799232","1799232")</f>
        <v>1799232</v>
      </c>
      <c r="E5484">
        <v>1</v>
      </c>
      <c r="F5484" t="s">
        <v>6912</v>
      </c>
    </row>
    <row r="5485" spans="1:6" x14ac:dyDescent="0.25">
      <c r="A5485" t="s">
        <v>6446</v>
      </c>
      <c r="B5485" t="s">
        <v>945</v>
      </c>
      <c r="C5485" t="s">
        <v>839</v>
      </c>
      <c r="D5485" t="str">
        <f>HYPERLINK("http://service.sap.com/sap/support/notes/1802342","1802342")</f>
        <v>1802342</v>
      </c>
      <c r="E5485">
        <v>1</v>
      </c>
      <c r="F5485" t="s">
        <v>6913</v>
      </c>
    </row>
    <row r="5486" spans="1:6" x14ac:dyDescent="0.25">
      <c r="A5486" t="s">
        <v>6446</v>
      </c>
      <c r="B5486" t="s">
        <v>945</v>
      </c>
      <c r="C5486" t="s">
        <v>839</v>
      </c>
      <c r="D5486" t="str">
        <f>HYPERLINK("http://service.sap.com/sap/support/notes/1806838","1806838")</f>
        <v>1806838</v>
      </c>
      <c r="E5486">
        <v>2</v>
      </c>
      <c r="F5486" t="s">
        <v>6914</v>
      </c>
    </row>
    <row r="5487" spans="1:6" x14ac:dyDescent="0.25">
      <c r="A5487" t="s">
        <v>6446</v>
      </c>
      <c r="B5487" t="s">
        <v>945</v>
      </c>
      <c r="C5487" t="s">
        <v>839</v>
      </c>
      <c r="D5487" t="str">
        <f>HYPERLINK("http://service.sap.com/sap/support/notes/1812112","1812112")</f>
        <v>1812112</v>
      </c>
      <c r="E5487">
        <v>2</v>
      </c>
      <c r="F5487" t="s">
        <v>6915</v>
      </c>
    </row>
    <row r="5488" spans="1:6" x14ac:dyDescent="0.25">
      <c r="A5488" t="s">
        <v>6446</v>
      </c>
      <c r="B5488" t="s">
        <v>945</v>
      </c>
      <c r="C5488" t="s">
        <v>839</v>
      </c>
      <c r="D5488" t="str">
        <f>HYPERLINK("http://service.sap.com/sap/support/notes/1816531","1816531")</f>
        <v>1816531</v>
      </c>
      <c r="E5488">
        <v>2</v>
      </c>
      <c r="F5488" t="s">
        <v>6916</v>
      </c>
    </row>
    <row r="5489" spans="1:6" x14ac:dyDescent="0.25">
      <c r="A5489" t="s">
        <v>6446</v>
      </c>
      <c r="B5489" t="s">
        <v>945</v>
      </c>
      <c r="C5489" t="s">
        <v>839</v>
      </c>
      <c r="D5489" t="str">
        <f>HYPERLINK("http://service.sap.com/sap/support/notes/1819205","1819205")</f>
        <v>1819205</v>
      </c>
      <c r="E5489">
        <v>2</v>
      </c>
      <c r="F5489" t="s">
        <v>6917</v>
      </c>
    </row>
    <row r="5490" spans="1:6" x14ac:dyDescent="0.25">
      <c r="A5490" t="s">
        <v>6446</v>
      </c>
      <c r="B5490" t="s">
        <v>956</v>
      </c>
      <c r="C5490" t="s">
        <v>957</v>
      </c>
      <c r="D5490" t="str">
        <f>HYPERLINK("http://service.sap.com/sap/support/notes/1768154","1768154")</f>
        <v>1768154</v>
      </c>
      <c r="E5490">
        <v>4</v>
      </c>
      <c r="F5490" t="s">
        <v>6918</v>
      </c>
    </row>
    <row r="5491" spans="1:6" x14ac:dyDescent="0.25">
      <c r="A5491" t="s">
        <v>6446</v>
      </c>
      <c r="B5491" t="s">
        <v>956</v>
      </c>
      <c r="C5491" t="s">
        <v>957</v>
      </c>
      <c r="D5491" t="str">
        <f>HYPERLINK("http://service.sap.com/sap/support/notes/1769212","1769212")</f>
        <v>1769212</v>
      </c>
      <c r="E5491">
        <v>1</v>
      </c>
      <c r="F5491" t="s">
        <v>6919</v>
      </c>
    </row>
    <row r="5492" spans="1:6" x14ac:dyDescent="0.25">
      <c r="A5492" t="s">
        <v>6446</v>
      </c>
      <c r="B5492" t="s">
        <v>956</v>
      </c>
      <c r="C5492" t="s">
        <v>957</v>
      </c>
      <c r="D5492" t="str">
        <f>HYPERLINK("http://service.sap.com/sap/support/notes/1790825","1790825")</f>
        <v>1790825</v>
      </c>
      <c r="E5492">
        <v>1</v>
      </c>
      <c r="F5492" t="s">
        <v>6920</v>
      </c>
    </row>
    <row r="5493" spans="1:6" x14ac:dyDescent="0.25">
      <c r="A5493" t="s">
        <v>6446</v>
      </c>
      <c r="B5493" t="s">
        <v>956</v>
      </c>
      <c r="C5493" t="s">
        <v>957</v>
      </c>
      <c r="D5493" t="str">
        <f>HYPERLINK("http://service.sap.com/sap/support/notes/1801023","1801023")</f>
        <v>1801023</v>
      </c>
      <c r="E5493">
        <v>1</v>
      </c>
      <c r="F5493" t="s">
        <v>6921</v>
      </c>
    </row>
    <row r="5494" spans="1:6" x14ac:dyDescent="0.25">
      <c r="A5494" t="s">
        <v>6446</v>
      </c>
      <c r="B5494" t="s">
        <v>956</v>
      </c>
      <c r="C5494" t="s">
        <v>957</v>
      </c>
      <c r="D5494" t="str">
        <f>HYPERLINK("http://service.sap.com/sap/support/notes/1802622","1802622")</f>
        <v>1802622</v>
      </c>
      <c r="E5494">
        <v>2</v>
      </c>
      <c r="F5494" t="s">
        <v>6922</v>
      </c>
    </row>
    <row r="5495" spans="1:6" x14ac:dyDescent="0.25">
      <c r="A5495" t="s">
        <v>6446</v>
      </c>
      <c r="B5495" t="s">
        <v>956</v>
      </c>
      <c r="C5495" t="s">
        <v>957</v>
      </c>
      <c r="D5495" t="str">
        <f>HYPERLINK("http://service.sap.com/sap/support/notes/1810061","1810061")</f>
        <v>1810061</v>
      </c>
      <c r="E5495">
        <v>1</v>
      </c>
      <c r="F5495" t="s">
        <v>6923</v>
      </c>
    </row>
    <row r="5496" spans="1:6" x14ac:dyDescent="0.25">
      <c r="A5496" t="s">
        <v>6446</v>
      </c>
      <c r="B5496" t="s">
        <v>956</v>
      </c>
      <c r="C5496" t="s">
        <v>957</v>
      </c>
      <c r="D5496" t="str">
        <f>HYPERLINK("http://service.sap.com/sap/support/notes/1810418","1810418")</f>
        <v>1810418</v>
      </c>
      <c r="E5496">
        <v>1</v>
      </c>
      <c r="F5496" t="s">
        <v>6924</v>
      </c>
    </row>
    <row r="5497" spans="1:6" x14ac:dyDescent="0.25">
      <c r="A5497" t="s">
        <v>6446</v>
      </c>
      <c r="B5497" t="s">
        <v>956</v>
      </c>
      <c r="C5497" t="s">
        <v>957</v>
      </c>
      <c r="D5497" t="str">
        <f>HYPERLINK("http://service.sap.com/sap/support/notes/1812264","1812264")</f>
        <v>1812264</v>
      </c>
      <c r="E5497">
        <v>2</v>
      </c>
      <c r="F5497" t="s">
        <v>6925</v>
      </c>
    </row>
    <row r="5498" spans="1:6" x14ac:dyDescent="0.25">
      <c r="A5498" t="s">
        <v>6446</v>
      </c>
      <c r="B5498" t="s">
        <v>956</v>
      </c>
      <c r="C5498" t="s">
        <v>957</v>
      </c>
      <c r="D5498" t="str">
        <f>HYPERLINK("http://service.sap.com/sap/support/notes/1815751","1815751")</f>
        <v>1815751</v>
      </c>
      <c r="E5498">
        <v>1</v>
      </c>
      <c r="F5498" t="s">
        <v>6926</v>
      </c>
    </row>
    <row r="5499" spans="1:6" x14ac:dyDescent="0.25">
      <c r="A5499" t="s">
        <v>6446</v>
      </c>
      <c r="B5499" t="s">
        <v>956</v>
      </c>
      <c r="C5499" t="s">
        <v>957</v>
      </c>
      <c r="D5499" t="str">
        <f>HYPERLINK("http://service.sap.com/sap/support/notes/1817938","1817938")</f>
        <v>1817938</v>
      </c>
      <c r="E5499">
        <v>1</v>
      </c>
      <c r="F5499" t="s">
        <v>6927</v>
      </c>
    </row>
    <row r="5500" spans="1:6" x14ac:dyDescent="0.25">
      <c r="A5500" t="s">
        <v>6446</v>
      </c>
      <c r="B5500" t="s">
        <v>970</v>
      </c>
      <c r="C5500" t="s">
        <v>971</v>
      </c>
      <c r="D5500" t="str">
        <f>HYPERLINK("http://service.sap.com/sap/support/notes/1797718","1797718")</f>
        <v>1797718</v>
      </c>
      <c r="E5500">
        <v>1</v>
      </c>
      <c r="F5500" t="s">
        <v>6928</v>
      </c>
    </row>
    <row r="5501" spans="1:6" x14ac:dyDescent="0.25">
      <c r="A5501" t="s">
        <v>6446</v>
      </c>
      <c r="B5501" t="s">
        <v>970</v>
      </c>
      <c r="C5501" t="s">
        <v>971</v>
      </c>
      <c r="D5501" t="str">
        <f>HYPERLINK("http://service.sap.com/sap/support/notes/1801151","1801151")</f>
        <v>1801151</v>
      </c>
      <c r="E5501">
        <v>1</v>
      </c>
      <c r="F5501" t="s">
        <v>6929</v>
      </c>
    </row>
    <row r="5502" spans="1:6" x14ac:dyDescent="0.25">
      <c r="A5502" t="s">
        <v>6446</v>
      </c>
      <c r="B5502" t="s">
        <v>970</v>
      </c>
      <c r="C5502" t="s">
        <v>971</v>
      </c>
      <c r="D5502" t="str">
        <f>HYPERLINK("http://service.sap.com/sap/support/notes/1802338","1802338")</f>
        <v>1802338</v>
      </c>
      <c r="E5502">
        <v>1</v>
      </c>
      <c r="F5502" t="s">
        <v>6930</v>
      </c>
    </row>
    <row r="5503" spans="1:6" x14ac:dyDescent="0.25">
      <c r="A5503" t="s">
        <v>6446</v>
      </c>
      <c r="B5503" t="s">
        <v>980</v>
      </c>
      <c r="C5503" t="s">
        <v>883</v>
      </c>
      <c r="D5503" t="str">
        <f>HYPERLINK("http://service.sap.com/sap/support/notes/1799883","1799883")</f>
        <v>1799883</v>
      </c>
      <c r="E5503">
        <v>2</v>
      </c>
      <c r="F5503" t="s">
        <v>6931</v>
      </c>
    </row>
    <row r="5504" spans="1:6" x14ac:dyDescent="0.25">
      <c r="A5504" t="s">
        <v>6446</v>
      </c>
      <c r="B5504" t="s">
        <v>980</v>
      </c>
      <c r="C5504" t="s">
        <v>883</v>
      </c>
      <c r="D5504" t="str">
        <f>HYPERLINK("http://service.sap.com/sap/support/notes/1807401","1807401")</f>
        <v>1807401</v>
      </c>
      <c r="E5504">
        <v>1</v>
      </c>
      <c r="F5504" t="s">
        <v>6932</v>
      </c>
    </row>
    <row r="5505" spans="1:6" x14ac:dyDescent="0.25">
      <c r="A5505" t="s">
        <v>6446</v>
      </c>
      <c r="B5505" t="s">
        <v>4697</v>
      </c>
      <c r="C5505" t="s">
        <v>891</v>
      </c>
      <c r="D5505" t="str">
        <f>HYPERLINK("http://service.sap.com/sap/support/notes/1796821","1796821")</f>
        <v>1796821</v>
      </c>
      <c r="E5505">
        <v>2</v>
      </c>
      <c r="F5505" t="s">
        <v>6933</v>
      </c>
    </row>
    <row r="5506" spans="1:6" x14ac:dyDescent="0.25">
      <c r="A5506" t="s">
        <v>6446</v>
      </c>
      <c r="B5506" t="s">
        <v>4697</v>
      </c>
      <c r="C5506" t="s">
        <v>891</v>
      </c>
      <c r="D5506" t="str">
        <f>HYPERLINK("http://service.sap.com/sap/support/notes/1817321","1817321")</f>
        <v>1817321</v>
      </c>
      <c r="E5506">
        <v>1</v>
      </c>
      <c r="F5506" t="s">
        <v>6934</v>
      </c>
    </row>
    <row r="5507" spans="1:6" x14ac:dyDescent="0.25">
      <c r="A5507" t="s">
        <v>6446</v>
      </c>
      <c r="B5507" t="s">
        <v>4697</v>
      </c>
      <c r="C5507" t="s">
        <v>891</v>
      </c>
      <c r="D5507" t="str">
        <f>HYPERLINK("http://service.sap.com/sap/support/notes/1819874","1819874")</f>
        <v>1819874</v>
      </c>
      <c r="E5507">
        <v>1</v>
      </c>
      <c r="F5507" t="s">
        <v>6935</v>
      </c>
    </row>
    <row r="5508" spans="1:6" x14ac:dyDescent="0.25">
      <c r="A5508" t="s">
        <v>6446</v>
      </c>
      <c r="B5508" t="s">
        <v>990</v>
      </c>
      <c r="C5508" t="s">
        <v>29</v>
      </c>
      <c r="D5508" t="str">
        <f>HYPERLINK("http://service.sap.com/sap/support/notes/1774115","1774115")</f>
        <v>1774115</v>
      </c>
      <c r="E5508">
        <v>3</v>
      </c>
      <c r="F5508" t="s">
        <v>6936</v>
      </c>
    </row>
    <row r="5509" spans="1:6" x14ac:dyDescent="0.25">
      <c r="A5509" t="s">
        <v>6446</v>
      </c>
      <c r="B5509" t="s">
        <v>990</v>
      </c>
      <c r="C5509" t="s">
        <v>29</v>
      </c>
      <c r="D5509" t="str">
        <f>HYPERLINK("http://service.sap.com/sap/support/notes/1781867","1781867")</f>
        <v>1781867</v>
      </c>
      <c r="E5509">
        <v>2</v>
      </c>
      <c r="F5509" t="s">
        <v>6937</v>
      </c>
    </row>
    <row r="5510" spans="1:6" x14ac:dyDescent="0.25">
      <c r="A5510" t="s">
        <v>6446</v>
      </c>
      <c r="B5510" t="s">
        <v>990</v>
      </c>
      <c r="C5510" t="s">
        <v>29</v>
      </c>
      <c r="D5510" t="str">
        <f>HYPERLINK("http://service.sap.com/sap/support/notes/1787323","1787323")</f>
        <v>1787323</v>
      </c>
      <c r="E5510">
        <v>1</v>
      </c>
      <c r="F5510" t="s">
        <v>6938</v>
      </c>
    </row>
    <row r="5511" spans="1:6" x14ac:dyDescent="0.25">
      <c r="A5511" t="s">
        <v>6446</v>
      </c>
      <c r="B5511" t="s">
        <v>990</v>
      </c>
      <c r="C5511" t="s">
        <v>29</v>
      </c>
      <c r="D5511" t="str">
        <f>HYPERLINK("http://service.sap.com/sap/support/notes/1813133","1813133")</f>
        <v>1813133</v>
      </c>
      <c r="E5511">
        <v>2</v>
      </c>
      <c r="F5511" t="s">
        <v>6939</v>
      </c>
    </row>
    <row r="5512" spans="1:6" x14ac:dyDescent="0.25">
      <c r="A5512" t="s">
        <v>6446</v>
      </c>
      <c r="B5512" t="s">
        <v>990</v>
      </c>
      <c r="C5512" t="s">
        <v>29</v>
      </c>
      <c r="D5512" t="str">
        <f>HYPERLINK("http://service.sap.com/sap/support/notes/1827784","1827784")</f>
        <v>1827784</v>
      </c>
      <c r="E5512">
        <v>1</v>
      </c>
      <c r="F5512" t="s">
        <v>6940</v>
      </c>
    </row>
    <row r="5513" spans="1:6" x14ac:dyDescent="0.25">
      <c r="A5513" t="s">
        <v>6446</v>
      </c>
      <c r="B5513" t="s">
        <v>990</v>
      </c>
      <c r="C5513" t="s">
        <v>29</v>
      </c>
      <c r="D5513" t="str">
        <f>HYPERLINK("http://service.sap.com/sap/support/notes/1828139","1828139")</f>
        <v>1828139</v>
      </c>
      <c r="E5513">
        <v>1</v>
      </c>
      <c r="F5513" t="s">
        <v>6941</v>
      </c>
    </row>
    <row r="5514" spans="1:6" x14ac:dyDescent="0.25">
      <c r="A5514" t="s">
        <v>6446</v>
      </c>
      <c r="B5514" t="s">
        <v>997</v>
      </c>
      <c r="C5514" t="s">
        <v>998</v>
      </c>
      <c r="D5514" t="str">
        <f>HYPERLINK("http://service.sap.com/sap/support/notes/1812393","1812393")</f>
        <v>1812393</v>
      </c>
      <c r="E5514">
        <v>1</v>
      </c>
      <c r="F5514" t="s">
        <v>6942</v>
      </c>
    </row>
    <row r="5515" spans="1:6" x14ac:dyDescent="0.25">
      <c r="A5515" t="s">
        <v>6446</v>
      </c>
      <c r="B5515" t="s">
        <v>997</v>
      </c>
      <c r="C5515" t="s">
        <v>998</v>
      </c>
      <c r="D5515" t="str">
        <f>HYPERLINK("http://service.sap.com/sap/support/notes/1814304","1814304")</f>
        <v>1814304</v>
      </c>
      <c r="E5515">
        <v>1</v>
      </c>
      <c r="F5515" t="s">
        <v>6943</v>
      </c>
    </row>
    <row r="5516" spans="1:6" x14ac:dyDescent="0.25">
      <c r="A5516" t="s">
        <v>6446</v>
      </c>
      <c r="B5516" t="s">
        <v>1000</v>
      </c>
      <c r="C5516" t="s">
        <v>1001</v>
      </c>
    </row>
    <row r="5517" spans="1:6" x14ac:dyDescent="0.25">
      <c r="A5517" t="s">
        <v>6446</v>
      </c>
      <c r="B5517" t="s">
        <v>1002</v>
      </c>
      <c r="C5517" t="s">
        <v>29</v>
      </c>
      <c r="D5517" t="str">
        <f>HYPERLINK("http://service.sap.com/sap/support/notes/1796421","1796421")</f>
        <v>1796421</v>
      </c>
      <c r="E5517">
        <v>2</v>
      </c>
      <c r="F5517" t="s">
        <v>6944</v>
      </c>
    </row>
    <row r="5518" spans="1:6" x14ac:dyDescent="0.25">
      <c r="A5518" t="s">
        <v>6446</v>
      </c>
      <c r="B5518" t="s">
        <v>1002</v>
      </c>
      <c r="C5518" t="s">
        <v>29</v>
      </c>
      <c r="D5518" t="str">
        <f>HYPERLINK("http://service.sap.com/sap/support/notes/1805900","1805900")</f>
        <v>1805900</v>
      </c>
      <c r="E5518">
        <v>1</v>
      </c>
      <c r="F5518" t="s">
        <v>6945</v>
      </c>
    </row>
    <row r="5519" spans="1:6" x14ac:dyDescent="0.25">
      <c r="A5519" t="s">
        <v>6446</v>
      </c>
      <c r="B5519" t="s">
        <v>1002</v>
      </c>
      <c r="C5519" t="s">
        <v>29</v>
      </c>
      <c r="D5519" t="str">
        <f>HYPERLINK("http://service.sap.com/sap/support/notes/1806622","1806622")</f>
        <v>1806622</v>
      </c>
      <c r="E5519">
        <v>1</v>
      </c>
      <c r="F5519" t="s">
        <v>6946</v>
      </c>
    </row>
    <row r="5520" spans="1:6" x14ac:dyDescent="0.25">
      <c r="A5520" t="s">
        <v>6446</v>
      </c>
      <c r="B5520" t="s">
        <v>1005</v>
      </c>
      <c r="C5520" t="s">
        <v>1006</v>
      </c>
    </row>
    <row r="5521" spans="1:6" x14ac:dyDescent="0.25">
      <c r="A5521" t="s">
        <v>6446</v>
      </c>
      <c r="B5521" t="s">
        <v>1008</v>
      </c>
      <c r="C5521" t="s">
        <v>1009</v>
      </c>
      <c r="D5521" t="str">
        <f>HYPERLINK("http://service.sap.com/sap/support/notes/1783393","1783393")</f>
        <v>1783393</v>
      </c>
      <c r="E5521">
        <v>1</v>
      </c>
      <c r="F5521" t="s">
        <v>6947</v>
      </c>
    </row>
    <row r="5522" spans="1:6" x14ac:dyDescent="0.25">
      <c r="A5522" t="s">
        <v>6446</v>
      </c>
      <c r="B5522" t="s">
        <v>1008</v>
      </c>
      <c r="C5522" t="s">
        <v>1009</v>
      </c>
      <c r="D5522" t="str">
        <f>HYPERLINK("http://service.sap.com/sap/support/notes/1790790","1790790")</f>
        <v>1790790</v>
      </c>
      <c r="E5522">
        <v>1</v>
      </c>
      <c r="F5522" t="s">
        <v>6948</v>
      </c>
    </row>
    <row r="5523" spans="1:6" x14ac:dyDescent="0.25">
      <c r="A5523" t="s">
        <v>6446</v>
      </c>
      <c r="B5523" t="s">
        <v>1008</v>
      </c>
      <c r="C5523" t="s">
        <v>1009</v>
      </c>
      <c r="D5523" t="str">
        <f>HYPERLINK("http://service.sap.com/sap/support/notes/1795772","1795772")</f>
        <v>1795772</v>
      </c>
      <c r="E5523">
        <v>1</v>
      </c>
      <c r="F5523" t="s">
        <v>6949</v>
      </c>
    </row>
    <row r="5524" spans="1:6" x14ac:dyDescent="0.25">
      <c r="A5524" t="s">
        <v>6446</v>
      </c>
      <c r="B5524" t="s">
        <v>1008</v>
      </c>
      <c r="C5524" t="s">
        <v>1009</v>
      </c>
      <c r="D5524" t="str">
        <f>HYPERLINK("http://service.sap.com/sap/support/notes/1803844","1803844")</f>
        <v>1803844</v>
      </c>
      <c r="E5524">
        <v>1</v>
      </c>
      <c r="F5524" t="s">
        <v>6950</v>
      </c>
    </row>
    <row r="5525" spans="1:6" x14ac:dyDescent="0.25">
      <c r="A5525" t="s">
        <v>6446</v>
      </c>
      <c r="B5525" t="s">
        <v>1008</v>
      </c>
      <c r="C5525" t="s">
        <v>1009</v>
      </c>
      <c r="D5525" t="str">
        <f>HYPERLINK("http://service.sap.com/sap/support/notes/1805378","1805378")</f>
        <v>1805378</v>
      </c>
      <c r="E5525">
        <v>4</v>
      </c>
      <c r="F5525" t="s">
        <v>6951</v>
      </c>
    </row>
    <row r="5526" spans="1:6" x14ac:dyDescent="0.25">
      <c r="A5526" t="s">
        <v>6446</v>
      </c>
      <c r="B5526" t="s">
        <v>1008</v>
      </c>
      <c r="C5526" t="s">
        <v>1009</v>
      </c>
      <c r="D5526" t="str">
        <f>HYPERLINK("http://service.sap.com/sap/support/notes/1806351","1806351")</f>
        <v>1806351</v>
      </c>
      <c r="E5526">
        <v>1</v>
      </c>
      <c r="F5526" t="s">
        <v>6952</v>
      </c>
    </row>
    <row r="5527" spans="1:6" x14ac:dyDescent="0.25">
      <c r="A5527" t="s">
        <v>6446</v>
      </c>
      <c r="B5527" t="s">
        <v>1008</v>
      </c>
      <c r="C5527" t="s">
        <v>1009</v>
      </c>
      <c r="D5527" t="str">
        <f>HYPERLINK("http://service.sap.com/sap/support/notes/1813545","1813545")</f>
        <v>1813545</v>
      </c>
      <c r="E5527">
        <v>2</v>
      </c>
      <c r="F5527" t="s">
        <v>6953</v>
      </c>
    </row>
    <row r="5528" spans="1:6" x14ac:dyDescent="0.25">
      <c r="A5528" t="s">
        <v>6446</v>
      </c>
      <c r="B5528" t="s">
        <v>1023</v>
      </c>
      <c r="C5528" t="s">
        <v>1024</v>
      </c>
      <c r="D5528" t="str">
        <f>HYPERLINK("http://service.sap.com/sap/support/notes/1799789","1799789")</f>
        <v>1799789</v>
      </c>
      <c r="E5528">
        <v>1</v>
      </c>
      <c r="F5528" t="s">
        <v>6954</v>
      </c>
    </row>
    <row r="5529" spans="1:6" x14ac:dyDescent="0.25">
      <c r="A5529" t="s">
        <v>6446</v>
      </c>
      <c r="B5529" t="s">
        <v>1023</v>
      </c>
      <c r="C5529" t="s">
        <v>1024</v>
      </c>
      <c r="D5529" t="str">
        <f>HYPERLINK("http://service.sap.com/sap/support/notes/1799872","1799872")</f>
        <v>1799872</v>
      </c>
      <c r="E5529">
        <v>1</v>
      </c>
      <c r="F5529" t="s">
        <v>6955</v>
      </c>
    </row>
    <row r="5530" spans="1:6" x14ac:dyDescent="0.25">
      <c r="A5530" t="s">
        <v>6446</v>
      </c>
      <c r="B5530" t="s">
        <v>1023</v>
      </c>
      <c r="C5530" t="s">
        <v>1024</v>
      </c>
      <c r="D5530" t="str">
        <f>HYPERLINK("http://service.sap.com/sap/support/notes/1801622","1801622")</f>
        <v>1801622</v>
      </c>
      <c r="E5530">
        <v>1</v>
      </c>
      <c r="F5530" t="s">
        <v>6956</v>
      </c>
    </row>
    <row r="5531" spans="1:6" x14ac:dyDescent="0.25">
      <c r="A5531" t="s">
        <v>6446</v>
      </c>
      <c r="B5531" t="s">
        <v>1023</v>
      </c>
      <c r="C5531" t="s">
        <v>1024</v>
      </c>
      <c r="D5531" t="str">
        <f>HYPERLINK("http://service.sap.com/sap/support/notes/1805616","1805616")</f>
        <v>1805616</v>
      </c>
      <c r="E5531">
        <v>3</v>
      </c>
      <c r="F5531" t="s">
        <v>6957</v>
      </c>
    </row>
    <row r="5532" spans="1:6" x14ac:dyDescent="0.25">
      <c r="A5532" t="s">
        <v>6446</v>
      </c>
      <c r="B5532" t="s">
        <v>1023</v>
      </c>
      <c r="C5532" t="s">
        <v>1024</v>
      </c>
      <c r="D5532" t="str">
        <f>HYPERLINK("http://service.sap.com/sap/support/notes/1806644","1806644")</f>
        <v>1806644</v>
      </c>
      <c r="E5532">
        <v>1</v>
      </c>
      <c r="F5532" t="s">
        <v>6958</v>
      </c>
    </row>
    <row r="5533" spans="1:6" x14ac:dyDescent="0.25">
      <c r="A5533" t="s">
        <v>6446</v>
      </c>
      <c r="B5533" t="s">
        <v>1023</v>
      </c>
      <c r="C5533" t="s">
        <v>1024</v>
      </c>
      <c r="D5533" t="str">
        <f>HYPERLINK("http://service.sap.com/sap/support/notes/1808750","1808750")</f>
        <v>1808750</v>
      </c>
      <c r="E5533">
        <v>1</v>
      </c>
      <c r="F5533" t="s">
        <v>6959</v>
      </c>
    </row>
    <row r="5534" spans="1:6" x14ac:dyDescent="0.25">
      <c r="A5534" t="s">
        <v>6446</v>
      </c>
      <c r="B5534" t="s">
        <v>1023</v>
      </c>
      <c r="C5534" t="s">
        <v>1024</v>
      </c>
      <c r="D5534" t="str">
        <f>HYPERLINK("http://service.sap.com/sap/support/notes/1810648","1810648")</f>
        <v>1810648</v>
      </c>
      <c r="E5534">
        <v>2</v>
      </c>
      <c r="F5534" t="s">
        <v>6960</v>
      </c>
    </row>
    <row r="5535" spans="1:6" x14ac:dyDescent="0.25">
      <c r="A5535" t="s">
        <v>6446</v>
      </c>
      <c r="B5535" t="s">
        <v>1033</v>
      </c>
      <c r="C5535" t="s">
        <v>1034</v>
      </c>
      <c r="D5535" t="str">
        <f>HYPERLINK("http://service.sap.com/sap/support/notes/1618618","1618618")</f>
        <v>1618618</v>
      </c>
      <c r="E5535">
        <v>3</v>
      </c>
      <c r="F5535" t="s">
        <v>6961</v>
      </c>
    </row>
    <row r="5536" spans="1:6" x14ac:dyDescent="0.25">
      <c r="A5536" t="s">
        <v>6446</v>
      </c>
      <c r="B5536" t="s">
        <v>1033</v>
      </c>
      <c r="C5536" t="s">
        <v>1034</v>
      </c>
      <c r="D5536" t="str">
        <f>HYPERLINK("http://service.sap.com/sap/support/notes/1662243","1662243")</f>
        <v>1662243</v>
      </c>
      <c r="E5536">
        <v>6</v>
      </c>
      <c r="F5536" t="s">
        <v>6962</v>
      </c>
    </row>
    <row r="5537" spans="1:6" x14ac:dyDescent="0.25">
      <c r="A5537" t="s">
        <v>6446</v>
      </c>
      <c r="B5537" t="s">
        <v>1033</v>
      </c>
      <c r="C5537" t="s">
        <v>1034</v>
      </c>
      <c r="D5537" t="str">
        <f>HYPERLINK("http://service.sap.com/sap/support/notes/1713112","1713112")</f>
        <v>1713112</v>
      </c>
      <c r="E5537">
        <v>8</v>
      </c>
      <c r="F5537" t="s">
        <v>6963</v>
      </c>
    </row>
    <row r="5538" spans="1:6" x14ac:dyDescent="0.25">
      <c r="A5538" t="s">
        <v>6446</v>
      </c>
      <c r="B5538" t="s">
        <v>1033</v>
      </c>
      <c r="C5538" t="s">
        <v>1034</v>
      </c>
      <c r="D5538" t="str">
        <f>HYPERLINK("http://service.sap.com/sap/support/notes/1738199","1738199")</f>
        <v>1738199</v>
      </c>
      <c r="E5538">
        <v>2</v>
      </c>
      <c r="F5538" t="s">
        <v>6964</v>
      </c>
    </row>
    <row r="5539" spans="1:6" x14ac:dyDescent="0.25">
      <c r="A5539" t="s">
        <v>6446</v>
      </c>
      <c r="B5539" t="s">
        <v>1033</v>
      </c>
      <c r="C5539" t="s">
        <v>1034</v>
      </c>
      <c r="D5539" t="str">
        <f>HYPERLINK("http://service.sap.com/sap/support/notes/1746277","1746277")</f>
        <v>1746277</v>
      </c>
      <c r="E5539">
        <v>10</v>
      </c>
      <c r="F5539" t="s">
        <v>6965</v>
      </c>
    </row>
    <row r="5540" spans="1:6" x14ac:dyDescent="0.25">
      <c r="A5540" t="s">
        <v>6446</v>
      </c>
      <c r="B5540" t="s">
        <v>1033</v>
      </c>
      <c r="C5540" t="s">
        <v>1034</v>
      </c>
      <c r="D5540" t="str">
        <f>HYPERLINK("http://service.sap.com/sap/support/notes/1751796","1751796")</f>
        <v>1751796</v>
      </c>
      <c r="E5540">
        <v>10</v>
      </c>
      <c r="F5540" t="s">
        <v>6966</v>
      </c>
    </row>
    <row r="5541" spans="1:6" x14ac:dyDescent="0.25">
      <c r="A5541" t="s">
        <v>6446</v>
      </c>
      <c r="B5541" t="s">
        <v>1033</v>
      </c>
      <c r="C5541" t="s">
        <v>1034</v>
      </c>
      <c r="D5541" t="str">
        <f>HYPERLINK("http://service.sap.com/sap/support/notes/1763901","1763901")</f>
        <v>1763901</v>
      </c>
      <c r="E5541">
        <v>2</v>
      </c>
      <c r="F5541" t="s">
        <v>6967</v>
      </c>
    </row>
    <row r="5542" spans="1:6" x14ac:dyDescent="0.25">
      <c r="A5542" t="s">
        <v>6446</v>
      </c>
      <c r="B5542" t="s">
        <v>1033</v>
      </c>
      <c r="C5542" t="s">
        <v>1034</v>
      </c>
      <c r="D5542" t="str">
        <f>HYPERLINK("http://service.sap.com/sap/support/notes/1771951","1771951")</f>
        <v>1771951</v>
      </c>
      <c r="E5542">
        <v>4</v>
      </c>
      <c r="F5542" t="s">
        <v>6968</v>
      </c>
    </row>
    <row r="5543" spans="1:6" x14ac:dyDescent="0.25">
      <c r="A5543" t="s">
        <v>6446</v>
      </c>
      <c r="B5543" t="s">
        <v>1033</v>
      </c>
      <c r="C5543" t="s">
        <v>1034</v>
      </c>
      <c r="D5543" t="str">
        <f>HYPERLINK("http://service.sap.com/sap/support/notes/1781325","1781325")</f>
        <v>1781325</v>
      </c>
      <c r="E5543">
        <v>10</v>
      </c>
      <c r="F5543" t="s">
        <v>6969</v>
      </c>
    </row>
    <row r="5544" spans="1:6" x14ac:dyDescent="0.25">
      <c r="A5544" t="s">
        <v>6446</v>
      </c>
      <c r="B5544" t="s">
        <v>1033</v>
      </c>
      <c r="C5544" t="s">
        <v>1034</v>
      </c>
      <c r="D5544" t="str">
        <f>HYPERLINK("http://service.sap.com/sap/support/notes/1788053","1788053")</f>
        <v>1788053</v>
      </c>
      <c r="E5544">
        <v>1</v>
      </c>
      <c r="F5544" t="s">
        <v>6970</v>
      </c>
    </row>
    <row r="5545" spans="1:6" x14ac:dyDescent="0.25">
      <c r="A5545" t="s">
        <v>6446</v>
      </c>
      <c r="B5545" t="s">
        <v>1033</v>
      </c>
      <c r="C5545" t="s">
        <v>1034</v>
      </c>
      <c r="D5545" t="str">
        <f>HYPERLINK("http://service.sap.com/sap/support/notes/1793204","1793204")</f>
        <v>1793204</v>
      </c>
      <c r="E5545">
        <v>2</v>
      </c>
      <c r="F5545" t="s">
        <v>6971</v>
      </c>
    </row>
    <row r="5546" spans="1:6" x14ac:dyDescent="0.25">
      <c r="A5546" t="s">
        <v>6446</v>
      </c>
      <c r="B5546" t="s">
        <v>1033</v>
      </c>
      <c r="C5546" t="s">
        <v>1034</v>
      </c>
      <c r="D5546" t="str">
        <f>HYPERLINK("http://service.sap.com/sap/support/notes/1798625","1798625")</f>
        <v>1798625</v>
      </c>
      <c r="E5546">
        <v>1</v>
      </c>
      <c r="F5546" t="s">
        <v>6972</v>
      </c>
    </row>
    <row r="5547" spans="1:6" x14ac:dyDescent="0.25">
      <c r="A5547" t="s">
        <v>6446</v>
      </c>
      <c r="B5547" t="s">
        <v>1033</v>
      </c>
      <c r="C5547" t="s">
        <v>1034</v>
      </c>
      <c r="D5547" t="str">
        <f>HYPERLINK("http://service.sap.com/sap/support/notes/1812747","1812747")</f>
        <v>1812747</v>
      </c>
      <c r="E5547">
        <v>1</v>
      </c>
      <c r="F5547" t="s">
        <v>6973</v>
      </c>
    </row>
    <row r="5548" spans="1:6" x14ac:dyDescent="0.25">
      <c r="A5548" t="s">
        <v>6446</v>
      </c>
      <c r="B5548" t="s">
        <v>1033</v>
      </c>
      <c r="C5548" t="s">
        <v>1034</v>
      </c>
      <c r="D5548" t="str">
        <f>HYPERLINK("http://service.sap.com/sap/support/notes/1814948","1814948")</f>
        <v>1814948</v>
      </c>
      <c r="E5548">
        <v>2</v>
      </c>
      <c r="F5548" t="s">
        <v>6974</v>
      </c>
    </row>
    <row r="5549" spans="1:6" x14ac:dyDescent="0.25">
      <c r="A5549" t="s">
        <v>6446</v>
      </c>
      <c r="B5549" t="s">
        <v>1051</v>
      </c>
      <c r="C5549" t="s">
        <v>1052</v>
      </c>
      <c r="D5549" t="str">
        <f>HYPERLINK("http://service.sap.com/sap/support/notes/1721242","1721242")</f>
        <v>1721242</v>
      </c>
      <c r="E5549">
        <v>3</v>
      </c>
      <c r="F5549" t="s">
        <v>6975</v>
      </c>
    </row>
    <row r="5550" spans="1:6" x14ac:dyDescent="0.25">
      <c r="A5550" t="s">
        <v>6446</v>
      </c>
      <c r="B5550" t="s">
        <v>1051</v>
      </c>
      <c r="C5550" t="s">
        <v>1052</v>
      </c>
      <c r="D5550" t="str">
        <f>HYPERLINK("http://service.sap.com/sap/support/notes/1808475","1808475")</f>
        <v>1808475</v>
      </c>
      <c r="E5550">
        <v>3</v>
      </c>
      <c r="F5550" t="s">
        <v>6976</v>
      </c>
    </row>
    <row r="5551" spans="1:6" x14ac:dyDescent="0.25">
      <c r="A5551" t="s">
        <v>6446</v>
      </c>
      <c r="B5551" t="s">
        <v>1051</v>
      </c>
      <c r="C5551" t="s">
        <v>1052</v>
      </c>
      <c r="D5551" t="str">
        <f>HYPERLINK("http://service.sap.com/sap/support/notes/1819362","1819362")</f>
        <v>1819362</v>
      </c>
      <c r="E5551">
        <v>2</v>
      </c>
      <c r="F5551" t="s">
        <v>6977</v>
      </c>
    </row>
    <row r="5552" spans="1:6" x14ac:dyDescent="0.25">
      <c r="A5552" t="s">
        <v>6446</v>
      </c>
      <c r="B5552" t="s">
        <v>1051</v>
      </c>
      <c r="C5552" t="s">
        <v>1052</v>
      </c>
      <c r="D5552" t="str">
        <f>HYPERLINK("http://service.sap.com/sap/support/notes/1829608","1829608")</f>
        <v>1829608</v>
      </c>
      <c r="E5552">
        <v>1</v>
      </c>
      <c r="F5552" t="s">
        <v>6978</v>
      </c>
    </row>
    <row r="5553" spans="1:6" x14ac:dyDescent="0.25">
      <c r="A5553" t="s">
        <v>6446</v>
      </c>
      <c r="B5553" t="s">
        <v>1058</v>
      </c>
      <c r="C5553" t="s">
        <v>1059</v>
      </c>
      <c r="D5553" t="str">
        <f>HYPERLINK("http://service.sap.com/sap/support/notes/1737771","1737771")</f>
        <v>1737771</v>
      </c>
      <c r="E5553">
        <v>5</v>
      </c>
      <c r="F5553" t="s">
        <v>6979</v>
      </c>
    </row>
    <row r="5554" spans="1:6" x14ac:dyDescent="0.25">
      <c r="A5554" t="s">
        <v>6446</v>
      </c>
      <c r="B5554" t="s">
        <v>1058</v>
      </c>
      <c r="C5554" t="s">
        <v>1059</v>
      </c>
      <c r="D5554" t="str">
        <f>HYPERLINK("http://service.sap.com/sap/support/notes/1797958","1797958")</f>
        <v>1797958</v>
      </c>
      <c r="E5554">
        <v>1</v>
      </c>
      <c r="F5554" t="s">
        <v>6980</v>
      </c>
    </row>
    <row r="5555" spans="1:6" x14ac:dyDescent="0.25">
      <c r="A5555" t="s">
        <v>6446</v>
      </c>
      <c r="B5555" t="s">
        <v>1058</v>
      </c>
      <c r="C5555" t="s">
        <v>1059</v>
      </c>
      <c r="D5555" t="str">
        <f>HYPERLINK("http://service.sap.com/sap/support/notes/1826716","1826716")</f>
        <v>1826716</v>
      </c>
      <c r="E5555">
        <v>2</v>
      </c>
      <c r="F5555" t="s">
        <v>6981</v>
      </c>
    </row>
    <row r="5556" spans="1:6" x14ac:dyDescent="0.25">
      <c r="A5556" t="s">
        <v>6446</v>
      </c>
      <c r="B5556" t="s">
        <v>1065</v>
      </c>
      <c r="C5556" t="s">
        <v>1066</v>
      </c>
      <c r="D5556" t="str">
        <f>HYPERLINK("http://service.sap.com/sap/support/notes/1826603","1826603")</f>
        <v>1826603</v>
      </c>
      <c r="E5556">
        <v>2</v>
      </c>
      <c r="F5556" t="s">
        <v>6982</v>
      </c>
    </row>
    <row r="5557" spans="1:6" x14ac:dyDescent="0.25">
      <c r="A5557" t="s">
        <v>6446</v>
      </c>
      <c r="B5557" t="s">
        <v>1068</v>
      </c>
      <c r="C5557" t="s">
        <v>1069</v>
      </c>
      <c r="D5557" t="str">
        <f>HYPERLINK("http://service.sap.com/sap/support/notes/1696307","1696307")</f>
        <v>1696307</v>
      </c>
      <c r="E5557">
        <v>1</v>
      </c>
      <c r="F5557" t="s">
        <v>6983</v>
      </c>
    </row>
    <row r="5558" spans="1:6" x14ac:dyDescent="0.25">
      <c r="A5558" t="s">
        <v>6446</v>
      </c>
      <c r="B5558" t="s">
        <v>1068</v>
      </c>
      <c r="C5558" t="s">
        <v>1069</v>
      </c>
      <c r="D5558" t="str">
        <f>HYPERLINK("http://service.sap.com/sap/support/notes/1735835","1735835")</f>
        <v>1735835</v>
      </c>
      <c r="E5558">
        <v>10</v>
      </c>
      <c r="F5558" t="s">
        <v>6984</v>
      </c>
    </row>
    <row r="5559" spans="1:6" x14ac:dyDescent="0.25">
      <c r="A5559" t="s">
        <v>6446</v>
      </c>
      <c r="B5559" t="s">
        <v>1068</v>
      </c>
      <c r="C5559" t="s">
        <v>1069</v>
      </c>
      <c r="D5559" t="str">
        <f>HYPERLINK("http://service.sap.com/sap/support/notes/1736518","1736518")</f>
        <v>1736518</v>
      </c>
      <c r="E5559">
        <v>4</v>
      </c>
      <c r="F5559" t="s">
        <v>6985</v>
      </c>
    </row>
    <row r="5560" spans="1:6" x14ac:dyDescent="0.25">
      <c r="A5560" t="s">
        <v>6446</v>
      </c>
      <c r="B5560" t="s">
        <v>1068</v>
      </c>
      <c r="C5560" t="s">
        <v>1069</v>
      </c>
      <c r="D5560" t="str">
        <f>HYPERLINK("http://service.sap.com/sap/support/notes/1745088","1745088")</f>
        <v>1745088</v>
      </c>
      <c r="E5560">
        <v>3</v>
      </c>
      <c r="F5560" t="s">
        <v>6986</v>
      </c>
    </row>
    <row r="5561" spans="1:6" x14ac:dyDescent="0.25">
      <c r="A5561" t="s">
        <v>6446</v>
      </c>
      <c r="B5561" t="s">
        <v>1068</v>
      </c>
      <c r="C5561" t="s">
        <v>1069</v>
      </c>
      <c r="D5561" t="str">
        <f>HYPERLINK("http://service.sap.com/sap/support/notes/1787685","1787685")</f>
        <v>1787685</v>
      </c>
      <c r="E5561">
        <v>1</v>
      </c>
      <c r="F5561" t="s">
        <v>6987</v>
      </c>
    </row>
    <row r="5562" spans="1:6" x14ac:dyDescent="0.25">
      <c r="A5562" t="s">
        <v>6446</v>
      </c>
      <c r="B5562" t="s">
        <v>1068</v>
      </c>
      <c r="C5562" t="s">
        <v>1069</v>
      </c>
      <c r="D5562" t="str">
        <f>HYPERLINK("http://service.sap.com/sap/support/notes/1804055","1804055")</f>
        <v>1804055</v>
      </c>
      <c r="E5562">
        <v>4</v>
      </c>
      <c r="F5562" t="s">
        <v>6988</v>
      </c>
    </row>
    <row r="5563" spans="1:6" x14ac:dyDescent="0.25">
      <c r="A5563" t="s">
        <v>6446</v>
      </c>
      <c r="B5563" t="s">
        <v>1068</v>
      </c>
      <c r="C5563" t="s">
        <v>1069</v>
      </c>
      <c r="D5563" t="str">
        <f>HYPERLINK("http://service.sap.com/sap/support/notes/1807267","1807267")</f>
        <v>1807267</v>
      </c>
      <c r="E5563">
        <v>1</v>
      </c>
      <c r="F5563" t="s">
        <v>6989</v>
      </c>
    </row>
    <row r="5564" spans="1:6" x14ac:dyDescent="0.25">
      <c r="A5564" t="s">
        <v>6446</v>
      </c>
      <c r="B5564" t="s">
        <v>1068</v>
      </c>
      <c r="C5564" t="s">
        <v>1069</v>
      </c>
      <c r="D5564" t="str">
        <f>HYPERLINK("http://service.sap.com/sap/support/notes/1807462","1807462")</f>
        <v>1807462</v>
      </c>
      <c r="E5564">
        <v>1</v>
      </c>
      <c r="F5564" t="s">
        <v>6990</v>
      </c>
    </row>
    <row r="5565" spans="1:6" x14ac:dyDescent="0.25">
      <c r="A5565" t="s">
        <v>6446</v>
      </c>
      <c r="B5565" t="s">
        <v>1068</v>
      </c>
      <c r="C5565" t="s">
        <v>1069</v>
      </c>
      <c r="D5565" t="str">
        <f>HYPERLINK("http://service.sap.com/sap/support/notes/1813198","1813198")</f>
        <v>1813198</v>
      </c>
      <c r="E5565">
        <v>1</v>
      </c>
      <c r="F5565" t="s">
        <v>6991</v>
      </c>
    </row>
    <row r="5566" spans="1:6" x14ac:dyDescent="0.25">
      <c r="A5566" t="s">
        <v>6446</v>
      </c>
      <c r="B5566" t="s">
        <v>1068</v>
      </c>
      <c r="C5566" t="s">
        <v>1069</v>
      </c>
      <c r="D5566" t="str">
        <f>HYPERLINK("http://service.sap.com/sap/support/notes/1818069","1818069")</f>
        <v>1818069</v>
      </c>
      <c r="E5566">
        <v>1</v>
      </c>
      <c r="F5566" t="s">
        <v>6992</v>
      </c>
    </row>
    <row r="5567" spans="1:6" x14ac:dyDescent="0.25">
      <c r="A5567" t="s">
        <v>6446</v>
      </c>
      <c r="B5567" t="s">
        <v>1068</v>
      </c>
      <c r="C5567" t="s">
        <v>1069</v>
      </c>
      <c r="D5567" t="str">
        <f>HYPERLINK("http://service.sap.com/sap/support/notes/1825076","1825076")</f>
        <v>1825076</v>
      </c>
      <c r="E5567">
        <v>1</v>
      </c>
      <c r="F5567" t="s">
        <v>6993</v>
      </c>
    </row>
    <row r="5568" spans="1:6" x14ac:dyDescent="0.25">
      <c r="A5568" t="s">
        <v>6446</v>
      </c>
      <c r="B5568" t="s">
        <v>1074</v>
      </c>
      <c r="C5568" t="s">
        <v>1075</v>
      </c>
      <c r="D5568" t="str">
        <f>HYPERLINK("http://service.sap.com/sap/support/notes/1791289","1791289")</f>
        <v>1791289</v>
      </c>
      <c r="E5568">
        <v>1</v>
      </c>
      <c r="F5568" t="s">
        <v>6994</v>
      </c>
    </row>
    <row r="5569" spans="1:6" x14ac:dyDescent="0.25">
      <c r="A5569" t="s">
        <v>6446</v>
      </c>
      <c r="B5569" t="s">
        <v>1074</v>
      </c>
      <c r="C5569" t="s">
        <v>1075</v>
      </c>
      <c r="D5569" t="str">
        <f>HYPERLINK("http://service.sap.com/sap/support/notes/1796274","1796274")</f>
        <v>1796274</v>
      </c>
      <c r="E5569">
        <v>2</v>
      </c>
      <c r="F5569" t="s">
        <v>6995</v>
      </c>
    </row>
    <row r="5570" spans="1:6" x14ac:dyDescent="0.25">
      <c r="A5570" t="s">
        <v>6446</v>
      </c>
      <c r="B5570" t="s">
        <v>1074</v>
      </c>
      <c r="C5570" t="s">
        <v>1075</v>
      </c>
      <c r="D5570" t="str">
        <f>HYPERLINK("http://service.sap.com/sap/support/notes/1798788","1798788")</f>
        <v>1798788</v>
      </c>
      <c r="E5570">
        <v>1</v>
      </c>
      <c r="F5570" t="s">
        <v>6996</v>
      </c>
    </row>
    <row r="5571" spans="1:6" x14ac:dyDescent="0.25">
      <c r="A5571" t="s">
        <v>6446</v>
      </c>
      <c r="B5571" t="s">
        <v>1074</v>
      </c>
      <c r="C5571" t="s">
        <v>1075</v>
      </c>
      <c r="D5571" t="str">
        <f>HYPERLINK("http://service.sap.com/sap/support/notes/1809419","1809419")</f>
        <v>1809419</v>
      </c>
      <c r="E5571">
        <v>1</v>
      </c>
      <c r="F5571" t="s">
        <v>6997</v>
      </c>
    </row>
    <row r="5572" spans="1:6" x14ac:dyDescent="0.25">
      <c r="A5572" t="s">
        <v>6446</v>
      </c>
      <c r="B5572" t="s">
        <v>1074</v>
      </c>
      <c r="C5572" t="s">
        <v>1075</v>
      </c>
      <c r="D5572" t="str">
        <f>HYPERLINK("http://service.sap.com/sap/support/notes/1816821","1816821")</f>
        <v>1816821</v>
      </c>
      <c r="E5572">
        <v>2</v>
      </c>
      <c r="F5572" t="s">
        <v>6998</v>
      </c>
    </row>
    <row r="5573" spans="1:6" x14ac:dyDescent="0.25">
      <c r="A5573" t="s">
        <v>6446</v>
      </c>
      <c r="B5573" t="s">
        <v>1079</v>
      </c>
      <c r="C5573" t="s">
        <v>1080</v>
      </c>
    </row>
    <row r="5574" spans="1:6" x14ac:dyDescent="0.25">
      <c r="A5574" t="s">
        <v>6446</v>
      </c>
      <c r="B5574" t="s">
        <v>1081</v>
      </c>
      <c r="C5574" t="s">
        <v>1082</v>
      </c>
      <c r="D5574" t="str">
        <f>HYPERLINK("http://service.sap.com/sap/support/notes/1679297","1679297")</f>
        <v>1679297</v>
      </c>
      <c r="E5574">
        <v>1</v>
      </c>
      <c r="F5574" t="s">
        <v>6999</v>
      </c>
    </row>
    <row r="5575" spans="1:6" x14ac:dyDescent="0.25">
      <c r="A5575" t="s">
        <v>6446</v>
      </c>
      <c r="B5575" t="s">
        <v>1081</v>
      </c>
      <c r="C5575" t="s">
        <v>1082</v>
      </c>
      <c r="D5575" t="str">
        <f>HYPERLINK("http://service.sap.com/sap/support/notes/1709932","1709932")</f>
        <v>1709932</v>
      </c>
      <c r="E5575">
        <v>1</v>
      </c>
      <c r="F5575" t="s">
        <v>7000</v>
      </c>
    </row>
    <row r="5576" spans="1:6" x14ac:dyDescent="0.25">
      <c r="A5576" t="s">
        <v>6446</v>
      </c>
      <c r="B5576" t="s">
        <v>1081</v>
      </c>
      <c r="C5576" t="s">
        <v>1082</v>
      </c>
      <c r="D5576" t="str">
        <f>HYPERLINK("http://service.sap.com/sap/support/notes/1797400","1797400")</f>
        <v>1797400</v>
      </c>
      <c r="E5576">
        <v>1</v>
      </c>
      <c r="F5576" t="s">
        <v>7001</v>
      </c>
    </row>
    <row r="5577" spans="1:6" x14ac:dyDescent="0.25">
      <c r="A5577" t="s">
        <v>6446</v>
      </c>
      <c r="B5577" t="s">
        <v>1081</v>
      </c>
      <c r="C5577" t="s">
        <v>1082</v>
      </c>
      <c r="D5577" t="str">
        <f>HYPERLINK("http://service.sap.com/sap/support/notes/1799666","1799666")</f>
        <v>1799666</v>
      </c>
      <c r="E5577">
        <v>1</v>
      </c>
      <c r="F5577" t="s">
        <v>7002</v>
      </c>
    </row>
    <row r="5578" spans="1:6" x14ac:dyDescent="0.25">
      <c r="A5578" t="s">
        <v>6446</v>
      </c>
      <c r="B5578" t="s">
        <v>1081</v>
      </c>
      <c r="C5578" t="s">
        <v>1082</v>
      </c>
      <c r="D5578" t="str">
        <f>HYPERLINK("http://service.sap.com/sap/support/notes/1802214","1802214")</f>
        <v>1802214</v>
      </c>
      <c r="E5578">
        <v>1</v>
      </c>
      <c r="F5578" t="s">
        <v>7003</v>
      </c>
    </row>
    <row r="5579" spans="1:6" x14ac:dyDescent="0.25">
      <c r="A5579" t="s">
        <v>6446</v>
      </c>
      <c r="B5579" t="s">
        <v>1081</v>
      </c>
      <c r="C5579" t="s">
        <v>1082</v>
      </c>
      <c r="D5579" t="str">
        <f>HYPERLINK("http://service.sap.com/sap/support/notes/1807942","1807942")</f>
        <v>1807942</v>
      </c>
      <c r="E5579">
        <v>2</v>
      </c>
      <c r="F5579" t="s">
        <v>7004</v>
      </c>
    </row>
    <row r="5580" spans="1:6" x14ac:dyDescent="0.25">
      <c r="A5580" t="s">
        <v>6446</v>
      </c>
      <c r="B5580" t="s">
        <v>1081</v>
      </c>
      <c r="C5580" t="s">
        <v>1082</v>
      </c>
      <c r="D5580" t="str">
        <f>HYPERLINK("http://service.sap.com/sap/support/notes/1809480","1809480")</f>
        <v>1809480</v>
      </c>
      <c r="E5580">
        <v>2</v>
      </c>
      <c r="F5580" t="s">
        <v>7005</v>
      </c>
    </row>
    <row r="5581" spans="1:6" x14ac:dyDescent="0.25">
      <c r="A5581" t="s">
        <v>6446</v>
      </c>
      <c r="B5581" t="s">
        <v>1081</v>
      </c>
      <c r="C5581" t="s">
        <v>1082</v>
      </c>
      <c r="D5581" t="str">
        <f>HYPERLINK("http://service.sap.com/sap/support/notes/1809734","1809734")</f>
        <v>1809734</v>
      </c>
      <c r="E5581">
        <v>1</v>
      </c>
      <c r="F5581" t="s">
        <v>7006</v>
      </c>
    </row>
    <row r="5582" spans="1:6" x14ac:dyDescent="0.25">
      <c r="A5582" t="s">
        <v>6446</v>
      </c>
      <c r="B5582" t="s">
        <v>1081</v>
      </c>
      <c r="C5582" t="s">
        <v>1082</v>
      </c>
      <c r="D5582" t="str">
        <f>HYPERLINK("http://service.sap.com/sap/support/notes/1810244","1810244")</f>
        <v>1810244</v>
      </c>
      <c r="E5582">
        <v>1</v>
      </c>
      <c r="F5582" t="s">
        <v>7007</v>
      </c>
    </row>
    <row r="5583" spans="1:6" x14ac:dyDescent="0.25">
      <c r="A5583" t="s">
        <v>6446</v>
      </c>
      <c r="B5583" t="s">
        <v>1081</v>
      </c>
      <c r="C5583" t="s">
        <v>1082</v>
      </c>
      <c r="D5583" t="str">
        <f>HYPERLINK("http://service.sap.com/sap/support/notes/1826519","1826519")</f>
        <v>1826519</v>
      </c>
      <c r="E5583">
        <v>1</v>
      </c>
      <c r="F5583" t="s">
        <v>7008</v>
      </c>
    </row>
    <row r="5584" spans="1:6" x14ac:dyDescent="0.25">
      <c r="A5584" t="s">
        <v>6446</v>
      </c>
      <c r="B5584" t="s">
        <v>1081</v>
      </c>
      <c r="C5584" t="s">
        <v>1082</v>
      </c>
      <c r="D5584" t="str">
        <f>HYPERLINK("http://service.sap.com/sap/support/notes/1831541","1831541")</f>
        <v>1831541</v>
      </c>
      <c r="E5584">
        <v>2</v>
      </c>
      <c r="F5584" t="s">
        <v>7009</v>
      </c>
    </row>
    <row r="5585" spans="1:6" x14ac:dyDescent="0.25">
      <c r="A5585" t="s">
        <v>6446</v>
      </c>
      <c r="B5585" t="s">
        <v>1096</v>
      </c>
      <c r="C5585" t="s">
        <v>1097</v>
      </c>
      <c r="D5585" t="str">
        <f>HYPERLINK("http://service.sap.com/sap/support/notes/855538","855538")</f>
        <v>855538</v>
      </c>
      <c r="E5585">
        <v>1</v>
      </c>
      <c r="F5585" t="s">
        <v>1098</v>
      </c>
    </row>
    <row r="5586" spans="1:6" x14ac:dyDescent="0.25">
      <c r="A5586" t="s">
        <v>6446</v>
      </c>
      <c r="B5586" t="s">
        <v>1096</v>
      </c>
      <c r="C5586" t="s">
        <v>1097</v>
      </c>
      <c r="D5586" t="str">
        <f>HYPERLINK("http://service.sap.com/sap/support/notes/1709178","1709178")</f>
        <v>1709178</v>
      </c>
      <c r="E5586">
        <v>2</v>
      </c>
      <c r="F5586" t="s">
        <v>7010</v>
      </c>
    </row>
    <row r="5587" spans="1:6" x14ac:dyDescent="0.25">
      <c r="A5587" t="s">
        <v>6446</v>
      </c>
      <c r="B5587" t="s">
        <v>1096</v>
      </c>
      <c r="C5587" t="s">
        <v>1097</v>
      </c>
      <c r="D5587" t="str">
        <f>HYPERLINK("http://service.sap.com/sap/support/notes/1758539","1758539")</f>
        <v>1758539</v>
      </c>
      <c r="E5587">
        <v>1</v>
      </c>
      <c r="F5587" t="s">
        <v>1107</v>
      </c>
    </row>
    <row r="5588" spans="1:6" x14ac:dyDescent="0.25">
      <c r="A5588" t="s">
        <v>6446</v>
      </c>
      <c r="B5588" t="s">
        <v>1096</v>
      </c>
      <c r="C5588" t="s">
        <v>1097</v>
      </c>
      <c r="D5588" t="str">
        <f>HYPERLINK("http://service.sap.com/sap/support/notes/1772965","1772965")</f>
        <v>1772965</v>
      </c>
      <c r="E5588">
        <v>2</v>
      </c>
      <c r="F5588" t="s">
        <v>7011</v>
      </c>
    </row>
    <row r="5589" spans="1:6" x14ac:dyDescent="0.25">
      <c r="A5589" t="s">
        <v>6446</v>
      </c>
      <c r="B5589" t="s">
        <v>1096</v>
      </c>
      <c r="C5589" t="s">
        <v>1097</v>
      </c>
      <c r="D5589" t="str">
        <f>HYPERLINK("http://service.sap.com/sap/support/notes/1785266","1785266")</f>
        <v>1785266</v>
      </c>
      <c r="E5589">
        <v>3</v>
      </c>
      <c r="F5589" t="s">
        <v>7012</v>
      </c>
    </row>
    <row r="5590" spans="1:6" x14ac:dyDescent="0.25">
      <c r="A5590" t="s">
        <v>6446</v>
      </c>
      <c r="B5590" t="s">
        <v>1096</v>
      </c>
      <c r="C5590" t="s">
        <v>1097</v>
      </c>
      <c r="D5590" t="str">
        <f>HYPERLINK("http://service.sap.com/sap/support/notes/1791512","1791512")</f>
        <v>1791512</v>
      </c>
      <c r="E5590">
        <v>1</v>
      </c>
      <c r="F5590" t="s">
        <v>7013</v>
      </c>
    </row>
    <row r="5591" spans="1:6" x14ac:dyDescent="0.25">
      <c r="A5591" t="s">
        <v>6446</v>
      </c>
      <c r="B5591" t="s">
        <v>1096</v>
      </c>
      <c r="C5591" t="s">
        <v>1097</v>
      </c>
      <c r="D5591" t="str">
        <f>HYPERLINK("http://service.sap.com/sap/support/notes/1797032","1797032")</f>
        <v>1797032</v>
      </c>
      <c r="E5591">
        <v>1</v>
      </c>
      <c r="F5591" t="s">
        <v>7014</v>
      </c>
    </row>
    <row r="5592" spans="1:6" x14ac:dyDescent="0.25">
      <c r="A5592" t="s">
        <v>6446</v>
      </c>
      <c r="B5592" t="s">
        <v>1096</v>
      </c>
      <c r="C5592" t="s">
        <v>1097</v>
      </c>
      <c r="D5592" t="str">
        <f>HYPERLINK("http://service.sap.com/sap/support/notes/1802638","1802638")</f>
        <v>1802638</v>
      </c>
      <c r="E5592">
        <v>4</v>
      </c>
      <c r="F5592" t="s">
        <v>7015</v>
      </c>
    </row>
    <row r="5593" spans="1:6" x14ac:dyDescent="0.25">
      <c r="A5593" t="s">
        <v>6446</v>
      </c>
      <c r="B5593" t="s">
        <v>1096</v>
      </c>
      <c r="C5593" t="s">
        <v>1097</v>
      </c>
      <c r="D5593" t="str">
        <f>HYPERLINK("http://service.sap.com/sap/support/notes/1805947","1805947")</f>
        <v>1805947</v>
      </c>
      <c r="E5593">
        <v>5</v>
      </c>
      <c r="F5593" t="s">
        <v>7016</v>
      </c>
    </row>
    <row r="5594" spans="1:6" x14ac:dyDescent="0.25">
      <c r="A5594" t="s">
        <v>6446</v>
      </c>
      <c r="B5594" t="s">
        <v>1108</v>
      </c>
      <c r="C5594" t="s">
        <v>151</v>
      </c>
      <c r="D5594" t="str">
        <f>HYPERLINK("http://service.sap.com/sap/support/notes/1707475","1707475")</f>
        <v>1707475</v>
      </c>
      <c r="E5594">
        <v>9</v>
      </c>
      <c r="F5594" t="s">
        <v>7017</v>
      </c>
    </row>
    <row r="5595" spans="1:6" x14ac:dyDescent="0.25">
      <c r="A5595" t="s">
        <v>6446</v>
      </c>
      <c r="B5595" t="s">
        <v>1108</v>
      </c>
      <c r="C5595" t="s">
        <v>151</v>
      </c>
      <c r="D5595" t="str">
        <f>HYPERLINK("http://service.sap.com/sap/support/notes/1828655","1828655")</f>
        <v>1828655</v>
      </c>
      <c r="E5595">
        <v>2</v>
      </c>
      <c r="F5595" t="s">
        <v>7018</v>
      </c>
    </row>
    <row r="5596" spans="1:6" x14ac:dyDescent="0.25">
      <c r="A5596" t="s">
        <v>6446</v>
      </c>
      <c r="B5596" t="s">
        <v>1110</v>
      </c>
      <c r="C5596" t="s">
        <v>1111</v>
      </c>
      <c r="D5596" t="str">
        <f>HYPERLINK("http://service.sap.com/sap/support/notes/1786758","1786758")</f>
        <v>1786758</v>
      </c>
      <c r="E5596">
        <v>2</v>
      </c>
      <c r="F5596" t="s">
        <v>7019</v>
      </c>
    </row>
    <row r="5597" spans="1:6" x14ac:dyDescent="0.25">
      <c r="A5597" t="s">
        <v>6446</v>
      </c>
      <c r="B5597" t="s">
        <v>1110</v>
      </c>
      <c r="C5597" t="s">
        <v>1111</v>
      </c>
      <c r="D5597" t="str">
        <f>HYPERLINK("http://service.sap.com/sap/support/notes/1796189","1796189")</f>
        <v>1796189</v>
      </c>
      <c r="E5597">
        <v>1</v>
      </c>
      <c r="F5597" t="s">
        <v>7020</v>
      </c>
    </row>
    <row r="5598" spans="1:6" x14ac:dyDescent="0.25">
      <c r="A5598" t="s">
        <v>6446</v>
      </c>
      <c r="B5598" t="s">
        <v>1110</v>
      </c>
      <c r="C5598" t="s">
        <v>1111</v>
      </c>
      <c r="D5598" t="str">
        <f>HYPERLINK("http://service.sap.com/sap/support/notes/1796474","1796474")</f>
        <v>1796474</v>
      </c>
      <c r="E5598">
        <v>1</v>
      </c>
      <c r="F5598" t="s">
        <v>7021</v>
      </c>
    </row>
    <row r="5599" spans="1:6" x14ac:dyDescent="0.25">
      <c r="A5599" t="s">
        <v>6446</v>
      </c>
      <c r="B5599" t="s">
        <v>1110</v>
      </c>
      <c r="C5599" t="s">
        <v>1111</v>
      </c>
      <c r="D5599" t="str">
        <f>HYPERLINK("http://service.sap.com/sap/support/notes/1796824","1796824")</f>
        <v>1796824</v>
      </c>
      <c r="E5599">
        <v>1</v>
      </c>
      <c r="F5599" t="s">
        <v>7022</v>
      </c>
    </row>
    <row r="5600" spans="1:6" x14ac:dyDescent="0.25">
      <c r="A5600" t="s">
        <v>6446</v>
      </c>
      <c r="B5600" t="s">
        <v>1110</v>
      </c>
      <c r="C5600" t="s">
        <v>1111</v>
      </c>
      <c r="D5600" t="str">
        <f>HYPERLINK("http://service.sap.com/sap/support/notes/1799580","1799580")</f>
        <v>1799580</v>
      </c>
      <c r="E5600">
        <v>1</v>
      </c>
      <c r="F5600" t="s">
        <v>7023</v>
      </c>
    </row>
    <row r="5601" spans="1:6" x14ac:dyDescent="0.25">
      <c r="A5601" t="s">
        <v>6446</v>
      </c>
      <c r="B5601" t="s">
        <v>1110</v>
      </c>
      <c r="C5601" t="s">
        <v>1111</v>
      </c>
      <c r="D5601" t="str">
        <f>HYPERLINK("http://service.sap.com/sap/support/notes/1799909","1799909")</f>
        <v>1799909</v>
      </c>
      <c r="E5601">
        <v>3</v>
      </c>
      <c r="F5601" t="s">
        <v>7024</v>
      </c>
    </row>
    <row r="5602" spans="1:6" x14ac:dyDescent="0.25">
      <c r="A5602" t="s">
        <v>6446</v>
      </c>
      <c r="B5602" t="s">
        <v>1110</v>
      </c>
      <c r="C5602" t="s">
        <v>1111</v>
      </c>
      <c r="D5602" t="str">
        <f>HYPERLINK("http://service.sap.com/sap/support/notes/1800110","1800110")</f>
        <v>1800110</v>
      </c>
      <c r="E5602">
        <v>1</v>
      </c>
      <c r="F5602" t="s">
        <v>7025</v>
      </c>
    </row>
    <row r="5603" spans="1:6" x14ac:dyDescent="0.25">
      <c r="A5603" t="s">
        <v>6446</v>
      </c>
      <c r="B5603" t="s">
        <v>1110</v>
      </c>
      <c r="C5603" t="s">
        <v>1111</v>
      </c>
      <c r="D5603" t="str">
        <f>HYPERLINK("http://service.sap.com/sap/support/notes/1800674","1800674")</f>
        <v>1800674</v>
      </c>
      <c r="E5603">
        <v>2</v>
      </c>
      <c r="F5603" t="s">
        <v>7026</v>
      </c>
    </row>
    <row r="5604" spans="1:6" x14ac:dyDescent="0.25">
      <c r="A5604" t="s">
        <v>6446</v>
      </c>
      <c r="B5604" t="s">
        <v>1110</v>
      </c>
      <c r="C5604" t="s">
        <v>1111</v>
      </c>
      <c r="D5604" t="str">
        <f>HYPERLINK("http://service.sap.com/sap/support/notes/1801867","1801867")</f>
        <v>1801867</v>
      </c>
      <c r="E5604">
        <v>1</v>
      </c>
      <c r="F5604" t="s">
        <v>7027</v>
      </c>
    </row>
    <row r="5605" spans="1:6" x14ac:dyDescent="0.25">
      <c r="A5605" t="s">
        <v>6446</v>
      </c>
      <c r="B5605" t="s">
        <v>1110</v>
      </c>
      <c r="C5605" t="s">
        <v>1111</v>
      </c>
      <c r="D5605" t="str">
        <f>HYPERLINK("http://service.sap.com/sap/support/notes/1803780","1803780")</f>
        <v>1803780</v>
      </c>
      <c r="E5605">
        <v>2</v>
      </c>
      <c r="F5605" t="s">
        <v>7028</v>
      </c>
    </row>
    <row r="5606" spans="1:6" x14ac:dyDescent="0.25">
      <c r="A5606" t="s">
        <v>6446</v>
      </c>
      <c r="B5606" t="s">
        <v>1110</v>
      </c>
      <c r="C5606" t="s">
        <v>1111</v>
      </c>
      <c r="D5606" t="str">
        <f>HYPERLINK("http://service.sap.com/sap/support/notes/1807117","1807117")</f>
        <v>1807117</v>
      </c>
      <c r="E5606">
        <v>1</v>
      </c>
      <c r="F5606" t="s">
        <v>7029</v>
      </c>
    </row>
    <row r="5607" spans="1:6" x14ac:dyDescent="0.25">
      <c r="A5607" t="s">
        <v>6446</v>
      </c>
      <c r="B5607" t="s">
        <v>1110</v>
      </c>
      <c r="C5607" t="s">
        <v>1111</v>
      </c>
      <c r="D5607" t="str">
        <f>HYPERLINK("http://service.sap.com/sap/support/notes/1807231","1807231")</f>
        <v>1807231</v>
      </c>
      <c r="E5607">
        <v>1</v>
      </c>
      <c r="F5607" t="s">
        <v>7030</v>
      </c>
    </row>
    <row r="5608" spans="1:6" x14ac:dyDescent="0.25">
      <c r="A5608" t="s">
        <v>6446</v>
      </c>
      <c r="B5608" t="s">
        <v>1110</v>
      </c>
      <c r="C5608" t="s">
        <v>1111</v>
      </c>
      <c r="D5608" t="str">
        <f>HYPERLINK("http://service.sap.com/sap/support/notes/1808861","1808861")</f>
        <v>1808861</v>
      </c>
      <c r="E5608">
        <v>5</v>
      </c>
      <c r="F5608" t="s">
        <v>7031</v>
      </c>
    </row>
    <row r="5609" spans="1:6" x14ac:dyDescent="0.25">
      <c r="A5609" t="s">
        <v>6446</v>
      </c>
      <c r="B5609" t="s">
        <v>1110</v>
      </c>
      <c r="C5609" t="s">
        <v>1111</v>
      </c>
      <c r="D5609" t="str">
        <f>HYPERLINK("http://service.sap.com/sap/support/notes/1809120","1809120")</f>
        <v>1809120</v>
      </c>
      <c r="E5609">
        <v>1</v>
      </c>
      <c r="F5609" t="s">
        <v>7032</v>
      </c>
    </row>
    <row r="5610" spans="1:6" x14ac:dyDescent="0.25">
      <c r="A5610" t="s">
        <v>6446</v>
      </c>
      <c r="B5610" t="s">
        <v>1110</v>
      </c>
      <c r="C5610" t="s">
        <v>1111</v>
      </c>
      <c r="D5610" t="str">
        <f>HYPERLINK("http://service.sap.com/sap/support/notes/1810117","1810117")</f>
        <v>1810117</v>
      </c>
      <c r="E5610">
        <v>1</v>
      </c>
      <c r="F5610" t="s">
        <v>7033</v>
      </c>
    </row>
    <row r="5611" spans="1:6" x14ac:dyDescent="0.25">
      <c r="A5611" t="s">
        <v>6446</v>
      </c>
      <c r="B5611" t="s">
        <v>1110</v>
      </c>
      <c r="C5611" t="s">
        <v>1111</v>
      </c>
      <c r="D5611" t="str">
        <f>HYPERLINK("http://service.sap.com/sap/support/notes/1829442","1829442")</f>
        <v>1829442</v>
      </c>
      <c r="E5611">
        <v>1</v>
      </c>
      <c r="F5611" t="s">
        <v>7034</v>
      </c>
    </row>
    <row r="5612" spans="1:6" x14ac:dyDescent="0.25">
      <c r="A5612" t="s">
        <v>6446</v>
      </c>
      <c r="B5612" t="s">
        <v>1128</v>
      </c>
      <c r="C5612" t="s">
        <v>1129</v>
      </c>
      <c r="D5612" t="str">
        <f>HYPERLINK("http://service.sap.com/sap/support/notes/1790533","1790533")</f>
        <v>1790533</v>
      </c>
      <c r="E5612">
        <v>2</v>
      </c>
      <c r="F5612" t="s">
        <v>7035</v>
      </c>
    </row>
    <row r="5613" spans="1:6" x14ac:dyDescent="0.25">
      <c r="A5613" t="s">
        <v>6446</v>
      </c>
      <c r="B5613" t="s">
        <v>1128</v>
      </c>
      <c r="C5613" t="s">
        <v>1129</v>
      </c>
      <c r="D5613" t="str">
        <f>HYPERLINK("http://service.sap.com/sap/support/notes/1792006","1792006")</f>
        <v>1792006</v>
      </c>
      <c r="E5613">
        <v>3</v>
      </c>
      <c r="F5613" t="s">
        <v>7036</v>
      </c>
    </row>
    <row r="5614" spans="1:6" x14ac:dyDescent="0.25">
      <c r="A5614" t="s">
        <v>6446</v>
      </c>
      <c r="B5614" t="s">
        <v>1128</v>
      </c>
      <c r="C5614" t="s">
        <v>1129</v>
      </c>
      <c r="D5614" t="str">
        <f>HYPERLINK("http://service.sap.com/sap/support/notes/1797177","1797177")</f>
        <v>1797177</v>
      </c>
      <c r="E5614">
        <v>1</v>
      </c>
      <c r="F5614" t="s">
        <v>7037</v>
      </c>
    </row>
    <row r="5615" spans="1:6" x14ac:dyDescent="0.25">
      <c r="A5615" t="s">
        <v>6446</v>
      </c>
      <c r="B5615" t="s">
        <v>1128</v>
      </c>
      <c r="C5615" t="s">
        <v>1129</v>
      </c>
      <c r="D5615" t="str">
        <f>HYPERLINK("http://service.sap.com/sap/support/notes/1799665","1799665")</f>
        <v>1799665</v>
      </c>
      <c r="E5615">
        <v>2</v>
      </c>
      <c r="F5615" t="s">
        <v>7038</v>
      </c>
    </row>
    <row r="5616" spans="1:6" x14ac:dyDescent="0.25">
      <c r="A5616" t="s">
        <v>6446</v>
      </c>
      <c r="B5616" t="s">
        <v>1128</v>
      </c>
      <c r="C5616" t="s">
        <v>1129</v>
      </c>
      <c r="D5616" t="str">
        <f>HYPERLINK("http://service.sap.com/sap/support/notes/1817640","1817640")</f>
        <v>1817640</v>
      </c>
      <c r="E5616">
        <v>2</v>
      </c>
      <c r="F5616" t="s">
        <v>7039</v>
      </c>
    </row>
    <row r="5617" spans="1:6" x14ac:dyDescent="0.25">
      <c r="A5617" t="s">
        <v>6446</v>
      </c>
      <c r="B5617" t="s">
        <v>1128</v>
      </c>
      <c r="C5617" t="s">
        <v>1129</v>
      </c>
      <c r="D5617" t="str">
        <f>HYPERLINK("http://service.sap.com/sap/support/notes/1826533","1826533")</f>
        <v>1826533</v>
      </c>
      <c r="E5617">
        <v>1</v>
      </c>
      <c r="F5617" t="s">
        <v>7040</v>
      </c>
    </row>
    <row r="5618" spans="1:6" x14ac:dyDescent="0.25">
      <c r="A5618" t="s">
        <v>6446</v>
      </c>
      <c r="B5618" t="s">
        <v>1133</v>
      </c>
      <c r="C5618" t="s">
        <v>1134</v>
      </c>
      <c r="D5618" t="str">
        <f>HYPERLINK("http://service.sap.com/sap/support/notes/1818071","1818071")</f>
        <v>1818071</v>
      </c>
      <c r="E5618">
        <v>1</v>
      </c>
      <c r="F5618" t="s">
        <v>7041</v>
      </c>
    </row>
    <row r="5619" spans="1:6" x14ac:dyDescent="0.25">
      <c r="A5619" t="s">
        <v>6446</v>
      </c>
      <c r="B5619" t="s">
        <v>1139</v>
      </c>
      <c r="C5619" t="s">
        <v>971</v>
      </c>
      <c r="D5619" t="str">
        <f>HYPERLINK("http://service.sap.com/sap/support/notes/1779180","1779180")</f>
        <v>1779180</v>
      </c>
      <c r="E5619">
        <v>3</v>
      </c>
      <c r="F5619" t="s">
        <v>7042</v>
      </c>
    </row>
    <row r="5620" spans="1:6" x14ac:dyDescent="0.25">
      <c r="A5620" t="s">
        <v>6446</v>
      </c>
      <c r="B5620" t="s">
        <v>1139</v>
      </c>
      <c r="C5620" t="s">
        <v>971</v>
      </c>
      <c r="D5620" t="str">
        <f>HYPERLINK("http://service.sap.com/sap/support/notes/1811139","1811139")</f>
        <v>1811139</v>
      </c>
      <c r="E5620">
        <v>1</v>
      </c>
      <c r="F5620" t="s">
        <v>7043</v>
      </c>
    </row>
    <row r="5621" spans="1:6" x14ac:dyDescent="0.25">
      <c r="A5621" t="s">
        <v>6446</v>
      </c>
      <c r="B5621" t="s">
        <v>1139</v>
      </c>
      <c r="C5621" t="s">
        <v>971</v>
      </c>
      <c r="D5621" t="str">
        <f>HYPERLINK("http://service.sap.com/sap/support/notes/1820347","1820347")</f>
        <v>1820347</v>
      </c>
      <c r="E5621">
        <v>1</v>
      </c>
      <c r="F5621" t="s">
        <v>7044</v>
      </c>
    </row>
    <row r="5622" spans="1:6" x14ac:dyDescent="0.25">
      <c r="A5622" t="s">
        <v>6446</v>
      </c>
      <c r="B5622" t="s">
        <v>1139</v>
      </c>
      <c r="C5622" t="s">
        <v>971</v>
      </c>
      <c r="D5622" t="str">
        <f>HYPERLINK("http://service.sap.com/sap/support/notes/1822909","1822909")</f>
        <v>1822909</v>
      </c>
      <c r="E5622">
        <v>1</v>
      </c>
      <c r="F5622" t="s">
        <v>7045</v>
      </c>
    </row>
    <row r="5623" spans="1:6" x14ac:dyDescent="0.25">
      <c r="A5623" t="s">
        <v>6446</v>
      </c>
      <c r="B5623" t="s">
        <v>1139</v>
      </c>
      <c r="C5623" t="s">
        <v>971</v>
      </c>
      <c r="D5623" t="str">
        <f>HYPERLINK("http://service.sap.com/sap/support/notes/1825079","1825079")</f>
        <v>1825079</v>
      </c>
      <c r="E5623">
        <v>1</v>
      </c>
      <c r="F5623" t="s">
        <v>7046</v>
      </c>
    </row>
    <row r="5624" spans="1:6" x14ac:dyDescent="0.25">
      <c r="A5624" t="s">
        <v>6446</v>
      </c>
      <c r="B5624" t="s">
        <v>1148</v>
      </c>
      <c r="C5624" t="s">
        <v>978</v>
      </c>
      <c r="D5624" t="str">
        <f>HYPERLINK("http://service.sap.com/sap/support/notes/1792154","1792154")</f>
        <v>1792154</v>
      </c>
      <c r="E5624">
        <v>3</v>
      </c>
      <c r="F5624" t="s">
        <v>7047</v>
      </c>
    </row>
    <row r="5625" spans="1:6" x14ac:dyDescent="0.25">
      <c r="A5625" t="s">
        <v>6446</v>
      </c>
      <c r="B5625" t="s">
        <v>1148</v>
      </c>
      <c r="C5625" t="s">
        <v>978</v>
      </c>
      <c r="D5625" t="str">
        <f>HYPERLINK("http://service.sap.com/sap/support/notes/1803327","1803327")</f>
        <v>1803327</v>
      </c>
      <c r="E5625">
        <v>2</v>
      </c>
      <c r="F5625" t="s">
        <v>7048</v>
      </c>
    </row>
    <row r="5626" spans="1:6" x14ac:dyDescent="0.25">
      <c r="A5626" t="s">
        <v>6446</v>
      </c>
      <c r="B5626" t="s">
        <v>1150</v>
      </c>
      <c r="C5626" t="s">
        <v>1151</v>
      </c>
      <c r="D5626" t="str">
        <f>HYPERLINK("http://service.sap.com/sap/support/notes/1762388","1762388")</f>
        <v>1762388</v>
      </c>
      <c r="E5626">
        <v>2</v>
      </c>
      <c r="F5626" t="s">
        <v>7049</v>
      </c>
    </row>
    <row r="5627" spans="1:6" x14ac:dyDescent="0.25">
      <c r="A5627" t="s">
        <v>6446</v>
      </c>
      <c r="B5627" t="s">
        <v>1150</v>
      </c>
      <c r="C5627" t="s">
        <v>1151</v>
      </c>
      <c r="D5627" t="str">
        <f>HYPERLINK("http://service.sap.com/sap/support/notes/1779785","1779785")</f>
        <v>1779785</v>
      </c>
      <c r="E5627">
        <v>2</v>
      </c>
      <c r="F5627" t="s">
        <v>7050</v>
      </c>
    </row>
    <row r="5628" spans="1:6" x14ac:dyDescent="0.25">
      <c r="A5628" t="s">
        <v>6446</v>
      </c>
      <c r="B5628" t="s">
        <v>1150</v>
      </c>
      <c r="C5628" t="s">
        <v>1151</v>
      </c>
      <c r="D5628" t="str">
        <f>HYPERLINK("http://service.sap.com/sap/support/notes/1779787","1779787")</f>
        <v>1779787</v>
      </c>
      <c r="E5628">
        <v>3</v>
      </c>
      <c r="F5628" t="s">
        <v>7051</v>
      </c>
    </row>
    <row r="5629" spans="1:6" x14ac:dyDescent="0.25">
      <c r="A5629" t="s">
        <v>6446</v>
      </c>
      <c r="B5629" t="s">
        <v>1150</v>
      </c>
      <c r="C5629" t="s">
        <v>1151</v>
      </c>
      <c r="D5629" t="str">
        <f>HYPERLINK("http://service.sap.com/sap/support/notes/1790294","1790294")</f>
        <v>1790294</v>
      </c>
      <c r="E5629">
        <v>6</v>
      </c>
      <c r="F5629" t="s">
        <v>7052</v>
      </c>
    </row>
    <row r="5630" spans="1:6" x14ac:dyDescent="0.25">
      <c r="A5630" t="s">
        <v>6446</v>
      </c>
      <c r="B5630" t="s">
        <v>1150</v>
      </c>
      <c r="C5630" t="s">
        <v>1151</v>
      </c>
      <c r="D5630" t="str">
        <f>HYPERLINK("http://service.sap.com/sap/support/notes/1791179","1791179")</f>
        <v>1791179</v>
      </c>
      <c r="E5630">
        <v>12</v>
      </c>
      <c r="F5630" t="s">
        <v>4802</v>
      </c>
    </row>
    <row r="5631" spans="1:6" x14ac:dyDescent="0.25">
      <c r="A5631" t="s">
        <v>6446</v>
      </c>
      <c r="B5631" t="s">
        <v>1150</v>
      </c>
      <c r="C5631" t="s">
        <v>1151</v>
      </c>
      <c r="D5631" t="str">
        <f>HYPERLINK("http://service.sap.com/sap/support/notes/1797704","1797704")</f>
        <v>1797704</v>
      </c>
      <c r="E5631">
        <v>1</v>
      </c>
      <c r="F5631" t="s">
        <v>7053</v>
      </c>
    </row>
    <row r="5632" spans="1:6" x14ac:dyDescent="0.25">
      <c r="A5632" t="s">
        <v>6446</v>
      </c>
      <c r="B5632" t="s">
        <v>1150</v>
      </c>
      <c r="C5632" t="s">
        <v>1151</v>
      </c>
      <c r="D5632" t="str">
        <f>HYPERLINK("http://service.sap.com/sap/support/notes/1802441","1802441")</f>
        <v>1802441</v>
      </c>
      <c r="E5632">
        <v>2</v>
      </c>
      <c r="F5632" t="s">
        <v>7054</v>
      </c>
    </row>
    <row r="5633" spans="1:6" x14ac:dyDescent="0.25">
      <c r="A5633" t="s">
        <v>6446</v>
      </c>
      <c r="B5633" t="s">
        <v>1150</v>
      </c>
      <c r="C5633" t="s">
        <v>1151</v>
      </c>
      <c r="D5633" t="str">
        <f>HYPERLINK("http://service.sap.com/sap/support/notes/1802956","1802956")</f>
        <v>1802956</v>
      </c>
      <c r="E5633">
        <v>2</v>
      </c>
      <c r="F5633" t="s">
        <v>7055</v>
      </c>
    </row>
    <row r="5634" spans="1:6" x14ac:dyDescent="0.25">
      <c r="A5634" t="s">
        <v>6446</v>
      </c>
      <c r="B5634" t="s">
        <v>1150</v>
      </c>
      <c r="C5634" t="s">
        <v>1151</v>
      </c>
      <c r="D5634" t="str">
        <f>HYPERLINK("http://service.sap.com/sap/support/notes/1803452","1803452")</f>
        <v>1803452</v>
      </c>
    </row>
    <row r="5635" spans="1:6" x14ac:dyDescent="0.25">
      <c r="A5635" t="s">
        <v>6446</v>
      </c>
      <c r="B5635" t="s">
        <v>1150</v>
      </c>
      <c r="C5635" t="s">
        <v>1151</v>
      </c>
      <c r="D5635" t="str">
        <f>HYPERLINK("http://service.sap.com/sap/support/notes/1804765","1804765")</f>
        <v>1804765</v>
      </c>
    </row>
    <row r="5636" spans="1:6" x14ac:dyDescent="0.25">
      <c r="A5636" t="s">
        <v>6446</v>
      </c>
      <c r="B5636" t="s">
        <v>1150</v>
      </c>
      <c r="C5636" t="s">
        <v>1151</v>
      </c>
      <c r="D5636" t="str">
        <f>HYPERLINK("http://service.sap.com/sap/support/notes/1805712","1805712")</f>
        <v>1805712</v>
      </c>
      <c r="E5636">
        <v>16</v>
      </c>
      <c r="F5636" t="s">
        <v>7056</v>
      </c>
    </row>
    <row r="5637" spans="1:6" x14ac:dyDescent="0.25">
      <c r="A5637" t="s">
        <v>6446</v>
      </c>
      <c r="B5637" t="s">
        <v>1150</v>
      </c>
      <c r="C5637" t="s">
        <v>1151</v>
      </c>
      <c r="D5637" t="str">
        <f>HYPERLINK("http://service.sap.com/sap/support/notes/1805803","1805803")</f>
        <v>1805803</v>
      </c>
      <c r="E5637">
        <v>4</v>
      </c>
      <c r="F5637" t="s">
        <v>7057</v>
      </c>
    </row>
    <row r="5638" spans="1:6" x14ac:dyDescent="0.25">
      <c r="A5638" t="s">
        <v>6446</v>
      </c>
      <c r="B5638" t="s">
        <v>1150</v>
      </c>
      <c r="C5638" t="s">
        <v>1151</v>
      </c>
      <c r="D5638" t="str">
        <f>HYPERLINK("http://service.sap.com/sap/support/notes/1806432","1806432")</f>
        <v>1806432</v>
      </c>
      <c r="E5638">
        <v>1</v>
      </c>
      <c r="F5638" t="s">
        <v>7058</v>
      </c>
    </row>
    <row r="5639" spans="1:6" x14ac:dyDescent="0.25">
      <c r="A5639" t="s">
        <v>6446</v>
      </c>
      <c r="B5639" t="s">
        <v>1150</v>
      </c>
      <c r="C5639" t="s">
        <v>1151</v>
      </c>
      <c r="D5639" t="str">
        <f>HYPERLINK("http://service.sap.com/sap/support/notes/1808444","1808444")</f>
        <v>1808444</v>
      </c>
      <c r="E5639">
        <v>3</v>
      </c>
      <c r="F5639" t="s">
        <v>7059</v>
      </c>
    </row>
    <row r="5640" spans="1:6" x14ac:dyDescent="0.25">
      <c r="A5640" t="s">
        <v>6446</v>
      </c>
      <c r="B5640" t="s">
        <v>1150</v>
      </c>
      <c r="C5640" t="s">
        <v>1151</v>
      </c>
      <c r="D5640" t="str">
        <f>HYPERLINK("http://service.sap.com/sap/support/notes/1809852","1809852")</f>
        <v>1809852</v>
      </c>
      <c r="E5640">
        <v>6</v>
      </c>
      <c r="F5640" t="s">
        <v>7060</v>
      </c>
    </row>
    <row r="5641" spans="1:6" x14ac:dyDescent="0.25">
      <c r="A5641" t="s">
        <v>6446</v>
      </c>
      <c r="B5641" t="s">
        <v>1150</v>
      </c>
      <c r="C5641" t="s">
        <v>1151</v>
      </c>
      <c r="D5641" t="str">
        <f>HYPERLINK("http://service.sap.com/sap/support/notes/1810076","1810076")</f>
        <v>1810076</v>
      </c>
      <c r="E5641">
        <v>2</v>
      </c>
      <c r="F5641" t="s">
        <v>7061</v>
      </c>
    </row>
    <row r="5642" spans="1:6" x14ac:dyDescent="0.25">
      <c r="A5642" t="s">
        <v>6446</v>
      </c>
      <c r="B5642" t="s">
        <v>1150</v>
      </c>
      <c r="C5642" t="s">
        <v>1151</v>
      </c>
      <c r="D5642" t="str">
        <f>HYPERLINK("http://service.sap.com/sap/support/notes/1811079","1811079")</f>
        <v>1811079</v>
      </c>
    </row>
    <row r="5643" spans="1:6" x14ac:dyDescent="0.25">
      <c r="A5643" t="s">
        <v>6446</v>
      </c>
      <c r="B5643" t="s">
        <v>1150</v>
      </c>
      <c r="C5643" t="s">
        <v>1151</v>
      </c>
      <c r="D5643" t="str">
        <f>HYPERLINK("http://service.sap.com/sap/support/notes/1811768","1811768")</f>
        <v>1811768</v>
      </c>
      <c r="E5643">
        <v>1</v>
      </c>
      <c r="F5643" t="s">
        <v>7062</v>
      </c>
    </row>
    <row r="5644" spans="1:6" x14ac:dyDescent="0.25">
      <c r="A5644" t="s">
        <v>6446</v>
      </c>
      <c r="B5644" t="s">
        <v>1150</v>
      </c>
      <c r="C5644" t="s">
        <v>1151</v>
      </c>
      <c r="D5644" t="str">
        <f>HYPERLINK("http://service.sap.com/sap/support/notes/1813478","1813478")</f>
        <v>1813478</v>
      </c>
      <c r="E5644">
        <v>7</v>
      </c>
      <c r="F5644" t="s">
        <v>7063</v>
      </c>
    </row>
    <row r="5645" spans="1:6" x14ac:dyDescent="0.25">
      <c r="A5645" t="s">
        <v>6446</v>
      </c>
      <c r="B5645" t="s">
        <v>1150</v>
      </c>
      <c r="C5645" t="s">
        <v>1151</v>
      </c>
      <c r="D5645" t="str">
        <f>HYPERLINK("http://service.sap.com/sap/support/notes/1814044","1814044")</f>
        <v>1814044</v>
      </c>
      <c r="E5645">
        <v>8</v>
      </c>
      <c r="F5645" t="s">
        <v>7064</v>
      </c>
    </row>
    <row r="5646" spans="1:6" x14ac:dyDescent="0.25">
      <c r="A5646" t="s">
        <v>6446</v>
      </c>
      <c r="B5646" t="s">
        <v>1150</v>
      </c>
      <c r="C5646" t="s">
        <v>1151</v>
      </c>
      <c r="D5646" t="str">
        <f>HYPERLINK("http://service.sap.com/sap/support/notes/1817081","1817081")</f>
        <v>1817081</v>
      </c>
    </row>
    <row r="5647" spans="1:6" x14ac:dyDescent="0.25">
      <c r="A5647" t="s">
        <v>6446</v>
      </c>
      <c r="B5647" t="s">
        <v>1150</v>
      </c>
      <c r="C5647" t="s">
        <v>1151</v>
      </c>
      <c r="D5647" t="str">
        <f>HYPERLINK("http://service.sap.com/sap/support/notes/1819968","1819968")</f>
        <v>1819968</v>
      </c>
      <c r="E5647">
        <v>2</v>
      </c>
      <c r="F5647" t="s">
        <v>7065</v>
      </c>
    </row>
    <row r="5648" spans="1:6" x14ac:dyDescent="0.25">
      <c r="A5648" t="s">
        <v>6446</v>
      </c>
      <c r="B5648" t="s">
        <v>1150</v>
      </c>
      <c r="C5648" t="s">
        <v>1151</v>
      </c>
      <c r="D5648" t="str">
        <f>HYPERLINK("http://service.sap.com/sap/support/notes/1820901","1820901")</f>
        <v>1820901</v>
      </c>
      <c r="E5648">
        <v>7</v>
      </c>
      <c r="F5648" t="s">
        <v>7066</v>
      </c>
    </row>
    <row r="5649" spans="1:6" x14ac:dyDescent="0.25">
      <c r="A5649" t="s">
        <v>6446</v>
      </c>
      <c r="B5649" t="s">
        <v>1150</v>
      </c>
      <c r="C5649" t="s">
        <v>1151</v>
      </c>
      <c r="D5649" t="str">
        <f>HYPERLINK("http://service.sap.com/sap/support/notes/1821579","1821579")</f>
        <v>1821579</v>
      </c>
      <c r="E5649">
        <v>1</v>
      </c>
      <c r="F5649" t="s">
        <v>7067</v>
      </c>
    </row>
    <row r="5650" spans="1:6" x14ac:dyDescent="0.25">
      <c r="A5650" t="s">
        <v>6446</v>
      </c>
      <c r="B5650" t="s">
        <v>1150</v>
      </c>
      <c r="C5650" t="s">
        <v>1151</v>
      </c>
      <c r="D5650" t="str">
        <f>HYPERLINK("http://service.sap.com/sap/support/notes/1822327","1822327")</f>
        <v>1822327</v>
      </c>
    </row>
    <row r="5651" spans="1:6" x14ac:dyDescent="0.25">
      <c r="A5651" t="s">
        <v>6446</v>
      </c>
      <c r="B5651" t="s">
        <v>1184</v>
      </c>
      <c r="C5651" t="s">
        <v>1185</v>
      </c>
      <c r="D5651" t="str">
        <f>HYPERLINK("http://service.sap.com/sap/support/notes/1617812","1617812")</f>
        <v>1617812</v>
      </c>
      <c r="E5651">
        <v>3</v>
      </c>
      <c r="F5651" t="s">
        <v>7068</v>
      </c>
    </row>
    <row r="5652" spans="1:6" x14ac:dyDescent="0.25">
      <c r="A5652" t="s">
        <v>6446</v>
      </c>
      <c r="B5652" t="s">
        <v>1184</v>
      </c>
      <c r="C5652" t="s">
        <v>1185</v>
      </c>
      <c r="D5652" t="str">
        <f>HYPERLINK("http://service.sap.com/sap/support/notes/1653023","1653023")</f>
        <v>1653023</v>
      </c>
      <c r="E5652">
        <v>2</v>
      </c>
      <c r="F5652" t="s">
        <v>7069</v>
      </c>
    </row>
    <row r="5653" spans="1:6" x14ac:dyDescent="0.25">
      <c r="A5653" t="s">
        <v>6446</v>
      </c>
      <c r="B5653" t="s">
        <v>1184</v>
      </c>
      <c r="C5653" t="s">
        <v>1185</v>
      </c>
      <c r="D5653" t="str">
        <f>HYPERLINK("http://service.sap.com/sap/support/notes/1693365","1693365")</f>
        <v>1693365</v>
      </c>
      <c r="E5653">
        <v>5</v>
      </c>
      <c r="F5653" t="s">
        <v>7070</v>
      </c>
    </row>
    <row r="5654" spans="1:6" x14ac:dyDescent="0.25">
      <c r="A5654" t="s">
        <v>6446</v>
      </c>
      <c r="B5654" t="s">
        <v>1184</v>
      </c>
      <c r="C5654" t="s">
        <v>1185</v>
      </c>
      <c r="D5654" t="str">
        <f>HYPERLINK("http://service.sap.com/sap/support/notes/1705473","1705473")</f>
        <v>1705473</v>
      </c>
      <c r="E5654">
        <v>3</v>
      </c>
      <c r="F5654" t="s">
        <v>7071</v>
      </c>
    </row>
    <row r="5655" spans="1:6" x14ac:dyDescent="0.25">
      <c r="A5655" t="s">
        <v>6446</v>
      </c>
      <c r="B5655" t="s">
        <v>1184</v>
      </c>
      <c r="C5655" t="s">
        <v>1185</v>
      </c>
      <c r="D5655" t="str">
        <f>HYPERLINK("http://service.sap.com/sap/support/notes/1746761","1746761")</f>
        <v>1746761</v>
      </c>
      <c r="E5655">
        <v>4</v>
      </c>
      <c r="F5655" t="s">
        <v>7072</v>
      </c>
    </row>
    <row r="5656" spans="1:6" x14ac:dyDescent="0.25">
      <c r="A5656" t="s">
        <v>6446</v>
      </c>
      <c r="B5656" t="s">
        <v>1184</v>
      </c>
      <c r="C5656" t="s">
        <v>1185</v>
      </c>
      <c r="D5656" t="str">
        <f>HYPERLINK("http://service.sap.com/sap/support/notes/1771566","1771566")</f>
        <v>1771566</v>
      </c>
      <c r="E5656">
        <v>3</v>
      </c>
      <c r="F5656" t="s">
        <v>7073</v>
      </c>
    </row>
    <row r="5657" spans="1:6" x14ac:dyDescent="0.25">
      <c r="A5657" t="s">
        <v>6446</v>
      </c>
      <c r="B5657" t="s">
        <v>1184</v>
      </c>
      <c r="C5657" t="s">
        <v>1185</v>
      </c>
      <c r="D5657" t="str">
        <f>HYPERLINK("http://service.sap.com/sap/support/notes/1784217","1784217")</f>
        <v>1784217</v>
      </c>
      <c r="E5657">
        <v>3</v>
      </c>
      <c r="F5657" t="s">
        <v>7074</v>
      </c>
    </row>
    <row r="5658" spans="1:6" x14ac:dyDescent="0.25">
      <c r="A5658" t="s">
        <v>6446</v>
      </c>
      <c r="B5658" t="s">
        <v>1184</v>
      </c>
      <c r="C5658" t="s">
        <v>1185</v>
      </c>
      <c r="D5658" t="str">
        <f>HYPERLINK("http://service.sap.com/sap/support/notes/1787965","1787965")</f>
        <v>1787965</v>
      </c>
      <c r="E5658">
        <v>4</v>
      </c>
      <c r="F5658" t="s">
        <v>7075</v>
      </c>
    </row>
    <row r="5659" spans="1:6" x14ac:dyDescent="0.25">
      <c r="A5659" t="s">
        <v>6446</v>
      </c>
      <c r="B5659" t="s">
        <v>1184</v>
      </c>
      <c r="C5659" t="s">
        <v>1185</v>
      </c>
      <c r="D5659" t="str">
        <f>HYPERLINK("http://service.sap.com/sap/support/notes/1796924","1796924")</f>
        <v>1796924</v>
      </c>
      <c r="E5659">
        <v>1</v>
      </c>
      <c r="F5659" t="s">
        <v>7076</v>
      </c>
    </row>
    <row r="5660" spans="1:6" x14ac:dyDescent="0.25">
      <c r="A5660" t="s">
        <v>6446</v>
      </c>
      <c r="B5660" t="s">
        <v>1184</v>
      </c>
      <c r="C5660" t="s">
        <v>1185</v>
      </c>
      <c r="D5660" t="str">
        <f>HYPERLINK("http://service.sap.com/sap/support/notes/1796943","1796943")</f>
        <v>1796943</v>
      </c>
      <c r="E5660">
        <v>2</v>
      </c>
      <c r="F5660" t="s">
        <v>7077</v>
      </c>
    </row>
    <row r="5661" spans="1:6" x14ac:dyDescent="0.25">
      <c r="A5661" t="s">
        <v>6446</v>
      </c>
      <c r="B5661" t="s">
        <v>1184</v>
      </c>
      <c r="C5661" t="s">
        <v>1185</v>
      </c>
      <c r="D5661" t="str">
        <f>HYPERLINK("http://service.sap.com/sap/support/notes/1798962","1798962")</f>
        <v>1798962</v>
      </c>
      <c r="E5661">
        <v>2</v>
      </c>
      <c r="F5661" t="s">
        <v>7078</v>
      </c>
    </row>
    <row r="5662" spans="1:6" x14ac:dyDescent="0.25">
      <c r="A5662" t="s">
        <v>6446</v>
      </c>
      <c r="B5662" t="s">
        <v>1184</v>
      </c>
      <c r="C5662" t="s">
        <v>1185</v>
      </c>
      <c r="D5662" t="str">
        <f>HYPERLINK("http://service.sap.com/sap/support/notes/1801442","1801442")</f>
        <v>1801442</v>
      </c>
      <c r="E5662">
        <v>1</v>
      </c>
      <c r="F5662" t="s">
        <v>7079</v>
      </c>
    </row>
    <row r="5663" spans="1:6" x14ac:dyDescent="0.25">
      <c r="A5663" t="s">
        <v>6446</v>
      </c>
      <c r="B5663" t="s">
        <v>1184</v>
      </c>
      <c r="C5663" t="s">
        <v>1185</v>
      </c>
      <c r="D5663" t="str">
        <f>HYPERLINK("http://service.sap.com/sap/support/notes/1801938","1801938")</f>
        <v>1801938</v>
      </c>
      <c r="E5663">
        <v>1</v>
      </c>
      <c r="F5663" t="s">
        <v>7080</v>
      </c>
    </row>
    <row r="5664" spans="1:6" x14ac:dyDescent="0.25">
      <c r="A5664" t="s">
        <v>6446</v>
      </c>
      <c r="B5664" t="s">
        <v>1184</v>
      </c>
      <c r="C5664" t="s">
        <v>1185</v>
      </c>
      <c r="D5664" t="str">
        <f>HYPERLINK("http://service.sap.com/sap/support/notes/1802427","1802427")</f>
        <v>1802427</v>
      </c>
      <c r="E5664">
        <v>2</v>
      </c>
      <c r="F5664" t="s">
        <v>7081</v>
      </c>
    </row>
    <row r="5665" spans="1:6" x14ac:dyDescent="0.25">
      <c r="A5665" t="s">
        <v>6446</v>
      </c>
      <c r="B5665" t="s">
        <v>1184</v>
      </c>
      <c r="C5665" t="s">
        <v>1185</v>
      </c>
      <c r="D5665" t="str">
        <f>HYPERLINK("http://service.sap.com/sap/support/notes/1802615","1802615")</f>
        <v>1802615</v>
      </c>
      <c r="E5665">
        <v>3</v>
      </c>
      <c r="F5665" t="s">
        <v>7082</v>
      </c>
    </row>
    <row r="5666" spans="1:6" x14ac:dyDescent="0.25">
      <c r="A5666" t="s">
        <v>6446</v>
      </c>
      <c r="B5666" t="s">
        <v>1184</v>
      </c>
      <c r="C5666" t="s">
        <v>1185</v>
      </c>
      <c r="D5666" t="str">
        <f>HYPERLINK("http://service.sap.com/sap/support/notes/1803983","1803983")</f>
        <v>1803983</v>
      </c>
      <c r="E5666">
        <v>5</v>
      </c>
      <c r="F5666" t="s">
        <v>7083</v>
      </c>
    </row>
    <row r="5667" spans="1:6" x14ac:dyDescent="0.25">
      <c r="A5667" t="s">
        <v>6446</v>
      </c>
      <c r="B5667" t="s">
        <v>1184</v>
      </c>
      <c r="C5667" t="s">
        <v>1185</v>
      </c>
      <c r="D5667" t="str">
        <f>HYPERLINK("http://service.sap.com/sap/support/notes/1806256","1806256")</f>
        <v>1806256</v>
      </c>
      <c r="E5667">
        <v>3</v>
      </c>
      <c r="F5667" t="s">
        <v>7084</v>
      </c>
    </row>
    <row r="5668" spans="1:6" x14ac:dyDescent="0.25">
      <c r="A5668" t="s">
        <v>6446</v>
      </c>
      <c r="B5668" t="s">
        <v>1184</v>
      </c>
      <c r="C5668" t="s">
        <v>1185</v>
      </c>
      <c r="D5668" t="str">
        <f>HYPERLINK("http://service.sap.com/sap/support/notes/1807188","1807188")</f>
        <v>1807188</v>
      </c>
      <c r="E5668">
        <v>1</v>
      </c>
      <c r="F5668" t="s">
        <v>7085</v>
      </c>
    </row>
    <row r="5669" spans="1:6" x14ac:dyDescent="0.25">
      <c r="A5669" t="s">
        <v>6446</v>
      </c>
      <c r="B5669" t="s">
        <v>1184</v>
      </c>
      <c r="C5669" t="s">
        <v>1185</v>
      </c>
      <c r="D5669" t="str">
        <f>HYPERLINK("http://service.sap.com/sap/support/notes/1807703","1807703")</f>
        <v>1807703</v>
      </c>
      <c r="E5669">
        <v>2</v>
      </c>
      <c r="F5669" t="s">
        <v>7086</v>
      </c>
    </row>
    <row r="5670" spans="1:6" x14ac:dyDescent="0.25">
      <c r="A5670" t="s">
        <v>6446</v>
      </c>
      <c r="B5670" t="s">
        <v>1184</v>
      </c>
      <c r="C5670" t="s">
        <v>1185</v>
      </c>
      <c r="D5670" t="str">
        <f>HYPERLINK("http://service.sap.com/sap/support/notes/1811429","1811429")</f>
        <v>1811429</v>
      </c>
      <c r="E5670">
        <v>2</v>
      </c>
      <c r="F5670" t="s">
        <v>7087</v>
      </c>
    </row>
    <row r="5671" spans="1:6" x14ac:dyDescent="0.25">
      <c r="A5671" t="s">
        <v>6446</v>
      </c>
      <c r="B5671" t="s">
        <v>1184</v>
      </c>
      <c r="C5671" t="s">
        <v>1185</v>
      </c>
      <c r="D5671" t="str">
        <f>HYPERLINK("http://service.sap.com/sap/support/notes/1811944","1811944")</f>
        <v>1811944</v>
      </c>
      <c r="E5671">
        <v>1</v>
      </c>
      <c r="F5671" t="s">
        <v>7088</v>
      </c>
    </row>
    <row r="5672" spans="1:6" x14ac:dyDescent="0.25">
      <c r="A5672" t="s">
        <v>6446</v>
      </c>
      <c r="B5672" t="s">
        <v>1184</v>
      </c>
      <c r="C5672" t="s">
        <v>1185</v>
      </c>
      <c r="D5672" t="str">
        <f>HYPERLINK("http://service.sap.com/sap/support/notes/1813547","1813547")</f>
        <v>1813547</v>
      </c>
      <c r="E5672">
        <v>3</v>
      </c>
      <c r="F5672" t="s">
        <v>7089</v>
      </c>
    </row>
    <row r="5673" spans="1:6" x14ac:dyDescent="0.25">
      <c r="A5673" t="s">
        <v>6446</v>
      </c>
      <c r="B5673" t="s">
        <v>1184</v>
      </c>
      <c r="C5673" t="s">
        <v>1185</v>
      </c>
      <c r="D5673" t="str">
        <f>HYPERLINK("http://service.sap.com/sap/support/notes/1814767","1814767")</f>
        <v>1814767</v>
      </c>
      <c r="E5673">
        <v>1</v>
      </c>
      <c r="F5673" t="s">
        <v>7090</v>
      </c>
    </row>
    <row r="5674" spans="1:6" x14ac:dyDescent="0.25">
      <c r="A5674" t="s">
        <v>6446</v>
      </c>
      <c r="B5674" t="s">
        <v>1184</v>
      </c>
      <c r="C5674" t="s">
        <v>1185</v>
      </c>
      <c r="D5674" t="str">
        <f>HYPERLINK("http://service.sap.com/sap/support/notes/1815348","1815348")</f>
        <v>1815348</v>
      </c>
      <c r="E5674">
        <v>3</v>
      </c>
      <c r="F5674" t="s">
        <v>7091</v>
      </c>
    </row>
    <row r="5675" spans="1:6" x14ac:dyDescent="0.25">
      <c r="A5675" t="s">
        <v>6446</v>
      </c>
      <c r="B5675" t="s">
        <v>1184</v>
      </c>
      <c r="C5675" t="s">
        <v>1185</v>
      </c>
      <c r="D5675" t="str">
        <f>HYPERLINK("http://service.sap.com/sap/support/notes/1815443","1815443")</f>
        <v>1815443</v>
      </c>
      <c r="E5675">
        <v>2</v>
      </c>
      <c r="F5675" t="s">
        <v>7092</v>
      </c>
    </row>
    <row r="5676" spans="1:6" x14ac:dyDescent="0.25">
      <c r="A5676" t="s">
        <v>6446</v>
      </c>
      <c r="B5676" t="s">
        <v>1184</v>
      </c>
      <c r="C5676" t="s">
        <v>1185</v>
      </c>
      <c r="D5676" t="str">
        <f>HYPERLINK("http://service.sap.com/sap/support/notes/1816063","1816063")</f>
        <v>1816063</v>
      </c>
      <c r="E5676">
        <v>2</v>
      </c>
      <c r="F5676" t="s">
        <v>7093</v>
      </c>
    </row>
    <row r="5677" spans="1:6" x14ac:dyDescent="0.25">
      <c r="A5677" t="s">
        <v>6446</v>
      </c>
      <c r="B5677" t="s">
        <v>1184</v>
      </c>
      <c r="C5677" t="s">
        <v>1185</v>
      </c>
      <c r="D5677" t="str">
        <f>HYPERLINK("http://service.sap.com/sap/support/notes/1816136","1816136")</f>
        <v>1816136</v>
      </c>
      <c r="E5677">
        <v>1</v>
      </c>
      <c r="F5677" t="s">
        <v>7094</v>
      </c>
    </row>
    <row r="5678" spans="1:6" x14ac:dyDescent="0.25">
      <c r="A5678" t="s">
        <v>6446</v>
      </c>
      <c r="B5678" t="s">
        <v>1184</v>
      </c>
      <c r="C5678" t="s">
        <v>1185</v>
      </c>
      <c r="D5678" t="str">
        <f>HYPERLINK("http://service.sap.com/sap/support/notes/1816545","1816545")</f>
        <v>1816545</v>
      </c>
      <c r="E5678">
        <v>1</v>
      </c>
      <c r="F5678" t="s">
        <v>7095</v>
      </c>
    </row>
    <row r="5679" spans="1:6" x14ac:dyDescent="0.25">
      <c r="A5679" t="s">
        <v>6446</v>
      </c>
      <c r="B5679" t="s">
        <v>1184</v>
      </c>
      <c r="C5679" t="s">
        <v>1185</v>
      </c>
      <c r="D5679" t="str">
        <f>HYPERLINK("http://service.sap.com/sap/support/notes/1818260","1818260")</f>
        <v>1818260</v>
      </c>
      <c r="E5679">
        <v>2</v>
      </c>
      <c r="F5679" t="s">
        <v>7096</v>
      </c>
    </row>
    <row r="5680" spans="1:6" x14ac:dyDescent="0.25">
      <c r="A5680" t="s">
        <v>6446</v>
      </c>
      <c r="B5680" t="s">
        <v>1184</v>
      </c>
      <c r="C5680" t="s">
        <v>1185</v>
      </c>
      <c r="D5680" t="str">
        <f>HYPERLINK("http://service.sap.com/sap/support/notes/1818261","1818261")</f>
        <v>1818261</v>
      </c>
      <c r="E5680">
        <v>1</v>
      </c>
      <c r="F5680" t="s">
        <v>7097</v>
      </c>
    </row>
    <row r="5681" spans="1:6" x14ac:dyDescent="0.25">
      <c r="A5681" t="s">
        <v>6446</v>
      </c>
      <c r="B5681" t="s">
        <v>1184</v>
      </c>
      <c r="C5681" t="s">
        <v>1185</v>
      </c>
      <c r="D5681" t="str">
        <f>HYPERLINK("http://service.sap.com/sap/support/notes/1818308","1818308")</f>
        <v>1818308</v>
      </c>
      <c r="E5681">
        <v>1</v>
      </c>
      <c r="F5681" t="s">
        <v>7098</v>
      </c>
    </row>
    <row r="5682" spans="1:6" x14ac:dyDescent="0.25">
      <c r="A5682" t="s">
        <v>6446</v>
      </c>
      <c r="B5682" t="s">
        <v>1184</v>
      </c>
      <c r="C5682" t="s">
        <v>1185</v>
      </c>
      <c r="D5682" t="str">
        <f>HYPERLINK("http://service.sap.com/sap/support/notes/1818394","1818394")</f>
        <v>1818394</v>
      </c>
      <c r="E5682">
        <v>2</v>
      </c>
      <c r="F5682" t="s">
        <v>7099</v>
      </c>
    </row>
    <row r="5683" spans="1:6" x14ac:dyDescent="0.25">
      <c r="A5683" t="s">
        <v>6446</v>
      </c>
      <c r="B5683" t="s">
        <v>1184</v>
      </c>
      <c r="C5683" t="s">
        <v>1185</v>
      </c>
      <c r="D5683" t="str">
        <f>HYPERLINK("http://service.sap.com/sap/support/notes/1820049","1820049")</f>
        <v>1820049</v>
      </c>
      <c r="E5683">
        <v>2</v>
      </c>
      <c r="F5683" t="s">
        <v>7100</v>
      </c>
    </row>
    <row r="5684" spans="1:6" x14ac:dyDescent="0.25">
      <c r="A5684" t="s">
        <v>6446</v>
      </c>
      <c r="B5684" t="s">
        <v>1184</v>
      </c>
      <c r="C5684" t="s">
        <v>1185</v>
      </c>
      <c r="D5684" t="str">
        <f>HYPERLINK("http://service.sap.com/sap/support/notes/1820274","1820274")</f>
        <v>1820274</v>
      </c>
      <c r="E5684">
        <v>2</v>
      </c>
      <c r="F5684" t="s">
        <v>7101</v>
      </c>
    </row>
    <row r="5685" spans="1:6" x14ac:dyDescent="0.25">
      <c r="A5685" t="s">
        <v>6446</v>
      </c>
      <c r="B5685" t="s">
        <v>1184</v>
      </c>
      <c r="C5685" t="s">
        <v>1185</v>
      </c>
      <c r="D5685" t="str">
        <f>HYPERLINK("http://service.sap.com/sap/support/notes/1822434","1822434")</f>
        <v>1822434</v>
      </c>
      <c r="E5685">
        <v>1</v>
      </c>
      <c r="F5685" t="s">
        <v>7102</v>
      </c>
    </row>
    <row r="5686" spans="1:6" x14ac:dyDescent="0.25">
      <c r="A5686" t="s">
        <v>6446</v>
      </c>
      <c r="B5686" t="s">
        <v>1184</v>
      </c>
      <c r="C5686" t="s">
        <v>1185</v>
      </c>
      <c r="D5686" t="str">
        <f>HYPERLINK("http://service.sap.com/sap/support/notes/1822765","1822765")</f>
        <v>1822765</v>
      </c>
      <c r="E5686">
        <v>2</v>
      </c>
      <c r="F5686" t="s">
        <v>7103</v>
      </c>
    </row>
    <row r="5687" spans="1:6" x14ac:dyDescent="0.25">
      <c r="A5687" t="s">
        <v>6446</v>
      </c>
      <c r="B5687" t="s">
        <v>1184</v>
      </c>
      <c r="C5687" t="s">
        <v>1185</v>
      </c>
      <c r="D5687" t="str">
        <f>HYPERLINK("http://service.sap.com/sap/support/notes/1823326","1823326")</f>
        <v>1823326</v>
      </c>
      <c r="E5687">
        <v>2</v>
      </c>
      <c r="F5687" t="s">
        <v>7104</v>
      </c>
    </row>
    <row r="5688" spans="1:6" x14ac:dyDescent="0.25">
      <c r="A5688" t="s">
        <v>6446</v>
      </c>
      <c r="B5688" t="s">
        <v>1184</v>
      </c>
      <c r="C5688" t="s">
        <v>1185</v>
      </c>
      <c r="D5688" t="str">
        <f>HYPERLINK("http://service.sap.com/sap/support/notes/1823811","1823811")</f>
        <v>1823811</v>
      </c>
      <c r="E5688">
        <v>4</v>
      </c>
      <c r="F5688" t="s">
        <v>7105</v>
      </c>
    </row>
    <row r="5689" spans="1:6" x14ac:dyDescent="0.25">
      <c r="A5689" t="s">
        <v>6446</v>
      </c>
      <c r="B5689" t="s">
        <v>1184</v>
      </c>
      <c r="C5689" t="s">
        <v>1185</v>
      </c>
      <c r="D5689" t="str">
        <f>HYPERLINK("http://service.sap.com/sap/support/notes/1826106","1826106")</f>
        <v>1826106</v>
      </c>
      <c r="E5689">
        <v>9</v>
      </c>
      <c r="F5689" t="s">
        <v>7106</v>
      </c>
    </row>
    <row r="5690" spans="1:6" x14ac:dyDescent="0.25">
      <c r="A5690" t="s">
        <v>6446</v>
      </c>
      <c r="B5690" t="s">
        <v>1184</v>
      </c>
      <c r="C5690" t="s">
        <v>1185</v>
      </c>
      <c r="D5690" t="str">
        <f>HYPERLINK("http://service.sap.com/sap/support/notes/1826197","1826197")</f>
        <v>1826197</v>
      </c>
      <c r="E5690">
        <v>2</v>
      </c>
      <c r="F5690" t="s">
        <v>7107</v>
      </c>
    </row>
    <row r="5691" spans="1:6" x14ac:dyDescent="0.25">
      <c r="A5691" t="s">
        <v>6446</v>
      </c>
      <c r="B5691" t="s">
        <v>1184</v>
      </c>
      <c r="C5691" t="s">
        <v>1185</v>
      </c>
      <c r="D5691" t="str">
        <f>HYPERLINK("http://service.sap.com/sap/support/notes/1830125","1830125")</f>
        <v>1830125</v>
      </c>
      <c r="E5691">
        <v>1</v>
      </c>
      <c r="F5691" t="s">
        <v>24</v>
      </c>
    </row>
    <row r="5692" spans="1:6" x14ac:dyDescent="0.25">
      <c r="A5692" t="s">
        <v>6446</v>
      </c>
      <c r="B5692" t="s">
        <v>1184</v>
      </c>
      <c r="C5692" t="s">
        <v>1185</v>
      </c>
      <c r="D5692" t="str">
        <f>HYPERLINK("http://service.sap.com/sap/support/notes/1831792","1831792")</f>
        <v>1831792</v>
      </c>
      <c r="E5692">
        <v>1</v>
      </c>
      <c r="F5692" t="s">
        <v>7108</v>
      </c>
    </row>
    <row r="5693" spans="1:6" x14ac:dyDescent="0.25">
      <c r="A5693" t="s">
        <v>6446</v>
      </c>
      <c r="B5693" t="s">
        <v>1220</v>
      </c>
      <c r="C5693" t="s">
        <v>883</v>
      </c>
      <c r="D5693" t="str">
        <f>HYPERLINK("http://service.sap.com/sap/support/notes/1700402","1700402")</f>
        <v>1700402</v>
      </c>
      <c r="E5693">
        <v>2</v>
      </c>
      <c r="F5693" t="s">
        <v>7109</v>
      </c>
    </row>
    <row r="5694" spans="1:6" x14ac:dyDescent="0.25">
      <c r="A5694" t="s">
        <v>6446</v>
      </c>
      <c r="B5694" t="s">
        <v>1220</v>
      </c>
      <c r="C5694" t="s">
        <v>883</v>
      </c>
      <c r="D5694" t="str">
        <f>HYPERLINK("http://service.sap.com/sap/support/notes/1701085","1701085")</f>
        <v>1701085</v>
      </c>
      <c r="E5694">
        <v>3</v>
      </c>
      <c r="F5694" t="s">
        <v>7110</v>
      </c>
    </row>
    <row r="5695" spans="1:6" x14ac:dyDescent="0.25">
      <c r="A5695" t="s">
        <v>6446</v>
      </c>
      <c r="B5695" t="s">
        <v>1220</v>
      </c>
      <c r="C5695" t="s">
        <v>883</v>
      </c>
      <c r="D5695" t="str">
        <f>HYPERLINK("http://service.sap.com/sap/support/notes/1758333","1758333")</f>
        <v>1758333</v>
      </c>
      <c r="E5695">
        <v>3</v>
      </c>
      <c r="F5695" t="s">
        <v>7111</v>
      </c>
    </row>
    <row r="5696" spans="1:6" x14ac:dyDescent="0.25">
      <c r="A5696" t="s">
        <v>6446</v>
      </c>
      <c r="B5696" t="s">
        <v>1220</v>
      </c>
      <c r="C5696" t="s">
        <v>883</v>
      </c>
      <c r="D5696" t="str">
        <f>HYPERLINK("http://service.sap.com/sap/support/notes/1775890","1775890")</f>
        <v>1775890</v>
      </c>
      <c r="E5696">
        <v>1</v>
      </c>
      <c r="F5696" t="s">
        <v>7112</v>
      </c>
    </row>
    <row r="5697" spans="1:6" x14ac:dyDescent="0.25">
      <c r="A5697" t="s">
        <v>6446</v>
      </c>
      <c r="B5697" t="s">
        <v>1220</v>
      </c>
      <c r="C5697" t="s">
        <v>883</v>
      </c>
      <c r="D5697" t="str">
        <f>HYPERLINK("http://service.sap.com/sap/support/notes/1777930","1777930")</f>
        <v>1777930</v>
      </c>
      <c r="E5697">
        <v>2</v>
      </c>
      <c r="F5697" t="s">
        <v>7113</v>
      </c>
    </row>
    <row r="5698" spans="1:6" x14ac:dyDescent="0.25">
      <c r="A5698" t="s">
        <v>6446</v>
      </c>
      <c r="B5698" t="s">
        <v>1220</v>
      </c>
      <c r="C5698" t="s">
        <v>883</v>
      </c>
      <c r="D5698" t="str">
        <f>HYPERLINK("http://service.sap.com/sap/support/notes/1784022","1784022")</f>
        <v>1784022</v>
      </c>
      <c r="E5698">
        <v>1</v>
      </c>
      <c r="F5698" t="s">
        <v>7114</v>
      </c>
    </row>
    <row r="5699" spans="1:6" x14ac:dyDescent="0.25">
      <c r="A5699" t="s">
        <v>6446</v>
      </c>
      <c r="B5699" t="s">
        <v>1220</v>
      </c>
      <c r="C5699" t="s">
        <v>883</v>
      </c>
      <c r="D5699" t="str">
        <f>HYPERLINK("http://service.sap.com/sap/support/notes/1784606","1784606")</f>
        <v>1784606</v>
      </c>
      <c r="E5699">
        <v>3</v>
      </c>
      <c r="F5699" t="s">
        <v>7115</v>
      </c>
    </row>
    <row r="5700" spans="1:6" x14ac:dyDescent="0.25">
      <c r="A5700" t="s">
        <v>6446</v>
      </c>
      <c r="B5700" t="s">
        <v>1220</v>
      </c>
      <c r="C5700" t="s">
        <v>883</v>
      </c>
      <c r="D5700" t="str">
        <f>HYPERLINK("http://service.sap.com/sap/support/notes/1786674","1786674")</f>
        <v>1786674</v>
      </c>
      <c r="E5700">
        <v>2</v>
      </c>
      <c r="F5700" t="s">
        <v>7116</v>
      </c>
    </row>
    <row r="5701" spans="1:6" x14ac:dyDescent="0.25">
      <c r="A5701" t="s">
        <v>6446</v>
      </c>
      <c r="B5701" t="s">
        <v>1220</v>
      </c>
      <c r="C5701" t="s">
        <v>883</v>
      </c>
      <c r="D5701" t="str">
        <f>HYPERLINK("http://service.sap.com/sap/support/notes/1787362","1787362")</f>
        <v>1787362</v>
      </c>
      <c r="E5701">
        <v>2</v>
      </c>
      <c r="F5701" t="s">
        <v>7117</v>
      </c>
    </row>
    <row r="5702" spans="1:6" x14ac:dyDescent="0.25">
      <c r="A5702" t="s">
        <v>6446</v>
      </c>
      <c r="B5702" t="s">
        <v>1220</v>
      </c>
      <c r="C5702" t="s">
        <v>883</v>
      </c>
      <c r="D5702" t="str">
        <f>HYPERLINK("http://service.sap.com/sap/support/notes/1789678","1789678")</f>
        <v>1789678</v>
      </c>
      <c r="E5702">
        <v>2</v>
      </c>
      <c r="F5702" t="s">
        <v>7118</v>
      </c>
    </row>
    <row r="5703" spans="1:6" x14ac:dyDescent="0.25">
      <c r="A5703" t="s">
        <v>6446</v>
      </c>
      <c r="B5703" t="s">
        <v>1220</v>
      </c>
      <c r="C5703" t="s">
        <v>883</v>
      </c>
      <c r="D5703" t="str">
        <f>HYPERLINK("http://service.sap.com/sap/support/notes/1789798","1789798")</f>
        <v>1789798</v>
      </c>
      <c r="E5703">
        <v>10</v>
      </c>
      <c r="F5703" t="s">
        <v>7119</v>
      </c>
    </row>
    <row r="5704" spans="1:6" x14ac:dyDescent="0.25">
      <c r="A5704" t="s">
        <v>6446</v>
      </c>
      <c r="B5704" t="s">
        <v>1220</v>
      </c>
      <c r="C5704" t="s">
        <v>883</v>
      </c>
      <c r="D5704" t="str">
        <f>HYPERLINK("http://service.sap.com/sap/support/notes/1791912","1791912")</f>
        <v>1791912</v>
      </c>
      <c r="E5704">
        <v>3</v>
      </c>
      <c r="F5704" t="s">
        <v>7120</v>
      </c>
    </row>
    <row r="5705" spans="1:6" x14ac:dyDescent="0.25">
      <c r="A5705" t="s">
        <v>6446</v>
      </c>
      <c r="B5705" t="s">
        <v>1220</v>
      </c>
      <c r="C5705" t="s">
        <v>883</v>
      </c>
      <c r="D5705" t="str">
        <f>HYPERLINK("http://service.sap.com/sap/support/notes/1794268","1794268")</f>
        <v>1794268</v>
      </c>
      <c r="E5705">
        <v>1</v>
      </c>
      <c r="F5705" t="s">
        <v>7121</v>
      </c>
    </row>
    <row r="5706" spans="1:6" x14ac:dyDescent="0.25">
      <c r="A5706" t="s">
        <v>6446</v>
      </c>
      <c r="B5706" t="s">
        <v>1220</v>
      </c>
      <c r="C5706" t="s">
        <v>883</v>
      </c>
      <c r="D5706" t="str">
        <f>HYPERLINK("http://service.sap.com/sap/support/notes/1794634","1794634")</f>
        <v>1794634</v>
      </c>
      <c r="E5706">
        <v>3</v>
      </c>
      <c r="F5706" t="s">
        <v>7122</v>
      </c>
    </row>
    <row r="5707" spans="1:6" x14ac:dyDescent="0.25">
      <c r="A5707" t="s">
        <v>6446</v>
      </c>
      <c r="B5707" t="s">
        <v>1220</v>
      </c>
      <c r="C5707" t="s">
        <v>883</v>
      </c>
      <c r="D5707" t="str">
        <f>HYPERLINK("http://service.sap.com/sap/support/notes/1798314","1798314")</f>
        <v>1798314</v>
      </c>
      <c r="E5707">
        <v>2</v>
      </c>
      <c r="F5707" t="s">
        <v>7123</v>
      </c>
    </row>
    <row r="5708" spans="1:6" x14ac:dyDescent="0.25">
      <c r="A5708" t="s">
        <v>6446</v>
      </c>
      <c r="B5708" t="s">
        <v>1220</v>
      </c>
      <c r="C5708" t="s">
        <v>883</v>
      </c>
      <c r="D5708" t="str">
        <f>HYPERLINK("http://service.sap.com/sap/support/notes/1799375","1799375")</f>
        <v>1799375</v>
      </c>
      <c r="E5708">
        <v>1</v>
      </c>
      <c r="F5708" t="s">
        <v>7124</v>
      </c>
    </row>
    <row r="5709" spans="1:6" x14ac:dyDescent="0.25">
      <c r="A5709" t="s">
        <v>6446</v>
      </c>
      <c r="B5709" t="s">
        <v>1220</v>
      </c>
      <c r="C5709" t="s">
        <v>883</v>
      </c>
      <c r="D5709" t="str">
        <f>HYPERLINK("http://service.sap.com/sap/support/notes/1799467","1799467")</f>
        <v>1799467</v>
      </c>
      <c r="E5709">
        <v>1</v>
      </c>
      <c r="F5709" t="s">
        <v>7125</v>
      </c>
    </row>
    <row r="5710" spans="1:6" x14ac:dyDescent="0.25">
      <c r="A5710" t="s">
        <v>6446</v>
      </c>
      <c r="B5710" t="s">
        <v>1220</v>
      </c>
      <c r="C5710" t="s">
        <v>883</v>
      </c>
      <c r="D5710" t="str">
        <f>HYPERLINK("http://service.sap.com/sap/support/notes/1800453","1800453")</f>
        <v>1800453</v>
      </c>
      <c r="E5710">
        <v>1</v>
      </c>
      <c r="F5710" t="s">
        <v>7126</v>
      </c>
    </row>
    <row r="5711" spans="1:6" x14ac:dyDescent="0.25">
      <c r="A5711" t="s">
        <v>6446</v>
      </c>
      <c r="B5711" t="s">
        <v>1220</v>
      </c>
      <c r="C5711" t="s">
        <v>883</v>
      </c>
      <c r="D5711" t="str">
        <f>HYPERLINK("http://service.sap.com/sap/support/notes/1801161","1801161")</f>
        <v>1801161</v>
      </c>
      <c r="E5711">
        <v>3</v>
      </c>
      <c r="F5711" t="s">
        <v>7127</v>
      </c>
    </row>
    <row r="5712" spans="1:6" x14ac:dyDescent="0.25">
      <c r="A5712" t="s">
        <v>6446</v>
      </c>
      <c r="B5712" t="s">
        <v>1220</v>
      </c>
      <c r="C5712" t="s">
        <v>883</v>
      </c>
      <c r="D5712" t="str">
        <f>HYPERLINK("http://service.sap.com/sap/support/notes/1801747","1801747")</f>
        <v>1801747</v>
      </c>
      <c r="E5712">
        <v>3</v>
      </c>
      <c r="F5712" t="s">
        <v>7128</v>
      </c>
    </row>
    <row r="5713" spans="1:6" x14ac:dyDescent="0.25">
      <c r="A5713" t="s">
        <v>6446</v>
      </c>
      <c r="B5713" t="s">
        <v>1220</v>
      </c>
      <c r="C5713" t="s">
        <v>883</v>
      </c>
      <c r="D5713" t="str">
        <f>HYPERLINK("http://service.sap.com/sap/support/notes/1802289","1802289")</f>
        <v>1802289</v>
      </c>
      <c r="E5713">
        <v>1</v>
      </c>
      <c r="F5713" t="s">
        <v>7129</v>
      </c>
    </row>
    <row r="5714" spans="1:6" x14ac:dyDescent="0.25">
      <c r="A5714" t="s">
        <v>6446</v>
      </c>
      <c r="B5714" t="s">
        <v>1220</v>
      </c>
      <c r="C5714" t="s">
        <v>883</v>
      </c>
      <c r="D5714" t="str">
        <f>HYPERLINK("http://service.sap.com/sap/support/notes/1804103","1804103")</f>
        <v>1804103</v>
      </c>
      <c r="E5714">
        <v>1</v>
      </c>
      <c r="F5714" t="s">
        <v>7130</v>
      </c>
    </row>
    <row r="5715" spans="1:6" x14ac:dyDescent="0.25">
      <c r="A5715" t="s">
        <v>6446</v>
      </c>
      <c r="B5715" t="s">
        <v>1220</v>
      </c>
      <c r="C5715" t="s">
        <v>883</v>
      </c>
      <c r="D5715" t="str">
        <f>HYPERLINK("http://service.sap.com/sap/support/notes/1804825","1804825")</f>
        <v>1804825</v>
      </c>
      <c r="E5715">
        <v>2</v>
      </c>
      <c r="F5715" t="s">
        <v>7131</v>
      </c>
    </row>
    <row r="5716" spans="1:6" x14ac:dyDescent="0.25">
      <c r="A5716" t="s">
        <v>6446</v>
      </c>
      <c r="B5716" t="s">
        <v>1220</v>
      </c>
      <c r="C5716" t="s">
        <v>883</v>
      </c>
      <c r="D5716" t="str">
        <f>HYPERLINK("http://service.sap.com/sap/support/notes/1809167","1809167")</f>
        <v>1809167</v>
      </c>
      <c r="E5716">
        <v>2</v>
      </c>
      <c r="F5716" t="s">
        <v>7132</v>
      </c>
    </row>
    <row r="5717" spans="1:6" x14ac:dyDescent="0.25">
      <c r="A5717" t="s">
        <v>6446</v>
      </c>
      <c r="B5717" t="s">
        <v>1220</v>
      </c>
      <c r="C5717" t="s">
        <v>883</v>
      </c>
      <c r="D5717" t="str">
        <f>HYPERLINK("http://service.sap.com/sap/support/notes/1809550","1809550")</f>
        <v>1809550</v>
      </c>
      <c r="E5717">
        <v>3</v>
      </c>
      <c r="F5717" t="s">
        <v>7133</v>
      </c>
    </row>
    <row r="5718" spans="1:6" x14ac:dyDescent="0.25">
      <c r="A5718" t="s">
        <v>6446</v>
      </c>
      <c r="B5718" t="s">
        <v>1220</v>
      </c>
      <c r="C5718" t="s">
        <v>883</v>
      </c>
      <c r="D5718" t="str">
        <f>HYPERLINK("http://service.sap.com/sap/support/notes/1811549","1811549")</f>
        <v>1811549</v>
      </c>
      <c r="E5718">
        <v>1</v>
      </c>
      <c r="F5718" t="s">
        <v>7134</v>
      </c>
    </row>
    <row r="5719" spans="1:6" x14ac:dyDescent="0.25">
      <c r="A5719" t="s">
        <v>6446</v>
      </c>
      <c r="B5719" t="s">
        <v>1220</v>
      </c>
      <c r="C5719" t="s">
        <v>883</v>
      </c>
      <c r="D5719" t="str">
        <f>HYPERLINK("http://service.sap.com/sap/support/notes/1812246","1812246")</f>
        <v>1812246</v>
      </c>
      <c r="E5719">
        <v>3</v>
      </c>
      <c r="F5719" t="s">
        <v>7135</v>
      </c>
    </row>
    <row r="5720" spans="1:6" x14ac:dyDescent="0.25">
      <c r="A5720" t="s">
        <v>6446</v>
      </c>
      <c r="B5720" t="s">
        <v>1220</v>
      </c>
      <c r="C5720" t="s">
        <v>883</v>
      </c>
      <c r="D5720" t="str">
        <f>HYPERLINK("http://service.sap.com/sap/support/notes/1813337","1813337")</f>
        <v>1813337</v>
      </c>
      <c r="E5720">
        <v>3</v>
      </c>
      <c r="F5720" t="s">
        <v>7136</v>
      </c>
    </row>
    <row r="5721" spans="1:6" x14ac:dyDescent="0.25">
      <c r="A5721" t="s">
        <v>6446</v>
      </c>
      <c r="B5721" t="s">
        <v>1220</v>
      </c>
      <c r="C5721" t="s">
        <v>883</v>
      </c>
      <c r="D5721" t="str">
        <f>HYPERLINK("http://service.sap.com/sap/support/notes/1815933","1815933")</f>
        <v>1815933</v>
      </c>
      <c r="E5721">
        <v>1</v>
      </c>
      <c r="F5721" t="s">
        <v>7137</v>
      </c>
    </row>
    <row r="5722" spans="1:6" x14ac:dyDescent="0.25">
      <c r="A5722" t="s">
        <v>6446</v>
      </c>
      <c r="B5722" t="s">
        <v>1220</v>
      </c>
      <c r="C5722" t="s">
        <v>883</v>
      </c>
      <c r="D5722" t="str">
        <f>HYPERLINK("http://service.sap.com/sap/support/notes/1817415","1817415")</f>
        <v>1817415</v>
      </c>
      <c r="E5722">
        <v>2</v>
      </c>
      <c r="F5722" t="s">
        <v>7138</v>
      </c>
    </row>
    <row r="5723" spans="1:6" x14ac:dyDescent="0.25">
      <c r="A5723" t="s">
        <v>6446</v>
      </c>
      <c r="B5723" t="s">
        <v>1220</v>
      </c>
      <c r="C5723" t="s">
        <v>883</v>
      </c>
      <c r="D5723" t="str">
        <f>HYPERLINK("http://service.sap.com/sap/support/notes/1820321","1820321")</f>
        <v>1820321</v>
      </c>
      <c r="E5723">
        <v>1</v>
      </c>
      <c r="F5723" t="s">
        <v>7139</v>
      </c>
    </row>
    <row r="5724" spans="1:6" x14ac:dyDescent="0.25">
      <c r="A5724" t="s">
        <v>6446</v>
      </c>
      <c r="B5724" t="s">
        <v>1220</v>
      </c>
      <c r="C5724" t="s">
        <v>883</v>
      </c>
      <c r="D5724" t="str">
        <f>HYPERLINK("http://service.sap.com/sap/support/notes/1822809","1822809")</f>
        <v>1822809</v>
      </c>
      <c r="E5724">
        <v>2</v>
      </c>
      <c r="F5724" t="s">
        <v>7140</v>
      </c>
    </row>
    <row r="5725" spans="1:6" x14ac:dyDescent="0.25">
      <c r="A5725" t="s">
        <v>6446</v>
      </c>
      <c r="B5725" t="s">
        <v>1220</v>
      </c>
      <c r="C5725" t="s">
        <v>883</v>
      </c>
      <c r="D5725" t="str">
        <f>HYPERLINK("http://service.sap.com/sap/support/notes/1826877","1826877")</f>
        <v>1826877</v>
      </c>
      <c r="E5725">
        <v>1</v>
      </c>
      <c r="F5725" t="s">
        <v>7141</v>
      </c>
    </row>
    <row r="5726" spans="1:6" x14ac:dyDescent="0.25">
      <c r="A5726" t="s">
        <v>6446</v>
      </c>
      <c r="B5726" t="s">
        <v>1220</v>
      </c>
      <c r="C5726" t="s">
        <v>883</v>
      </c>
      <c r="D5726" t="str">
        <f>HYPERLINK("http://service.sap.com/sap/support/notes/1827058","1827058")</f>
        <v>1827058</v>
      </c>
      <c r="E5726">
        <v>1</v>
      </c>
      <c r="F5726" t="s">
        <v>7142</v>
      </c>
    </row>
    <row r="5727" spans="1:6" x14ac:dyDescent="0.25">
      <c r="A5727" t="s">
        <v>6446</v>
      </c>
      <c r="B5727" t="s">
        <v>1220</v>
      </c>
      <c r="C5727" t="s">
        <v>883</v>
      </c>
      <c r="D5727" t="str">
        <f>HYPERLINK("http://service.sap.com/sap/support/notes/1830162","1830162")</f>
        <v>1830162</v>
      </c>
      <c r="E5727">
        <v>1</v>
      </c>
      <c r="F5727" t="s">
        <v>7143</v>
      </c>
    </row>
    <row r="5728" spans="1:6" x14ac:dyDescent="0.25">
      <c r="A5728" t="s">
        <v>6446</v>
      </c>
      <c r="B5728" t="s">
        <v>1264</v>
      </c>
      <c r="C5728" t="s">
        <v>891</v>
      </c>
      <c r="D5728" t="str">
        <f>HYPERLINK("http://service.sap.com/sap/support/notes/1653332","1653332")</f>
        <v>1653332</v>
      </c>
      <c r="E5728">
        <v>6</v>
      </c>
      <c r="F5728" t="s">
        <v>7144</v>
      </c>
    </row>
    <row r="5729" spans="1:6" x14ac:dyDescent="0.25">
      <c r="A5729" t="s">
        <v>6446</v>
      </c>
      <c r="B5729" t="s">
        <v>1264</v>
      </c>
      <c r="C5729" t="s">
        <v>891</v>
      </c>
      <c r="D5729" t="str">
        <f>HYPERLINK("http://service.sap.com/sap/support/notes/1701094","1701094")</f>
        <v>1701094</v>
      </c>
      <c r="E5729">
        <v>1</v>
      </c>
      <c r="F5729" t="s">
        <v>1265</v>
      </c>
    </row>
    <row r="5730" spans="1:6" x14ac:dyDescent="0.25">
      <c r="A5730" t="s">
        <v>6446</v>
      </c>
      <c r="B5730" t="s">
        <v>1264</v>
      </c>
      <c r="C5730" t="s">
        <v>891</v>
      </c>
      <c r="D5730" t="str">
        <f>HYPERLINK("http://service.sap.com/sap/support/notes/1779136","1779136")</f>
        <v>1779136</v>
      </c>
      <c r="E5730">
        <v>7</v>
      </c>
      <c r="F5730" t="s">
        <v>7145</v>
      </c>
    </row>
    <row r="5731" spans="1:6" x14ac:dyDescent="0.25">
      <c r="A5731" t="s">
        <v>6446</v>
      </c>
      <c r="B5731" t="s">
        <v>1264</v>
      </c>
      <c r="C5731" t="s">
        <v>891</v>
      </c>
      <c r="D5731" t="str">
        <f>HYPERLINK("http://service.sap.com/sap/support/notes/1800680","1800680")</f>
        <v>1800680</v>
      </c>
      <c r="E5731">
        <v>2</v>
      </c>
      <c r="F5731" t="s">
        <v>7146</v>
      </c>
    </row>
    <row r="5732" spans="1:6" x14ac:dyDescent="0.25">
      <c r="A5732" t="s">
        <v>6446</v>
      </c>
      <c r="B5732" t="s">
        <v>1264</v>
      </c>
      <c r="C5732" t="s">
        <v>891</v>
      </c>
      <c r="D5732" t="str">
        <f>HYPERLINK("http://service.sap.com/sap/support/notes/1813861","1813861")</f>
        <v>1813861</v>
      </c>
      <c r="E5732">
        <v>1</v>
      </c>
      <c r="F5732" t="s">
        <v>7147</v>
      </c>
    </row>
    <row r="5733" spans="1:6" x14ac:dyDescent="0.25">
      <c r="A5733" t="s">
        <v>6446</v>
      </c>
      <c r="B5733" t="s">
        <v>1272</v>
      </c>
      <c r="C5733" t="s">
        <v>29</v>
      </c>
      <c r="D5733" t="str">
        <f>HYPERLINK("http://service.sap.com/sap/support/notes/1802387","1802387")</f>
        <v>1802387</v>
      </c>
      <c r="E5733">
        <v>1</v>
      </c>
      <c r="F5733" t="s">
        <v>7148</v>
      </c>
    </row>
    <row r="5734" spans="1:6" x14ac:dyDescent="0.25">
      <c r="A5734" t="s">
        <v>6446</v>
      </c>
      <c r="B5734" t="s">
        <v>1272</v>
      </c>
      <c r="C5734" t="s">
        <v>29</v>
      </c>
      <c r="D5734" t="str">
        <f>HYPERLINK("http://service.sap.com/sap/support/notes/1802878","1802878")</f>
        <v>1802878</v>
      </c>
      <c r="E5734">
        <v>1</v>
      </c>
      <c r="F5734" t="s">
        <v>7149</v>
      </c>
    </row>
    <row r="5735" spans="1:6" x14ac:dyDescent="0.25">
      <c r="A5735" t="s">
        <v>6446</v>
      </c>
      <c r="B5735" t="s">
        <v>1272</v>
      </c>
      <c r="C5735" t="s">
        <v>29</v>
      </c>
      <c r="D5735" t="str">
        <f>HYPERLINK("http://service.sap.com/sap/support/notes/1806798","1806798")</f>
        <v>1806798</v>
      </c>
      <c r="E5735">
        <v>1</v>
      </c>
      <c r="F5735" t="s">
        <v>7150</v>
      </c>
    </row>
    <row r="5736" spans="1:6" x14ac:dyDescent="0.25">
      <c r="A5736" t="s">
        <v>6446</v>
      </c>
      <c r="B5736" t="s">
        <v>1272</v>
      </c>
      <c r="C5736" t="s">
        <v>29</v>
      </c>
      <c r="D5736" t="str">
        <f>HYPERLINK("http://service.sap.com/sap/support/notes/1813403","1813403")</f>
        <v>1813403</v>
      </c>
      <c r="E5736">
        <v>2</v>
      </c>
      <c r="F5736" t="s">
        <v>7151</v>
      </c>
    </row>
    <row r="5737" spans="1:6" x14ac:dyDescent="0.25">
      <c r="A5737" t="s">
        <v>6446</v>
      </c>
      <c r="B5737" t="s">
        <v>1272</v>
      </c>
      <c r="C5737" t="s">
        <v>29</v>
      </c>
      <c r="D5737" t="str">
        <f>HYPERLINK("http://service.sap.com/sap/support/notes/1816177","1816177")</f>
        <v>1816177</v>
      </c>
      <c r="E5737">
        <v>2</v>
      </c>
      <c r="F5737" t="s">
        <v>7152</v>
      </c>
    </row>
    <row r="5738" spans="1:6" x14ac:dyDescent="0.25">
      <c r="A5738" t="s">
        <v>6446</v>
      </c>
      <c r="B5738" t="s">
        <v>4855</v>
      </c>
      <c r="C5738" t="s">
        <v>4856</v>
      </c>
      <c r="D5738" t="str">
        <f>HYPERLINK("http://service.sap.com/sap/support/notes/1713083","1713083")</f>
        <v>1713083</v>
      </c>
      <c r="E5738">
        <v>3</v>
      </c>
      <c r="F5738" t="s">
        <v>4857</v>
      </c>
    </row>
    <row r="5739" spans="1:6" x14ac:dyDescent="0.25">
      <c r="A5739" t="s">
        <v>6446</v>
      </c>
      <c r="B5739" t="s">
        <v>4855</v>
      </c>
      <c r="C5739" t="s">
        <v>4856</v>
      </c>
      <c r="D5739" t="str">
        <f>HYPERLINK("http://service.sap.com/sap/support/notes/1808420","1808420")</f>
        <v>1808420</v>
      </c>
      <c r="E5739">
        <v>2</v>
      </c>
      <c r="F5739" t="s">
        <v>7153</v>
      </c>
    </row>
    <row r="5740" spans="1:6" x14ac:dyDescent="0.25">
      <c r="A5740" t="s">
        <v>6446</v>
      </c>
      <c r="B5740" t="s">
        <v>4855</v>
      </c>
      <c r="C5740" t="s">
        <v>4856</v>
      </c>
      <c r="D5740" t="str">
        <f>HYPERLINK("http://service.sap.com/sap/support/notes/1830126","1830126")</f>
        <v>1830126</v>
      </c>
      <c r="E5740">
        <v>2</v>
      </c>
      <c r="F5740" t="s">
        <v>7154</v>
      </c>
    </row>
    <row r="5741" spans="1:6" x14ac:dyDescent="0.25">
      <c r="A5741" t="s">
        <v>6446</v>
      </c>
      <c r="B5741" t="s">
        <v>1277</v>
      </c>
      <c r="C5741" t="s">
        <v>937</v>
      </c>
      <c r="D5741" t="str">
        <f>HYPERLINK("http://service.sap.com/sap/support/notes/1789661","1789661")</f>
        <v>1789661</v>
      </c>
      <c r="E5741">
        <v>1</v>
      </c>
      <c r="F5741" t="s">
        <v>7155</v>
      </c>
    </row>
    <row r="5742" spans="1:6" x14ac:dyDescent="0.25">
      <c r="A5742" t="s">
        <v>6446</v>
      </c>
      <c r="B5742" t="s">
        <v>1277</v>
      </c>
      <c r="C5742" t="s">
        <v>937</v>
      </c>
      <c r="D5742" t="str">
        <f>HYPERLINK("http://service.sap.com/sap/support/notes/1800048","1800048")</f>
        <v>1800048</v>
      </c>
      <c r="E5742">
        <v>1</v>
      </c>
      <c r="F5742" t="s">
        <v>7156</v>
      </c>
    </row>
    <row r="5743" spans="1:6" x14ac:dyDescent="0.25">
      <c r="A5743" t="s">
        <v>6446</v>
      </c>
      <c r="B5743" t="s">
        <v>1277</v>
      </c>
      <c r="C5743" t="s">
        <v>937</v>
      </c>
      <c r="D5743" t="str">
        <f>HYPERLINK("http://service.sap.com/sap/support/notes/1816758","1816758")</f>
        <v>1816758</v>
      </c>
      <c r="E5743">
        <v>2</v>
      </c>
      <c r="F5743" t="s">
        <v>7157</v>
      </c>
    </row>
    <row r="5744" spans="1:6" x14ac:dyDescent="0.25">
      <c r="A5744" t="s">
        <v>6446</v>
      </c>
      <c r="B5744" t="s">
        <v>1277</v>
      </c>
      <c r="C5744" t="s">
        <v>937</v>
      </c>
      <c r="D5744" t="str">
        <f>HYPERLINK("http://service.sap.com/sap/support/notes/1820934","1820934")</f>
        <v>1820934</v>
      </c>
      <c r="E5744">
        <v>1</v>
      </c>
      <c r="F5744" t="s">
        <v>7158</v>
      </c>
    </row>
    <row r="5745" spans="1:6" x14ac:dyDescent="0.25">
      <c r="A5745" t="s">
        <v>6446</v>
      </c>
      <c r="B5745" t="s">
        <v>1282</v>
      </c>
      <c r="C5745" t="s">
        <v>1283</v>
      </c>
      <c r="D5745" t="str">
        <f>HYPERLINK("http://service.sap.com/sap/support/notes/1800685","1800685")</f>
        <v>1800685</v>
      </c>
      <c r="E5745">
        <v>2</v>
      </c>
      <c r="F5745" t="s">
        <v>7159</v>
      </c>
    </row>
    <row r="5746" spans="1:6" x14ac:dyDescent="0.25">
      <c r="A5746" t="s">
        <v>6446</v>
      </c>
      <c r="B5746" t="s">
        <v>1287</v>
      </c>
      <c r="C5746" t="s">
        <v>824</v>
      </c>
      <c r="D5746" t="str">
        <f>HYPERLINK("http://service.sap.com/sap/support/notes/1685704","1685704")</f>
        <v>1685704</v>
      </c>
      <c r="E5746">
        <v>4</v>
      </c>
      <c r="F5746" t="s">
        <v>7160</v>
      </c>
    </row>
    <row r="5747" spans="1:6" x14ac:dyDescent="0.25">
      <c r="A5747" t="s">
        <v>6446</v>
      </c>
      <c r="B5747" t="s">
        <v>1287</v>
      </c>
      <c r="C5747" t="s">
        <v>824</v>
      </c>
      <c r="D5747" t="str">
        <f>HYPERLINK("http://service.sap.com/sap/support/notes/1736077","1736077")</f>
        <v>1736077</v>
      </c>
      <c r="E5747">
        <v>7</v>
      </c>
      <c r="F5747" t="s">
        <v>7161</v>
      </c>
    </row>
    <row r="5748" spans="1:6" x14ac:dyDescent="0.25">
      <c r="A5748" t="s">
        <v>6446</v>
      </c>
      <c r="B5748" t="s">
        <v>1287</v>
      </c>
      <c r="C5748" t="s">
        <v>824</v>
      </c>
      <c r="D5748" t="str">
        <f>HYPERLINK("http://service.sap.com/sap/support/notes/1787108","1787108")</f>
        <v>1787108</v>
      </c>
      <c r="E5748">
        <v>1</v>
      </c>
      <c r="F5748" t="s">
        <v>7162</v>
      </c>
    </row>
    <row r="5749" spans="1:6" x14ac:dyDescent="0.25">
      <c r="A5749" t="s">
        <v>6446</v>
      </c>
      <c r="B5749" t="s">
        <v>1287</v>
      </c>
      <c r="C5749" t="s">
        <v>824</v>
      </c>
      <c r="D5749" t="str">
        <f>HYPERLINK("http://service.sap.com/sap/support/notes/1797455","1797455")</f>
        <v>1797455</v>
      </c>
      <c r="E5749">
        <v>4</v>
      </c>
      <c r="F5749" t="s">
        <v>7163</v>
      </c>
    </row>
    <row r="5750" spans="1:6" x14ac:dyDescent="0.25">
      <c r="A5750" t="s">
        <v>6446</v>
      </c>
      <c r="B5750" t="s">
        <v>1287</v>
      </c>
      <c r="C5750" t="s">
        <v>824</v>
      </c>
      <c r="D5750" t="str">
        <f>HYPERLINK("http://service.sap.com/sap/support/notes/1800099","1800099")</f>
        <v>1800099</v>
      </c>
      <c r="E5750">
        <v>2</v>
      </c>
      <c r="F5750" t="s">
        <v>7164</v>
      </c>
    </row>
    <row r="5751" spans="1:6" x14ac:dyDescent="0.25">
      <c r="A5751" t="s">
        <v>6446</v>
      </c>
      <c r="B5751" t="s">
        <v>1287</v>
      </c>
      <c r="C5751" t="s">
        <v>824</v>
      </c>
      <c r="D5751" t="str">
        <f>HYPERLINK("http://service.sap.com/sap/support/notes/1802530","1802530")</f>
        <v>1802530</v>
      </c>
      <c r="E5751">
        <v>1</v>
      </c>
      <c r="F5751" t="s">
        <v>7165</v>
      </c>
    </row>
    <row r="5752" spans="1:6" x14ac:dyDescent="0.25">
      <c r="A5752" t="s">
        <v>6446</v>
      </c>
      <c r="B5752" t="s">
        <v>1287</v>
      </c>
      <c r="C5752" t="s">
        <v>824</v>
      </c>
      <c r="D5752" t="str">
        <f>HYPERLINK("http://service.sap.com/sap/support/notes/1805260","1805260")</f>
        <v>1805260</v>
      </c>
      <c r="E5752">
        <v>3</v>
      </c>
      <c r="F5752" t="s">
        <v>7166</v>
      </c>
    </row>
    <row r="5753" spans="1:6" x14ac:dyDescent="0.25">
      <c r="A5753" t="s">
        <v>6446</v>
      </c>
      <c r="B5753" t="s">
        <v>1287</v>
      </c>
      <c r="C5753" t="s">
        <v>824</v>
      </c>
      <c r="D5753" t="str">
        <f>HYPERLINK("http://service.sap.com/sap/support/notes/1810592","1810592")</f>
        <v>1810592</v>
      </c>
      <c r="E5753">
        <v>2</v>
      </c>
      <c r="F5753" t="s">
        <v>7167</v>
      </c>
    </row>
    <row r="5754" spans="1:6" x14ac:dyDescent="0.25">
      <c r="A5754" t="s">
        <v>6446</v>
      </c>
      <c r="B5754" t="s">
        <v>1287</v>
      </c>
      <c r="C5754" t="s">
        <v>824</v>
      </c>
      <c r="D5754" t="str">
        <f>HYPERLINK("http://service.sap.com/sap/support/notes/1813347","1813347")</f>
        <v>1813347</v>
      </c>
      <c r="E5754">
        <v>1</v>
      </c>
      <c r="F5754" t="s">
        <v>7168</v>
      </c>
    </row>
    <row r="5755" spans="1:6" x14ac:dyDescent="0.25">
      <c r="A5755" t="s">
        <v>6446</v>
      </c>
      <c r="B5755" t="s">
        <v>1287</v>
      </c>
      <c r="C5755" t="s">
        <v>824</v>
      </c>
      <c r="D5755" t="str">
        <f>HYPERLINK("http://service.sap.com/sap/support/notes/1817471","1817471")</f>
        <v>1817471</v>
      </c>
      <c r="E5755">
        <v>1</v>
      </c>
      <c r="F5755" t="s">
        <v>7169</v>
      </c>
    </row>
    <row r="5756" spans="1:6" x14ac:dyDescent="0.25">
      <c r="A5756" t="s">
        <v>6446</v>
      </c>
      <c r="B5756" t="s">
        <v>1287</v>
      </c>
      <c r="C5756" t="s">
        <v>824</v>
      </c>
      <c r="D5756" t="str">
        <f>HYPERLINK("http://service.sap.com/sap/support/notes/1818716","1818716")</f>
        <v>1818716</v>
      </c>
      <c r="E5756">
        <v>1</v>
      </c>
      <c r="F5756" t="s">
        <v>7170</v>
      </c>
    </row>
    <row r="5757" spans="1:6" x14ac:dyDescent="0.25">
      <c r="A5757" t="s">
        <v>6446</v>
      </c>
      <c r="B5757" t="s">
        <v>1287</v>
      </c>
      <c r="C5757" t="s">
        <v>824</v>
      </c>
      <c r="D5757" t="str">
        <f>HYPERLINK("http://service.sap.com/sap/support/notes/1820365","1820365")</f>
        <v>1820365</v>
      </c>
      <c r="E5757">
        <v>1</v>
      </c>
      <c r="F5757" t="s">
        <v>7171</v>
      </c>
    </row>
    <row r="5758" spans="1:6" x14ac:dyDescent="0.25">
      <c r="A5758" t="s">
        <v>6446</v>
      </c>
      <c r="B5758" t="s">
        <v>1287</v>
      </c>
      <c r="C5758" t="s">
        <v>824</v>
      </c>
      <c r="D5758" t="str">
        <f>HYPERLINK("http://service.sap.com/sap/support/notes/1828693","1828693")</f>
        <v>1828693</v>
      </c>
      <c r="E5758">
        <v>2</v>
      </c>
      <c r="F5758" t="s">
        <v>7172</v>
      </c>
    </row>
    <row r="5759" spans="1:6" x14ac:dyDescent="0.25">
      <c r="A5759" t="s">
        <v>6446</v>
      </c>
      <c r="B5759" t="s">
        <v>1326</v>
      </c>
      <c r="C5759" t="s">
        <v>1327</v>
      </c>
      <c r="D5759" t="str">
        <f>HYPERLINK("http://service.sap.com/sap/support/notes/1778036","1778036")</f>
        <v>1778036</v>
      </c>
      <c r="E5759">
        <v>2</v>
      </c>
      <c r="F5759" t="s">
        <v>7173</v>
      </c>
    </row>
    <row r="5760" spans="1:6" x14ac:dyDescent="0.25">
      <c r="A5760" t="s">
        <v>6446</v>
      </c>
      <c r="B5760" t="s">
        <v>1326</v>
      </c>
      <c r="C5760" t="s">
        <v>1327</v>
      </c>
      <c r="D5760" t="str">
        <f>HYPERLINK("http://service.sap.com/sap/support/notes/1780066","1780066")</f>
        <v>1780066</v>
      </c>
      <c r="E5760">
        <v>1</v>
      </c>
      <c r="F5760" t="s">
        <v>7174</v>
      </c>
    </row>
    <row r="5761" spans="1:6" x14ac:dyDescent="0.25">
      <c r="A5761" t="s">
        <v>6446</v>
      </c>
      <c r="B5761" t="s">
        <v>1326</v>
      </c>
      <c r="C5761" t="s">
        <v>1327</v>
      </c>
      <c r="D5761" t="str">
        <f>HYPERLINK("http://service.sap.com/sap/support/notes/1781344","1781344")</f>
        <v>1781344</v>
      </c>
      <c r="E5761">
        <v>1</v>
      </c>
      <c r="F5761" t="s">
        <v>7175</v>
      </c>
    </row>
    <row r="5762" spans="1:6" x14ac:dyDescent="0.25">
      <c r="A5762" t="s">
        <v>6446</v>
      </c>
      <c r="B5762" t="s">
        <v>1326</v>
      </c>
      <c r="C5762" t="s">
        <v>1327</v>
      </c>
      <c r="D5762" t="str">
        <f>HYPERLINK("http://service.sap.com/sap/support/notes/1795649","1795649")</f>
        <v>1795649</v>
      </c>
      <c r="E5762">
        <v>2</v>
      </c>
      <c r="F5762" t="s">
        <v>7176</v>
      </c>
    </row>
    <row r="5763" spans="1:6" x14ac:dyDescent="0.25">
      <c r="A5763" t="s">
        <v>6446</v>
      </c>
      <c r="B5763" t="s">
        <v>1326</v>
      </c>
      <c r="C5763" t="s">
        <v>1327</v>
      </c>
      <c r="D5763" t="str">
        <f>HYPERLINK("http://service.sap.com/sap/support/notes/1796970","1796970")</f>
        <v>1796970</v>
      </c>
      <c r="E5763">
        <v>1</v>
      </c>
      <c r="F5763" t="s">
        <v>7177</v>
      </c>
    </row>
    <row r="5764" spans="1:6" x14ac:dyDescent="0.25">
      <c r="A5764" t="s">
        <v>6446</v>
      </c>
      <c r="B5764" t="s">
        <v>1326</v>
      </c>
      <c r="C5764" t="s">
        <v>1327</v>
      </c>
      <c r="D5764" t="str">
        <f>HYPERLINK("http://service.sap.com/sap/support/notes/1797601","1797601")</f>
        <v>1797601</v>
      </c>
      <c r="E5764">
        <v>2</v>
      </c>
      <c r="F5764" t="s">
        <v>7178</v>
      </c>
    </row>
    <row r="5765" spans="1:6" x14ac:dyDescent="0.25">
      <c r="A5765" t="s">
        <v>6446</v>
      </c>
      <c r="B5765" t="s">
        <v>1326</v>
      </c>
      <c r="C5765" t="s">
        <v>1327</v>
      </c>
      <c r="D5765" t="str">
        <f>HYPERLINK("http://service.sap.com/sap/support/notes/1803526","1803526")</f>
        <v>1803526</v>
      </c>
      <c r="E5765">
        <v>1</v>
      </c>
      <c r="F5765" t="s">
        <v>7179</v>
      </c>
    </row>
    <row r="5766" spans="1:6" x14ac:dyDescent="0.25">
      <c r="A5766" t="s">
        <v>6446</v>
      </c>
      <c r="B5766" t="s">
        <v>1326</v>
      </c>
      <c r="C5766" t="s">
        <v>1327</v>
      </c>
      <c r="D5766" t="str">
        <f>HYPERLINK("http://service.sap.com/sap/support/notes/1807801","1807801")</f>
        <v>1807801</v>
      </c>
      <c r="E5766">
        <v>1</v>
      </c>
      <c r="F5766" t="s">
        <v>7180</v>
      </c>
    </row>
    <row r="5767" spans="1:6" x14ac:dyDescent="0.25">
      <c r="A5767" t="s">
        <v>6446</v>
      </c>
      <c r="B5767" t="s">
        <v>1326</v>
      </c>
      <c r="C5767" t="s">
        <v>1327</v>
      </c>
      <c r="D5767" t="str">
        <f>HYPERLINK("http://service.sap.com/sap/support/notes/1808494","1808494")</f>
        <v>1808494</v>
      </c>
      <c r="E5767">
        <v>2</v>
      </c>
      <c r="F5767" t="s">
        <v>7181</v>
      </c>
    </row>
    <row r="5768" spans="1:6" x14ac:dyDescent="0.25">
      <c r="A5768" t="s">
        <v>6446</v>
      </c>
      <c r="B5768" t="s">
        <v>1326</v>
      </c>
      <c r="C5768" t="s">
        <v>1327</v>
      </c>
      <c r="D5768" t="str">
        <f>HYPERLINK("http://service.sap.com/sap/support/notes/1810142","1810142")</f>
        <v>1810142</v>
      </c>
      <c r="E5768">
        <v>4</v>
      </c>
      <c r="F5768" t="s">
        <v>7182</v>
      </c>
    </row>
    <row r="5769" spans="1:6" x14ac:dyDescent="0.25">
      <c r="A5769" t="s">
        <v>6446</v>
      </c>
      <c r="B5769" t="s">
        <v>1333</v>
      </c>
      <c r="C5769" t="s">
        <v>1334</v>
      </c>
      <c r="D5769" t="str">
        <f>HYPERLINK("http://service.sap.com/sap/support/notes/1746704","1746704")</f>
        <v>1746704</v>
      </c>
      <c r="E5769">
        <v>2</v>
      </c>
      <c r="F5769" t="s">
        <v>7183</v>
      </c>
    </row>
    <row r="5770" spans="1:6" x14ac:dyDescent="0.25">
      <c r="A5770" t="s">
        <v>6446</v>
      </c>
      <c r="B5770" t="s">
        <v>1333</v>
      </c>
      <c r="C5770" t="s">
        <v>1334</v>
      </c>
      <c r="D5770" t="str">
        <f>HYPERLINK("http://service.sap.com/sap/support/notes/1777986","1777986")</f>
        <v>1777986</v>
      </c>
      <c r="E5770">
        <v>1</v>
      </c>
      <c r="F5770" t="s">
        <v>7184</v>
      </c>
    </row>
    <row r="5771" spans="1:6" x14ac:dyDescent="0.25">
      <c r="A5771" t="s">
        <v>6446</v>
      </c>
      <c r="B5771" t="s">
        <v>1333</v>
      </c>
      <c r="C5771" t="s">
        <v>1334</v>
      </c>
      <c r="D5771" t="str">
        <f>HYPERLINK("http://service.sap.com/sap/support/notes/1795500","1795500")</f>
        <v>1795500</v>
      </c>
      <c r="E5771">
        <v>1</v>
      </c>
      <c r="F5771" t="s">
        <v>7185</v>
      </c>
    </row>
    <row r="5772" spans="1:6" x14ac:dyDescent="0.25">
      <c r="A5772" t="s">
        <v>6446</v>
      </c>
      <c r="B5772" t="s">
        <v>1333</v>
      </c>
      <c r="C5772" t="s">
        <v>1334</v>
      </c>
      <c r="D5772" t="str">
        <f>HYPERLINK("http://service.sap.com/sap/support/notes/1809174","1809174")</f>
        <v>1809174</v>
      </c>
      <c r="E5772">
        <v>1</v>
      </c>
      <c r="F5772" t="s">
        <v>7186</v>
      </c>
    </row>
    <row r="5773" spans="1:6" x14ac:dyDescent="0.25">
      <c r="A5773" t="s">
        <v>6446</v>
      </c>
      <c r="B5773" t="s">
        <v>1333</v>
      </c>
      <c r="C5773" t="s">
        <v>1334</v>
      </c>
      <c r="D5773" t="str">
        <f>HYPERLINK("http://service.sap.com/sap/support/notes/1812014","1812014")</f>
        <v>1812014</v>
      </c>
      <c r="E5773">
        <v>1</v>
      </c>
      <c r="F5773" t="s">
        <v>7187</v>
      </c>
    </row>
    <row r="5774" spans="1:6" x14ac:dyDescent="0.25">
      <c r="A5774" t="s">
        <v>6446</v>
      </c>
      <c r="B5774" t="s">
        <v>1336</v>
      </c>
      <c r="C5774" t="s">
        <v>1327</v>
      </c>
      <c r="D5774" t="str">
        <f>HYPERLINK("http://service.sap.com/sap/support/notes/1808885","1808885")</f>
        <v>1808885</v>
      </c>
      <c r="E5774">
        <v>1</v>
      </c>
      <c r="F5774" t="s">
        <v>7188</v>
      </c>
    </row>
    <row r="5775" spans="1:6" x14ac:dyDescent="0.25">
      <c r="A5775" t="s">
        <v>6446</v>
      </c>
      <c r="B5775" t="s">
        <v>1336</v>
      </c>
      <c r="C5775" t="s">
        <v>1327</v>
      </c>
      <c r="D5775" t="str">
        <f>HYPERLINK("http://service.sap.com/sap/support/notes/1810191","1810191")</f>
        <v>1810191</v>
      </c>
      <c r="E5775">
        <v>1</v>
      </c>
      <c r="F5775" t="s">
        <v>7189</v>
      </c>
    </row>
    <row r="5776" spans="1:6" x14ac:dyDescent="0.25">
      <c r="A5776" t="s">
        <v>6446</v>
      </c>
      <c r="B5776" t="s">
        <v>1336</v>
      </c>
      <c r="C5776" t="s">
        <v>1327</v>
      </c>
      <c r="D5776" t="str">
        <f>HYPERLINK("http://service.sap.com/sap/support/notes/1810739","1810739")</f>
        <v>1810739</v>
      </c>
      <c r="E5776">
        <v>1</v>
      </c>
      <c r="F5776" t="s">
        <v>7190</v>
      </c>
    </row>
    <row r="5777" spans="1:6" x14ac:dyDescent="0.25">
      <c r="A5777" t="s">
        <v>6446</v>
      </c>
      <c r="B5777" t="s">
        <v>1336</v>
      </c>
      <c r="C5777" t="s">
        <v>1327</v>
      </c>
      <c r="D5777" t="str">
        <f>HYPERLINK("http://service.sap.com/sap/support/notes/1824220","1824220")</f>
        <v>1824220</v>
      </c>
      <c r="E5777">
        <v>2</v>
      </c>
      <c r="F5777" t="s">
        <v>7191</v>
      </c>
    </row>
    <row r="5778" spans="1:6" x14ac:dyDescent="0.25">
      <c r="A5778" t="s">
        <v>6446</v>
      </c>
      <c r="B5778" t="s">
        <v>1336</v>
      </c>
      <c r="C5778" t="s">
        <v>1327</v>
      </c>
      <c r="D5778" t="str">
        <f>HYPERLINK("http://service.sap.com/sap/support/notes/1825794","1825794")</f>
        <v>1825794</v>
      </c>
      <c r="E5778">
        <v>1</v>
      </c>
      <c r="F5778" t="s">
        <v>7192</v>
      </c>
    </row>
    <row r="5779" spans="1:6" x14ac:dyDescent="0.25">
      <c r="A5779" t="s">
        <v>6446</v>
      </c>
      <c r="B5779" t="s">
        <v>1351</v>
      </c>
      <c r="C5779" t="s">
        <v>1327</v>
      </c>
      <c r="D5779" t="str">
        <f>HYPERLINK("http://service.sap.com/sap/support/notes/1762744","1762744")</f>
        <v>1762744</v>
      </c>
      <c r="E5779">
        <v>2</v>
      </c>
      <c r="F5779" t="s">
        <v>7193</v>
      </c>
    </row>
    <row r="5780" spans="1:6" x14ac:dyDescent="0.25">
      <c r="A5780" t="s">
        <v>6446</v>
      </c>
      <c r="B5780" t="s">
        <v>1351</v>
      </c>
      <c r="C5780" t="s">
        <v>1327</v>
      </c>
      <c r="D5780" t="str">
        <f>HYPERLINK("http://service.sap.com/sap/support/notes/1794282","1794282")</f>
        <v>1794282</v>
      </c>
      <c r="E5780">
        <v>4</v>
      </c>
      <c r="F5780" t="s">
        <v>7194</v>
      </c>
    </row>
    <row r="5781" spans="1:6" x14ac:dyDescent="0.25">
      <c r="A5781" t="s">
        <v>6446</v>
      </c>
      <c r="B5781" t="s">
        <v>1351</v>
      </c>
      <c r="C5781" t="s">
        <v>1327</v>
      </c>
      <c r="D5781" t="str">
        <f>HYPERLINK("http://service.sap.com/sap/support/notes/1797558","1797558")</f>
        <v>1797558</v>
      </c>
      <c r="E5781">
        <v>2</v>
      </c>
      <c r="F5781" t="s">
        <v>7195</v>
      </c>
    </row>
    <row r="5782" spans="1:6" x14ac:dyDescent="0.25">
      <c r="A5782" t="s">
        <v>6446</v>
      </c>
      <c r="B5782" t="s">
        <v>1351</v>
      </c>
      <c r="C5782" t="s">
        <v>1327</v>
      </c>
      <c r="D5782" t="str">
        <f>HYPERLINK("http://service.sap.com/sap/support/notes/1798910","1798910")</f>
        <v>1798910</v>
      </c>
      <c r="E5782">
        <v>3</v>
      </c>
      <c r="F5782" t="s">
        <v>7193</v>
      </c>
    </row>
    <row r="5783" spans="1:6" x14ac:dyDescent="0.25">
      <c r="A5783" t="s">
        <v>6446</v>
      </c>
      <c r="B5783" t="s">
        <v>1351</v>
      </c>
      <c r="C5783" t="s">
        <v>1327</v>
      </c>
      <c r="D5783" t="str">
        <f>HYPERLINK("http://service.sap.com/sap/support/notes/1800223","1800223")</f>
        <v>1800223</v>
      </c>
      <c r="E5783">
        <v>3</v>
      </c>
      <c r="F5783" t="s">
        <v>7196</v>
      </c>
    </row>
    <row r="5784" spans="1:6" x14ac:dyDescent="0.25">
      <c r="A5784" t="s">
        <v>6446</v>
      </c>
      <c r="B5784" t="s">
        <v>1351</v>
      </c>
      <c r="C5784" t="s">
        <v>1327</v>
      </c>
      <c r="D5784" t="str">
        <f>HYPERLINK("http://service.sap.com/sap/support/notes/1808980","1808980")</f>
        <v>1808980</v>
      </c>
      <c r="E5784">
        <v>3</v>
      </c>
      <c r="F5784" t="s">
        <v>7197</v>
      </c>
    </row>
    <row r="5785" spans="1:6" x14ac:dyDescent="0.25">
      <c r="A5785" t="s">
        <v>6446</v>
      </c>
      <c r="B5785" t="s">
        <v>1351</v>
      </c>
      <c r="C5785" t="s">
        <v>1327</v>
      </c>
      <c r="D5785" t="str">
        <f>HYPERLINK("http://service.sap.com/sap/support/notes/1809521","1809521")</f>
        <v>1809521</v>
      </c>
      <c r="E5785">
        <v>3</v>
      </c>
      <c r="F5785" t="s">
        <v>7198</v>
      </c>
    </row>
    <row r="5786" spans="1:6" x14ac:dyDescent="0.25">
      <c r="A5786" t="s">
        <v>6446</v>
      </c>
      <c r="B5786" t="s">
        <v>1351</v>
      </c>
      <c r="C5786" t="s">
        <v>1327</v>
      </c>
      <c r="D5786" t="str">
        <f>HYPERLINK("http://service.sap.com/sap/support/notes/1810392","1810392")</f>
        <v>1810392</v>
      </c>
      <c r="E5786">
        <v>1</v>
      </c>
      <c r="F5786" t="s">
        <v>7199</v>
      </c>
    </row>
    <row r="5787" spans="1:6" x14ac:dyDescent="0.25">
      <c r="A5787" t="s">
        <v>6446</v>
      </c>
      <c r="B5787" t="s">
        <v>1351</v>
      </c>
      <c r="C5787" t="s">
        <v>1327</v>
      </c>
      <c r="D5787" t="str">
        <f>HYPERLINK("http://service.sap.com/sap/support/notes/1812836","1812836")</f>
        <v>1812836</v>
      </c>
      <c r="E5787">
        <v>3</v>
      </c>
      <c r="F5787" t="s">
        <v>7200</v>
      </c>
    </row>
    <row r="5788" spans="1:6" x14ac:dyDescent="0.25">
      <c r="A5788" t="s">
        <v>6446</v>
      </c>
      <c r="B5788" t="s">
        <v>1351</v>
      </c>
      <c r="C5788" t="s">
        <v>1327</v>
      </c>
      <c r="D5788" t="str">
        <f>HYPERLINK("http://service.sap.com/sap/support/notes/1816152","1816152")</f>
        <v>1816152</v>
      </c>
      <c r="E5788">
        <v>2</v>
      </c>
      <c r="F5788" t="s">
        <v>1360</v>
      </c>
    </row>
    <row r="5789" spans="1:6" x14ac:dyDescent="0.25">
      <c r="A5789" t="s">
        <v>6446</v>
      </c>
      <c r="B5789" t="s">
        <v>1351</v>
      </c>
      <c r="C5789" t="s">
        <v>1327</v>
      </c>
      <c r="D5789" t="str">
        <f>HYPERLINK("http://service.sap.com/sap/support/notes/1821248","1821248")</f>
        <v>1821248</v>
      </c>
      <c r="E5789">
        <v>2</v>
      </c>
      <c r="F5789" t="s">
        <v>7201</v>
      </c>
    </row>
    <row r="5790" spans="1:6" x14ac:dyDescent="0.25">
      <c r="A5790" t="s">
        <v>6446</v>
      </c>
      <c r="B5790" t="s">
        <v>1351</v>
      </c>
      <c r="C5790" t="s">
        <v>1327</v>
      </c>
      <c r="D5790" t="str">
        <f>HYPERLINK("http://service.sap.com/sap/support/notes/1822330","1822330")</f>
        <v>1822330</v>
      </c>
      <c r="E5790">
        <v>2</v>
      </c>
      <c r="F5790" t="s">
        <v>7202</v>
      </c>
    </row>
    <row r="5791" spans="1:6" x14ac:dyDescent="0.25">
      <c r="A5791" t="s">
        <v>6446</v>
      </c>
      <c r="B5791" t="s">
        <v>1351</v>
      </c>
      <c r="C5791" t="s">
        <v>1327</v>
      </c>
      <c r="D5791" t="str">
        <f>HYPERLINK("http://service.sap.com/sap/support/notes/1823482","1823482")</f>
        <v>1823482</v>
      </c>
      <c r="E5791">
        <v>1</v>
      </c>
      <c r="F5791" t="s">
        <v>7203</v>
      </c>
    </row>
    <row r="5792" spans="1:6" x14ac:dyDescent="0.25">
      <c r="A5792" t="s">
        <v>6446</v>
      </c>
      <c r="B5792" t="s">
        <v>1351</v>
      </c>
      <c r="C5792" t="s">
        <v>1327</v>
      </c>
      <c r="D5792" t="str">
        <f>HYPERLINK("http://service.sap.com/sap/support/notes/1824013","1824013")</f>
        <v>1824013</v>
      </c>
      <c r="E5792">
        <v>3</v>
      </c>
      <c r="F5792" t="s">
        <v>7204</v>
      </c>
    </row>
    <row r="5793" spans="1:6" x14ac:dyDescent="0.25">
      <c r="A5793" t="s">
        <v>6446</v>
      </c>
      <c r="B5793" t="s">
        <v>1351</v>
      </c>
      <c r="C5793" t="s">
        <v>1327</v>
      </c>
      <c r="D5793" t="str">
        <f>HYPERLINK("http://service.sap.com/sap/support/notes/1825167","1825167")</f>
        <v>1825167</v>
      </c>
      <c r="E5793">
        <v>2</v>
      </c>
      <c r="F5793" t="s">
        <v>7205</v>
      </c>
    </row>
    <row r="5794" spans="1:6" x14ac:dyDescent="0.25">
      <c r="A5794" t="s">
        <v>6446</v>
      </c>
      <c r="B5794" t="s">
        <v>1372</v>
      </c>
      <c r="C5794" t="s">
        <v>1373</v>
      </c>
    </row>
    <row r="5795" spans="1:6" x14ac:dyDescent="0.25">
      <c r="A5795" t="s">
        <v>6446</v>
      </c>
      <c r="B5795" t="s">
        <v>1374</v>
      </c>
      <c r="C5795" t="s">
        <v>824</v>
      </c>
    </row>
    <row r="5796" spans="1:6" x14ac:dyDescent="0.25">
      <c r="A5796" t="s">
        <v>6446</v>
      </c>
      <c r="B5796" t="s">
        <v>1375</v>
      </c>
      <c r="C5796" t="s">
        <v>1376</v>
      </c>
      <c r="D5796" t="str">
        <f>HYPERLINK("http://service.sap.com/sap/support/notes/1800329","1800329")</f>
        <v>1800329</v>
      </c>
      <c r="E5796">
        <v>2</v>
      </c>
      <c r="F5796" t="s">
        <v>7206</v>
      </c>
    </row>
    <row r="5797" spans="1:6" x14ac:dyDescent="0.25">
      <c r="A5797" t="s">
        <v>6446</v>
      </c>
      <c r="B5797" t="s">
        <v>1375</v>
      </c>
      <c r="C5797" t="s">
        <v>1376</v>
      </c>
      <c r="D5797" t="str">
        <f>HYPERLINK("http://service.sap.com/sap/support/notes/1800776","1800776")</f>
        <v>1800776</v>
      </c>
      <c r="E5797">
        <v>1</v>
      </c>
      <c r="F5797" t="s">
        <v>7207</v>
      </c>
    </row>
    <row r="5798" spans="1:6" x14ac:dyDescent="0.25">
      <c r="A5798" t="s">
        <v>6446</v>
      </c>
      <c r="B5798" t="s">
        <v>1375</v>
      </c>
      <c r="C5798" t="s">
        <v>1376</v>
      </c>
      <c r="D5798" t="str">
        <f>HYPERLINK("http://service.sap.com/sap/support/notes/1813009","1813009")</f>
        <v>1813009</v>
      </c>
      <c r="E5798">
        <v>2</v>
      </c>
      <c r="F5798" t="s">
        <v>7208</v>
      </c>
    </row>
    <row r="5799" spans="1:6" x14ac:dyDescent="0.25">
      <c r="A5799" t="s">
        <v>6446</v>
      </c>
      <c r="B5799" t="s">
        <v>1375</v>
      </c>
      <c r="C5799" t="s">
        <v>1376</v>
      </c>
      <c r="D5799" t="str">
        <f>HYPERLINK("http://service.sap.com/sap/support/notes/1819452","1819452")</f>
        <v>1819452</v>
      </c>
      <c r="E5799">
        <v>5</v>
      </c>
      <c r="F5799" t="s">
        <v>7209</v>
      </c>
    </row>
    <row r="5800" spans="1:6" x14ac:dyDescent="0.25">
      <c r="A5800" t="s">
        <v>6446</v>
      </c>
      <c r="B5800" t="s">
        <v>1375</v>
      </c>
      <c r="C5800" t="s">
        <v>1376</v>
      </c>
      <c r="D5800" t="str">
        <f>HYPERLINK("http://service.sap.com/sap/support/notes/1821335","1821335")</f>
        <v>1821335</v>
      </c>
      <c r="E5800">
        <v>1</v>
      </c>
      <c r="F5800" t="s">
        <v>7210</v>
      </c>
    </row>
    <row r="5801" spans="1:6" x14ac:dyDescent="0.25">
      <c r="A5801" t="s">
        <v>6446</v>
      </c>
      <c r="B5801" t="s">
        <v>1375</v>
      </c>
      <c r="C5801" t="s">
        <v>1376</v>
      </c>
      <c r="D5801" t="str">
        <f>HYPERLINK("http://service.sap.com/sap/support/notes/1822925","1822925")</f>
        <v>1822925</v>
      </c>
      <c r="E5801">
        <v>1</v>
      </c>
      <c r="F5801" t="s">
        <v>7211</v>
      </c>
    </row>
    <row r="5802" spans="1:6" x14ac:dyDescent="0.25">
      <c r="A5802" t="s">
        <v>6446</v>
      </c>
      <c r="B5802" t="s">
        <v>1375</v>
      </c>
      <c r="C5802" t="s">
        <v>1376</v>
      </c>
      <c r="D5802" t="str">
        <f>HYPERLINK("http://service.sap.com/sap/support/notes/1828142","1828142")</f>
        <v>1828142</v>
      </c>
      <c r="E5802">
        <v>1</v>
      </c>
      <c r="F5802" t="s">
        <v>7212</v>
      </c>
    </row>
    <row r="5803" spans="1:6" x14ac:dyDescent="0.25">
      <c r="A5803" t="s">
        <v>6446</v>
      </c>
      <c r="B5803" t="s">
        <v>1375</v>
      </c>
      <c r="C5803" t="s">
        <v>1376</v>
      </c>
      <c r="D5803" t="str">
        <f>HYPERLINK("http://service.sap.com/sap/support/notes/1828677","1828677")</f>
        <v>1828677</v>
      </c>
      <c r="E5803">
        <v>3</v>
      </c>
      <c r="F5803" t="s">
        <v>7213</v>
      </c>
    </row>
    <row r="5804" spans="1:6" x14ac:dyDescent="0.25">
      <c r="A5804" t="s">
        <v>6446</v>
      </c>
      <c r="B5804" t="s">
        <v>1389</v>
      </c>
      <c r="C5804" t="s">
        <v>151</v>
      </c>
      <c r="D5804" t="str">
        <f>HYPERLINK("http://service.sap.com/sap/support/notes/1783849","1783849")</f>
        <v>1783849</v>
      </c>
      <c r="E5804">
        <v>3</v>
      </c>
      <c r="F5804" t="s">
        <v>7214</v>
      </c>
    </row>
    <row r="5805" spans="1:6" x14ac:dyDescent="0.25">
      <c r="A5805" t="s">
        <v>6446</v>
      </c>
      <c r="B5805" t="s">
        <v>1389</v>
      </c>
      <c r="C5805" t="s">
        <v>151</v>
      </c>
      <c r="D5805" t="str">
        <f>HYPERLINK("http://service.sap.com/sap/support/notes/1812309","1812309")</f>
        <v>1812309</v>
      </c>
      <c r="E5805">
        <v>3</v>
      </c>
      <c r="F5805" t="s">
        <v>7215</v>
      </c>
    </row>
    <row r="5806" spans="1:6" x14ac:dyDescent="0.25">
      <c r="A5806" t="s">
        <v>6446</v>
      </c>
      <c r="B5806" t="s">
        <v>1389</v>
      </c>
      <c r="C5806" t="s">
        <v>151</v>
      </c>
      <c r="D5806" t="str">
        <f>HYPERLINK("http://service.sap.com/sap/support/notes/1814918","1814918")</f>
        <v>1814918</v>
      </c>
      <c r="E5806">
        <v>2</v>
      </c>
      <c r="F5806" t="s">
        <v>7216</v>
      </c>
    </row>
    <row r="5807" spans="1:6" x14ac:dyDescent="0.25">
      <c r="A5807" t="s">
        <v>6446</v>
      </c>
      <c r="B5807" t="s">
        <v>1390</v>
      </c>
      <c r="C5807" t="s">
        <v>1111</v>
      </c>
      <c r="D5807" t="str">
        <f>HYPERLINK("http://service.sap.com/sap/support/notes/1813679","1813679")</f>
        <v>1813679</v>
      </c>
      <c r="E5807">
        <v>3</v>
      </c>
      <c r="F5807" t="s">
        <v>7217</v>
      </c>
    </row>
    <row r="5808" spans="1:6" x14ac:dyDescent="0.25">
      <c r="A5808" t="s">
        <v>6446</v>
      </c>
      <c r="B5808" t="s">
        <v>7218</v>
      </c>
      <c r="C5808" t="s">
        <v>887</v>
      </c>
      <c r="D5808" t="str">
        <f>HYPERLINK("http://service.sap.com/sap/support/notes/1784187","1784187")</f>
        <v>1784187</v>
      </c>
      <c r="E5808">
        <v>1</v>
      </c>
      <c r="F5808" t="s">
        <v>7219</v>
      </c>
    </row>
    <row r="5809" spans="1:6" x14ac:dyDescent="0.25">
      <c r="A5809" t="s">
        <v>6446</v>
      </c>
      <c r="B5809" t="s">
        <v>1395</v>
      </c>
      <c r="C5809" t="s">
        <v>445</v>
      </c>
      <c r="D5809" t="str">
        <f>HYPERLINK("http://service.sap.com/sap/support/notes/1784926","1784926")</f>
        <v>1784926</v>
      </c>
      <c r="E5809">
        <v>1</v>
      </c>
      <c r="F5809" t="s">
        <v>7220</v>
      </c>
    </row>
    <row r="5810" spans="1:6" x14ac:dyDescent="0.25">
      <c r="A5810" t="s">
        <v>6446</v>
      </c>
      <c r="B5810" t="s">
        <v>1398</v>
      </c>
      <c r="C5810" t="s">
        <v>1399</v>
      </c>
      <c r="D5810" t="str">
        <f>HYPERLINK("http://service.sap.com/sap/support/notes/1829675","1829675")</f>
        <v>1829675</v>
      </c>
      <c r="E5810">
        <v>2</v>
      </c>
      <c r="F5810" t="s">
        <v>7221</v>
      </c>
    </row>
    <row r="5811" spans="1:6" x14ac:dyDescent="0.25">
      <c r="A5811" t="s">
        <v>6446</v>
      </c>
      <c r="B5811" t="s">
        <v>1404</v>
      </c>
      <c r="C5811" t="s">
        <v>1405</v>
      </c>
    </row>
    <row r="5812" spans="1:6" x14ac:dyDescent="0.25">
      <c r="A5812" t="s">
        <v>6446</v>
      </c>
      <c r="B5812" t="s">
        <v>1406</v>
      </c>
      <c r="C5812" t="s">
        <v>1407</v>
      </c>
      <c r="D5812" t="str">
        <f>HYPERLINK("http://service.sap.com/sap/support/notes/1799166","1799166")</f>
        <v>1799166</v>
      </c>
      <c r="E5812">
        <v>1</v>
      </c>
      <c r="F5812" t="s">
        <v>7222</v>
      </c>
    </row>
    <row r="5813" spans="1:6" x14ac:dyDescent="0.25">
      <c r="A5813" t="s">
        <v>6446</v>
      </c>
      <c r="B5813" t="s">
        <v>1406</v>
      </c>
      <c r="C5813" t="s">
        <v>1407</v>
      </c>
      <c r="D5813" t="str">
        <f>HYPERLINK("http://service.sap.com/sap/support/notes/1819171","1819171")</f>
        <v>1819171</v>
      </c>
      <c r="E5813">
        <v>1</v>
      </c>
      <c r="F5813" t="s">
        <v>7223</v>
      </c>
    </row>
    <row r="5814" spans="1:6" x14ac:dyDescent="0.25">
      <c r="A5814" t="s">
        <v>6446</v>
      </c>
      <c r="B5814" t="s">
        <v>1411</v>
      </c>
      <c r="C5814" t="s">
        <v>1412</v>
      </c>
    </row>
    <row r="5815" spans="1:6" x14ac:dyDescent="0.25">
      <c r="A5815" t="s">
        <v>6446</v>
      </c>
      <c r="B5815" t="s">
        <v>1413</v>
      </c>
      <c r="C5815" t="s">
        <v>1414</v>
      </c>
      <c r="D5815" t="str">
        <f>HYPERLINK("http://service.sap.com/sap/support/notes/1610148","1610148")</f>
        <v>1610148</v>
      </c>
      <c r="E5815">
        <v>1</v>
      </c>
      <c r="F5815" t="s">
        <v>1415</v>
      </c>
    </row>
    <row r="5816" spans="1:6" x14ac:dyDescent="0.25">
      <c r="A5816" t="s">
        <v>6446</v>
      </c>
      <c r="B5816" t="s">
        <v>1416</v>
      </c>
      <c r="C5816" t="s">
        <v>1417</v>
      </c>
    </row>
    <row r="5817" spans="1:6" x14ac:dyDescent="0.25">
      <c r="A5817" t="s">
        <v>6446</v>
      </c>
      <c r="B5817" t="s">
        <v>1425</v>
      </c>
      <c r="C5817" t="s">
        <v>1426</v>
      </c>
      <c r="D5817" t="str">
        <f>HYPERLINK("http://service.sap.com/sap/support/notes/1722824","1722824")</f>
        <v>1722824</v>
      </c>
      <c r="E5817">
        <v>18</v>
      </c>
      <c r="F5817" t="s">
        <v>7224</v>
      </c>
    </row>
    <row r="5818" spans="1:6" x14ac:dyDescent="0.25">
      <c r="A5818" t="s">
        <v>6446</v>
      </c>
      <c r="B5818" t="s">
        <v>1425</v>
      </c>
      <c r="C5818" t="s">
        <v>1426</v>
      </c>
      <c r="D5818" t="str">
        <f>HYPERLINK("http://service.sap.com/sap/support/notes/1753616","1753616")</f>
        <v>1753616</v>
      </c>
      <c r="E5818">
        <v>3</v>
      </c>
      <c r="F5818" t="s">
        <v>7225</v>
      </c>
    </row>
    <row r="5819" spans="1:6" x14ac:dyDescent="0.25">
      <c r="A5819" t="s">
        <v>6446</v>
      </c>
      <c r="B5819" t="s">
        <v>1425</v>
      </c>
      <c r="C5819" t="s">
        <v>1426</v>
      </c>
      <c r="D5819" t="str">
        <f>HYPERLINK("http://service.sap.com/sap/support/notes/1768469","1768469")</f>
        <v>1768469</v>
      </c>
      <c r="E5819">
        <v>2</v>
      </c>
      <c r="F5819" t="s">
        <v>7226</v>
      </c>
    </row>
    <row r="5820" spans="1:6" x14ac:dyDescent="0.25">
      <c r="A5820" t="s">
        <v>6446</v>
      </c>
      <c r="B5820" t="s">
        <v>1425</v>
      </c>
      <c r="C5820" t="s">
        <v>1426</v>
      </c>
      <c r="D5820" t="str">
        <f>HYPERLINK("http://service.sap.com/sap/support/notes/1773972","1773972")</f>
        <v>1773972</v>
      </c>
      <c r="E5820">
        <v>3</v>
      </c>
      <c r="F5820" t="s">
        <v>7227</v>
      </c>
    </row>
    <row r="5821" spans="1:6" x14ac:dyDescent="0.25">
      <c r="A5821" t="s">
        <v>6446</v>
      </c>
      <c r="B5821" t="s">
        <v>1425</v>
      </c>
      <c r="C5821" t="s">
        <v>1426</v>
      </c>
      <c r="D5821" t="str">
        <f>HYPERLINK("http://service.sap.com/sap/support/notes/1779434","1779434")</f>
        <v>1779434</v>
      </c>
      <c r="E5821">
        <v>1</v>
      </c>
      <c r="F5821" t="s">
        <v>7228</v>
      </c>
    </row>
    <row r="5822" spans="1:6" x14ac:dyDescent="0.25">
      <c r="A5822" t="s">
        <v>6446</v>
      </c>
      <c r="B5822" t="s">
        <v>1425</v>
      </c>
      <c r="C5822" t="s">
        <v>1426</v>
      </c>
      <c r="D5822" t="str">
        <f>HYPERLINK("http://service.sap.com/sap/support/notes/1780116","1780116")</f>
        <v>1780116</v>
      </c>
      <c r="E5822">
        <v>2</v>
      </c>
      <c r="F5822" t="s">
        <v>7229</v>
      </c>
    </row>
    <row r="5823" spans="1:6" x14ac:dyDescent="0.25">
      <c r="A5823" t="s">
        <v>6446</v>
      </c>
      <c r="B5823" t="s">
        <v>1425</v>
      </c>
      <c r="C5823" t="s">
        <v>1426</v>
      </c>
      <c r="D5823" t="str">
        <f>HYPERLINK("http://service.sap.com/sap/support/notes/1780741","1780741")</f>
        <v>1780741</v>
      </c>
      <c r="E5823">
        <v>4</v>
      </c>
      <c r="F5823" t="s">
        <v>7230</v>
      </c>
    </row>
    <row r="5824" spans="1:6" x14ac:dyDescent="0.25">
      <c r="A5824" t="s">
        <v>6446</v>
      </c>
      <c r="B5824" t="s">
        <v>1425</v>
      </c>
      <c r="C5824" t="s">
        <v>1426</v>
      </c>
      <c r="D5824" t="str">
        <f>HYPERLINK("http://service.sap.com/sap/support/notes/1788454","1788454")</f>
        <v>1788454</v>
      </c>
      <c r="E5824">
        <v>1</v>
      </c>
      <c r="F5824" t="s">
        <v>7231</v>
      </c>
    </row>
    <row r="5825" spans="1:6" x14ac:dyDescent="0.25">
      <c r="A5825" t="s">
        <v>6446</v>
      </c>
      <c r="B5825" t="s">
        <v>1425</v>
      </c>
      <c r="C5825" t="s">
        <v>1426</v>
      </c>
      <c r="D5825" t="str">
        <f>HYPERLINK("http://service.sap.com/sap/support/notes/1797910","1797910")</f>
        <v>1797910</v>
      </c>
      <c r="E5825">
        <v>2</v>
      </c>
      <c r="F5825" t="s">
        <v>7232</v>
      </c>
    </row>
    <row r="5826" spans="1:6" x14ac:dyDescent="0.25">
      <c r="A5826" t="s">
        <v>6446</v>
      </c>
      <c r="B5826" t="s">
        <v>1425</v>
      </c>
      <c r="C5826" t="s">
        <v>1426</v>
      </c>
      <c r="D5826" t="str">
        <f>HYPERLINK("http://service.sap.com/sap/support/notes/1807200","1807200")</f>
        <v>1807200</v>
      </c>
      <c r="E5826">
        <v>2</v>
      </c>
      <c r="F5826" t="s">
        <v>7233</v>
      </c>
    </row>
    <row r="5827" spans="1:6" x14ac:dyDescent="0.25">
      <c r="A5827" t="s">
        <v>6446</v>
      </c>
      <c r="B5827" t="s">
        <v>1425</v>
      </c>
      <c r="C5827" t="s">
        <v>1426</v>
      </c>
      <c r="D5827" t="str">
        <f>HYPERLINK("http://service.sap.com/sap/support/notes/1822445","1822445")</f>
        <v>1822445</v>
      </c>
      <c r="E5827">
        <v>7</v>
      </c>
      <c r="F5827" t="s">
        <v>7234</v>
      </c>
    </row>
    <row r="5828" spans="1:6" x14ac:dyDescent="0.25">
      <c r="A5828" t="s">
        <v>6446</v>
      </c>
      <c r="B5828" t="s">
        <v>1425</v>
      </c>
      <c r="C5828" t="s">
        <v>1426</v>
      </c>
      <c r="D5828" t="str">
        <f>HYPERLINK("http://service.sap.com/sap/support/notes/1824240","1824240")</f>
        <v>1824240</v>
      </c>
      <c r="E5828">
        <v>1</v>
      </c>
      <c r="F5828" t="s">
        <v>7235</v>
      </c>
    </row>
    <row r="5829" spans="1:6" x14ac:dyDescent="0.25">
      <c r="A5829" t="s">
        <v>6446</v>
      </c>
      <c r="B5829" t="s">
        <v>1444</v>
      </c>
      <c r="C5829" t="s">
        <v>1445</v>
      </c>
    </row>
    <row r="5830" spans="1:6" x14ac:dyDescent="0.25">
      <c r="A5830" t="s">
        <v>6446</v>
      </c>
      <c r="B5830" t="s">
        <v>1447</v>
      </c>
      <c r="C5830" t="s">
        <v>151</v>
      </c>
      <c r="D5830" t="str">
        <f>HYPERLINK("http://service.sap.com/sap/support/notes/1801547","1801547")</f>
        <v>1801547</v>
      </c>
      <c r="E5830">
        <v>2</v>
      </c>
      <c r="F5830" t="s">
        <v>7236</v>
      </c>
    </row>
    <row r="5831" spans="1:6" x14ac:dyDescent="0.25">
      <c r="A5831" t="s">
        <v>6446</v>
      </c>
      <c r="B5831" t="s">
        <v>1447</v>
      </c>
      <c r="C5831" t="s">
        <v>151</v>
      </c>
      <c r="D5831" t="str">
        <f>HYPERLINK("http://service.sap.com/sap/support/notes/1805946","1805946")</f>
        <v>1805946</v>
      </c>
      <c r="E5831">
        <v>2</v>
      </c>
      <c r="F5831" t="s">
        <v>7237</v>
      </c>
    </row>
    <row r="5832" spans="1:6" x14ac:dyDescent="0.25">
      <c r="A5832" t="s">
        <v>6446</v>
      </c>
      <c r="B5832" t="s">
        <v>1447</v>
      </c>
      <c r="C5832" t="s">
        <v>151</v>
      </c>
      <c r="D5832" t="str">
        <f>HYPERLINK("http://service.sap.com/sap/support/notes/1811178","1811178")</f>
        <v>1811178</v>
      </c>
      <c r="E5832">
        <v>1</v>
      </c>
      <c r="F5832" t="s">
        <v>7238</v>
      </c>
    </row>
    <row r="5833" spans="1:6" x14ac:dyDescent="0.25">
      <c r="A5833" t="s">
        <v>6446</v>
      </c>
      <c r="B5833" t="s">
        <v>1447</v>
      </c>
      <c r="C5833" t="s">
        <v>151</v>
      </c>
      <c r="D5833" t="str">
        <f>HYPERLINK("http://service.sap.com/sap/support/notes/1816912","1816912")</f>
        <v>1816912</v>
      </c>
      <c r="E5833">
        <v>4</v>
      </c>
      <c r="F5833" t="s">
        <v>7239</v>
      </c>
    </row>
    <row r="5834" spans="1:6" x14ac:dyDescent="0.25">
      <c r="A5834" t="s">
        <v>6446</v>
      </c>
      <c r="B5834" t="s">
        <v>1459</v>
      </c>
      <c r="C5834" t="s">
        <v>1460</v>
      </c>
      <c r="D5834" t="str">
        <f>HYPERLINK("http://service.sap.com/sap/support/notes/1797137","1797137")</f>
        <v>1797137</v>
      </c>
      <c r="E5834">
        <v>2</v>
      </c>
      <c r="F5834" t="s">
        <v>7240</v>
      </c>
    </row>
    <row r="5835" spans="1:6" x14ac:dyDescent="0.25">
      <c r="A5835" t="s">
        <v>6446</v>
      </c>
      <c r="B5835" t="s">
        <v>1459</v>
      </c>
      <c r="C5835" t="s">
        <v>1460</v>
      </c>
      <c r="D5835" t="str">
        <f>HYPERLINK("http://service.sap.com/sap/support/notes/1802511","1802511")</f>
        <v>1802511</v>
      </c>
      <c r="E5835">
        <v>1</v>
      </c>
      <c r="F5835" t="s">
        <v>7241</v>
      </c>
    </row>
    <row r="5836" spans="1:6" x14ac:dyDescent="0.25">
      <c r="A5836" t="s">
        <v>6446</v>
      </c>
      <c r="B5836" t="s">
        <v>1459</v>
      </c>
      <c r="C5836" t="s">
        <v>1460</v>
      </c>
      <c r="D5836" t="str">
        <f>HYPERLINK("http://service.sap.com/sap/support/notes/1807727","1807727")</f>
        <v>1807727</v>
      </c>
      <c r="E5836">
        <v>2</v>
      </c>
      <c r="F5836" t="s">
        <v>7242</v>
      </c>
    </row>
    <row r="5837" spans="1:6" x14ac:dyDescent="0.25">
      <c r="A5837" t="s">
        <v>6446</v>
      </c>
      <c r="B5837" t="s">
        <v>1459</v>
      </c>
      <c r="C5837" t="s">
        <v>1460</v>
      </c>
      <c r="D5837" t="str">
        <f>HYPERLINK("http://service.sap.com/sap/support/notes/1807941","1807941")</f>
        <v>1807941</v>
      </c>
      <c r="E5837">
        <v>2</v>
      </c>
      <c r="F5837" t="s">
        <v>7243</v>
      </c>
    </row>
    <row r="5838" spans="1:6" x14ac:dyDescent="0.25">
      <c r="A5838" t="s">
        <v>6446</v>
      </c>
      <c r="B5838" t="s">
        <v>1459</v>
      </c>
      <c r="C5838" t="s">
        <v>1460</v>
      </c>
      <c r="D5838" t="str">
        <f>HYPERLINK("http://service.sap.com/sap/support/notes/1819359","1819359")</f>
        <v>1819359</v>
      </c>
      <c r="E5838">
        <v>1</v>
      </c>
      <c r="F5838" t="s">
        <v>7244</v>
      </c>
    </row>
    <row r="5839" spans="1:6" x14ac:dyDescent="0.25">
      <c r="A5839" t="s">
        <v>6446</v>
      </c>
      <c r="B5839" t="s">
        <v>1470</v>
      </c>
      <c r="C5839" t="s">
        <v>998</v>
      </c>
      <c r="D5839" t="str">
        <f>HYPERLINK("http://service.sap.com/sap/support/notes/1587731","1587731")</f>
        <v>1587731</v>
      </c>
      <c r="E5839">
        <v>3</v>
      </c>
      <c r="F5839" t="s">
        <v>7245</v>
      </c>
    </row>
    <row r="5840" spans="1:6" x14ac:dyDescent="0.25">
      <c r="A5840" t="s">
        <v>6446</v>
      </c>
      <c r="B5840" t="s">
        <v>1470</v>
      </c>
      <c r="C5840" t="s">
        <v>998</v>
      </c>
      <c r="D5840" t="str">
        <f>HYPERLINK("http://service.sap.com/sap/support/notes/1717535","1717535")</f>
        <v>1717535</v>
      </c>
      <c r="E5840">
        <v>4</v>
      </c>
      <c r="F5840" t="s">
        <v>7246</v>
      </c>
    </row>
    <row r="5841" spans="1:6" x14ac:dyDescent="0.25">
      <c r="A5841" t="s">
        <v>6446</v>
      </c>
      <c r="B5841" t="s">
        <v>1470</v>
      </c>
      <c r="C5841" t="s">
        <v>998</v>
      </c>
      <c r="D5841" t="str">
        <f>HYPERLINK("http://service.sap.com/sap/support/notes/1779151","1779151")</f>
        <v>1779151</v>
      </c>
      <c r="E5841">
        <v>1</v>
      </c>
      <c r="F5841" t="s">
        <v>7247</v>
      </c>
    </row>
    <row r="5842" spans="1:6" x14ac:dyDescent="0.25">
      <c r="A5842" t="s">
        <v>6446</v>
      </c>
      <c r="B5842" t="s">
        <v>1470</v>
      </c>
      <c r="C5842" t="s">
        <v>998</v>
      </c>
      <c r="D5842" t="str">
        <f>HYPERLINK("http://service.sap.com/sap/support/notes/1798002","1798002")</f>
        <v>1798002</v>
      </c>
      <c r="E5842">
        <v>2</v>
      </c>
      <c r="F5842" t="s">
        <v>7248</v>
      </c>
    </row>
    <row r="5843" spans="1:6" x14ac:dyDescent="0.25">
      <c r="A5843" t="s">
        <v>6446</v>
      </c>
      <c r="B5843" t="s">
        <v>1470</v>
      </c>
      <c r="C5843" t="s">
        <v>998</v>
      </c>
      <c r="D5843" t="str">
        <f>HYPERLINK("http://service.sap.com/sap/support/notes/1809504","1809504")</f>
        <v>1809504</v>
      </c>
      <c r="E5843">
        <v>1</v>
      </c>
      <c r="F5843" t="s">
        <v>7249</v>
      </c>
    </row>
    <row r="5844" spans="1:6" x14ac:dyDescent="0.25">
      <c r="A5844" t="s">
        <v>6446</v>
      </c>
      <c r="B5844" t="s">
        <v>1470</v>
      </c>
      <c r="C5844" t="s">
        <v>998</v>
      </c>
      <c r="D5844" t="str">
        <f>HYPERLINK("http://service.sap.com/sap/support/notes/1810165","1810165")</f>
        <v>1810165</v>
      </c>
      <c r="E5844">
        <v>1</v>
      </c>
      <c r="F5844" t="s">
        <v>7250</v>
      </c>
    </row>
    <row r="5845" spans="1:6" x14ac:dyDescent="0.25">
      <c r="A5845" t="s">
        <v>6446</v>
      </c>
      <c r="B5845" t="s">
        <v>4961</v>
      </c>
      <c r="C5845" t="s">
        <v>4962</v>
      </c>
      <c r="D5845" t="str">
        <f>HYPERLINK("http://service.sap.com/sap/support/notes/1761526","1761526")</f>
        <v>1761526</v>
      </c>
      <c r="E5845">
        <v>3</v>
      </c>
      <c r="F5845" t="s">
        <v>7251</v>
      </c>
    </row>
    <row r="5846" spans="1:6" x14ac:dyDescent="0.25">
      <c r="A5846" t="s">
        <v>6446</v>
      </c>
      <c r="B5846" t="s">
        <v>4961</v>
      </c>
      <c r="C5846" t="s">
        <v>4962</v>
      </c>
      <c r="D5846" t="str">
        <f>HYPERLINK("http://service.sap.com/sap/support/notes/1790641","1790641")</f>
        <v>1790641</v>
      </c>
      <c r="E5846">
        <v>5</v>
      </c>
      <c r="F5846" t="s">
        <v>7252</v>
      </c>
    </row>
    <row r="5847" spans="1:6" x14ac:dyDescent="0.25">
      <c r="A5847" t="s">
        <v>6446</v>
      </c>
      <c r="B5847" t="s">
        <v>4961</v>
      </c>
      <c r="C5847" t="s">
        <v>4962</v>
      </c>
      <c r="D5847" t="str">
        <f>HYPERLINK("http://service.sap.com/sap/support/notes/1803246","1803246")</f>
        <v>1803246</v>
      </c>
      <c r="E5847">
        <v>3</v>
      </c>
      <c r="F5847" t="s">
        <v>7253</v>
      </c>
    </row>
    <row r="5848" spans="1:6" x14ac:dyDescent="0.25">
      <c r="A5848" t="s">
        <v>6446</v>
      </c>
      <c r="B5848" t="s">
        <v>4961</v>
      </c>
      <c r="C5848" t="s">
        <v>4962</v>
      </c>
      <c r="D5848" t="str">
        <f>HYPERLINK("http://service.sap.com/sap/support/notes/1820572","1820572")</f>
        <v>1820572</v>
      </c>
      <c r="E5848">
        <v>2</v>
      </c>
      <c r="F5848" t="s">
        <v>7254</v>
      </c>
    </row>
    <row r="5849" spans="1:6" x14ac:dyDescent="0.25">
      <c r="A5849" t="s">
        <v>6446</v>
      </c>
      <c r="B5849" t="s">
        <v>4961</v>
      </c>
      <c r="C5849" t="s">
        <v>4962</v>
      </c>
      <c r="D5849" t="str">
        <f>HYPERLINK("http://service.sap.com/sap/support/notes/1826731","1826731")</f>
        <v>1826731</v>
      </c>
      <c r="E5849">
        <v>1</v>
      </c>
      <c r="F5849" t="s">
        <v>7255</v>
      </c>
    </row>
    <row r="5850" spans="1:6" x14ac:dyDescent="0.25">
      <c r="A5850" t="s">
        <v>6446</v>
      </c>
      <c r="B5850" t="s">
        <v>1482</v>
      </c>
      <c r="C5850" t="s">
        <v>1483</v>
      </c>
      <c r="D5850" t="str">
        <f>HYPERLINK("http://service.sap.com/sap/support/notes/1625586","1625586")</f>
        <v>1625586</v>
      </c>
      <c r="E5850">
        <v>1</v>
      </c>
      <c r="F5850" t="s">
        <v>7256</v>
      </c>
    </row>
    <row r="5851" spans="1:6" x14ac:dyDescent="0.25">
      <c r="A5851" t="s">
        <v>6446</v>
      </c>
      <c r="B5851" t="s">
        <v>1482</v>
      </c>
      <c r="C5851" t="s">
        <v>1483</v>
      </c>
      <c r="D5851" t="str">
        <f>HYPERLINK("http://service.sap.com/sap/support/notes/1798250","1798250")</f>
        <v>1798250</v>
      </c>
      <c r="E5851">
        <v>1</v>
      </c>
      <c r="F5851" t="s">
        <v>7257</v>
      </c>
    </row>
    <row r="5852" spans="1:6" x14ac:dyDescent="0.25">
      <c r="A5852" t="s">
        <v>6446</v>
      </c>
      <c r="B5852" t="s">
        <v>7258</v>
      </c>
      <c r="C5852" t="s">
        <v>151</v>
      </c>
    </row>
    <row r="5853" spans="1:6" x14ac:dyDescent="0.25">
      <c r="A5853" t="s">
        <v>6446</v>
      </c>
      <c r="B5853" t="s">
        <v>7259</v>
      </c>
      <c r="C5853" t="s">
        <v>7260</v>
      </c>
      <c r="D5853" t="str">
        <f>HYPERLINK("http://service.sap.com/sap/support/notes/1792306","1792306")</f>
        <v>1792306</v>
      </c>
      <c r="E5853">
        <v>2</v>
      </c>
      <c r="F5853" t="s">
        <v>7261</v>
      </c>
    </row>
    <row r="5854" spans="1:6" x14ac:dyDescent="0.25">
      <c r="A5854" t="s">
        <v>6446</v>
      </c>
      <c r="B5854" t="s">
        <v>7259</v>
      </c>
      <c r="C5854" t="s">
        <v>7260</v>
      </c>
      <c r="D5854" t="str">
        <f>HYPERLINK("http://service.sap.com/sap/support/notes/1797043","1797043")</f>
        <v>1797043</v>
      </c>
      <c r="E5854">
        <v>1</v>
      </c>
      <c r="F5854" t="s">
        <v>7262</v>
      </c>
    </row>
    <row r="5855" spans="1:6" x14ac:dyDescent="0.25">
      <c r="A5855" t="s">
        <v>6446</v>
      </c>
      <c r="B5855" t="s">
        <v>7259</v>
      </c>
      <c r="C5855" t="s">
        <v>7260</v>
      </c>
      <c r="D5855" t="str">
        <f>HYPERLINK("http://service.sap.com/sap/support/notes/1816964","1816964")</f>
        <v>1816964</v>
      </c>
      <c r="E5855">
        <v>1</v>
      </c>
      <c r="F5855" t="s">
        <v>7263</v>
      </c>
    </row>
    <row r="5856" spans="1:6" x14ac:dyDescent="0.25">
      <c r="A5856" t="s">
        <v>6446</v>
      </c>
      <c r="B5856" t="s">
        <v>4965</v>
      </c>
      <c r="C5856" t="s">
        <v>4966</v>
      </c>
      <c r="D5856" t="str">
        <f>HYPERLINK("http://service.sap.com/sap/support/notes/1812745","1812745")</f>
        <v>1812745</v>
      </c>
      <c r="E5856">
        <v>1</v>
      </c>
      <c r="F5856" t="s">
        <v>7264</v>
      </c>
    </row>
    <row r="5857" spans="1:6" x14ac:dyDescent="0.25">
      <c r="A5857" t="s">
        <v>6446</v>
      </c>
      <c r="B5857" t="s">
        <v>1488</v>
      </c>
      <c r="C5857" t="s">
        <v>1489</v>
      </c>
      <c r="D5857" t="str">
        <f>HYPERLINK("http://service.sap.com/sap/support/notes/1789592","1789592")</f>
        <v>1789592</v>
      </c>
      <c r="E5857">
        <v>2</v>
      </c>
      <c r="F5857" t="s">
        <v>7265</v>
      </c>
    </row>
    <row r="5858" spans="1:6" x14ac:dyDescent="0.25">
      <c r="A5858" t="s">
        <v>6446</v>
      </c>
      <c r="B5858" t="s">
        <v>1488</v>
      </c>
      <c r="C5858" t="s">
        <v>1489</v>
      </c>
      <c r="D5858" t="str">
        <f>HYPERLINK("http://service.sap.com/sap/support/notes/1805475","1805475")</f>
        <v>1805475</v>
      </c>
      <c r="E5858">
        <v>1</v>
      </c>
      <c r="F5858" t="s">
        <v>7266</v>
      </c>
    </row>
    <row r="5859" spans="1:6" x14ac:dyDescent="0.25">
      <c r="A5859" t="s">
        <v>6446</v>
      </c>
      <c r="B5859" t="s">
        <v>7267</v>
      </c>
      <c r="C5859" t="s">
        <v>7268</v>
      </c>
      <c r="D5859" t="str">
        <f>HYPERLINK("http://service.sap.com/sap/support/notes/1819896","1819896")</f>
        <v>1819896</v>
      </c>
      <c r="E5859">
        <v>2</v>
      </c>
      <c r="F5859" t="s">
        <v>7269</v>
      </c>
    </row>
    <row r="5860" spans="1:6" x14ac:dyDescent="0.25">
      <c r="A5860" t="s">
        <v>6446</v>
      </c>
      <c r="B5860" t="s">
        <v>1496</v>
      </c>
      <c r="C5860" t="s">
        <v>1497</v>
      </c>
    </row>
    <row r="5861" spans="1:6" x14ac:dyDescent="0.25">
      <c r="A5861" t="s">
        <v>6446</v>
      </c>
      <c r="B5861" t="s">
        <v>1498</v>
      </c>
      <c r="C5861" t="s">
        <v>126</v>
      </c>
      <c r="D5861" t="str">
        <f>HYPERLINK("http://service.sap.com/sap/support/notes/1744472","1744472")</f>
        <v>1744472</v>
      </c>
      <c r="E5861">
        <v>17</v>
      </c>
      <c r="F5861" t="s">
        <v>7270</v>
      </c>
    </row>
    <row r="5862" spans="1:6" x14ac:dyDescent="0.25">
      <c r="A5862" t="s">
        <v>6446</v>
      </c>
      <c r="B5862" t="s">
        <v>1498</v>
      </c>
      <c r="C5862" t="s">
        <v>126</v>
      </c>
      <c r="D5862" t="str">
        <f>HYPERLINK("http://service.sap.com/sap/support/notes/1782844","1782844")</f>
        <v>1782844</v>
      </c>
      <c r="E5862">
        <v>3</v>
      </c>
      <c r="F5862" t="s">
        <v>7271</v>
      </c>
    </row>
    <row r="5863" spans="1:6" x14ac:dyDescent="0.25">
      <c r="A5863" t="s">
        <v>6446</v>
      </c>
      <c r="B5863" t="s">
        <v>1498</v>
      </c>
      <c r="C5863" t="s">
        <v>126</v>
      </c>
      <c r="D5863" t="str">
        <f>HYPERLINK("http://service.sap.com/sap/support/notes/1798175","1798175")</f>
        <v>1798175</v>
      </c>
      <c r="E5863">
        <v>3</v>
      </c>
      <c r="F5863" t="s">
        <v>7272</v>
      </c>
    </row>
    <row r="5864" spans="1:6" x14ac:dyDescent="0.25">
      <c r="A5864" t="s">
        <v>6446</v>
      </c>
      <c r="B5864" t="s">
        <v>1498</v>
      </c>
      <c r="C5864" t="s">
        <v>126</v>
      </c>
      <c r="D5864" t="str">
        <f>HYPERLINK("http://service.sap.com/sap/support/notes/1811815","1811815")</f>
        <v>1811815</v>
      </c>
      <c r="E5864">
        <v>2</v>
      </c>
      <c r="F5864" t="s">
        <v>7273</v>
      </c>
    </row>
    <row r="5865" spans="1:6" x14ac:dyDescent="0.25">
      <c r="A5865" t="s">
        <v>6446</v>
      </c>
      <c r="B5865" t="s">
        <v>1498</v>
      </c>
      <c r="C5865" t="s">
        <v>126</v>
      </c>
      <c r="D5865" t="str">
        <f>HYPERLINK("http://service.sap.com/sap/support/notes/1819792","1819792")</f>
        <v>1819792</v>
      </c>
      <c r="E5865">
        <v>2</v>
      </c>
      <c r="F5865" t="s">
        <v>7274</v>
      </c>
    </row>
    <row r="5866" spans="1:6" x14ac:dyDescent="0.25">
      <c r="A5866" t="s">
        <v>6446</v>
      </c>
      <c r="B5866" t="s">
        <v>1498</v>
      </c>
      <c r="C5866" t="s">
        <v>126</v>
      </c>
      <c r="D5866" t="str">
        <f>HYPERLINK("http://service.sap.com/sap/support/notes/1821460","1821460")</f>
        <v>1821460</v>
      </c>
      <c r="E5866">
        <v>2</v>
      </c>
      <c r="F5866" t="s">
        <v>7275</v>
      </c>
    </row>
    <row r="5867" spans="1:6" x14ac:dyDescent="0.25">
      <c r="A5867" t="s">
        <v>6446</v>
      </c>
      <c r="B5867" t="s">
        <v>1498</v>
      </c>
      <c r="C5867" t="s">
        <v>126</v>
      </c>
      <c r="D5867" t="str">
        <f>HYPERLINK("http://service.sap.com/sap/support/notes/1821996","1821996")</f>
        <v>1821996</v>
      </c>
      <c r="E5867">
        <v>2</v>
      </c>
      <c r="F5867" t="s">
        <v>7276</v>
      </c>
    </row>
    <row r="5868" spans="1:6" x14ac:dyDescent="0.25">
      <c r="A5868" t="s">
        <v>6446</v>
      </c>
      <c r="B5868" t="s">
        <v>1498</v>
      </c>
      <c r="C5868" t="s">
        <v>126</v>
      </c>
      <c r="D5868" t="str">
        <f>HYPERLINK("http://service.sap.com/sap/support/notes/1825446","1825446")</f>
        <v>1825446</v>
      </c>
      <c r="E5868">
        <v>2</v>
      </c>
      <c r="F5868" t="s">
        <v>7277</v>
      </c>
    </row>
    <row r="5869" spans="1:6" x14ac:dyDescent="0.25">
      <c r="A5869" t="s">
        <v>6446</v>
      </c>
      <c r="B5869" t="s">
        <v>1498</v>
      </c>
      <c r="C5869" t="s">
        <v>126</v>
      </c>
      <c r="D5869" t="str">
        <f>HYPERLINK("http://service.sap.com/sap/support/notes/1825450","1825450")</f>
        <v>1825450</v>
      </c>
      <c r="E5869">
        <v>4</v>
      </c>
      <c r="F5869" t="s">
        <v>7278</v>
      </c>
    </row>
    <row r="5870" spans="1:6" x14ac:dyDescent="0.25">
      <c r="A5870" t="s">
        <v>6446</v>
      </c>
      <c r="B5870" t="s">
        <v>1503</v>
      </c>
      <c r="C5870" t="s">
        <v>1504</v>
      </c>
      <c r="D5870" t="str">
        <f>HYPERLINK("http://service.sap.com/sap/support/notes/1793250","1793250")</f>
        <v>1793250</v>
      </c>
      <c r="E5870">
        <v>2</v>
      </c>
      <c r="F5870" t="s">
        <v>7279</v>
      </c>
    </row>
    <row r="5871" spans="1:6" x14ac:dyDescent="0.25">
      <c r="A5871" t="s">
        <v>6446</v>
      </c>
      <c r="B5871" t="s">
        <v>1503</v>
      </c>
      <c r="C5871" t="s">
        <v>1504</v>
      </c>
      <c r="D5871" t="str">
        <f>HYPERLINK("http://service.sap.com/sap/support/notes/1804808","1804808")</f>
        <v>1804808</v>
      </c>
      <c r="E5871">
        <v>4</v>
      </c>
      <c r="F5871" t="s">
        <v>7280</v>
      </c>
    </row>
    <row r="5872" spans="1:6" x14ac:dyDescent="0.25">
      <c r="A5872" t="s">
        <v>6446</v>
      </c>
      <c r="B5872" t="s">
        <v>1503</v>
      </c>
      <c r="C5872" t="s">
        <v>1504</v>
      </c>
      <c r="D5872" t="str">
        <f>HYPERLINK("http://service.sap.com/sap/support/notes/1819790","1819790")</f>
        <v>1819790</v>
      </c>
      <c r="E5872">
        <v>1</v>
      </c>
      <c r="F5872" t="s">
        <v>7281</v>
      </c>
    </row>
    <row r="5873" spans="1:6" x14ac:dyDescent="0.25">
      <c r="A5873" t="s">
        <v>6446</v>
      </c>
      <c r="B5873" t="s">
        <v>7282</v>
      </c>
      <c r="C5873" t="s">
        <v>7283</v>
      </c>
    </row>
    <row r="5874" spans="1:6" x14ac:dyDescent="0.25">
      <c r="A5874" t="s">
        <v>6446</v>
      </c>
      <c r="B5874" t="s">
        <v>7284</v>
      </c>
      <c r="C5874" t="s">
        <v>7285</v>
      </c>
      <c r="D5874" t="str">
        <f>HYPERLINK("http://service.sap.com/sap/support/notes/1818797","1818797")</f>
        <v>1818797</v>
      </c>
      <c r="E5874">
        <v>3</v>
      </c>
      <c r="F5874" t="s">
        <v>7286</v>
      </c>
    </row>
    <row r="5875" spans="1:6" x14ac:dyDescent="0.25">
      <c r="A5875" t="s">
        <v>6446</v>
      </c>
      <c r="B5875" t="s">
        <v>1507</v>
      </c>
      <c r="C5875" t="s">
        <v>1508</v>
      </c>
    </row>
    <row r="5876" spans="1:6" x14ac:dyDescent="0.25">
      <c r="A5876" t="s">
        <v>6446</v>
      </c>
      <c r="B5876" t="s">
        <v>1509</v>
      </c>
      <c r="C5876" t="s">
        <v>1510</v>
      </c>
    </row>
    <row r="5877" spans="1:6" x14ac:dyDescent="0.25">
      <c r="A5877" t="s">
        <v>6446</v>
      </c>
      <c r="B5877" t="s">
        <v>1511</v>
      </c>
      <c r="C5877" t="s">
        <v>1512</v>
      </c>
      <c r="D5877" t="str">
        <f>HYPERLINK("http://service.sap.com/sap/support/notes/1779747","1779747")</f>
        <v>1779747</v>
      </c>
      <c r="E5877">
        <v>1</v>
      </c>
      <c r="F5877" t="s">
        <v>7287</v>
      </c>
    </row>
    <row r="5878" spans="1:6" x14ac:dyDescent="0.25">
      <c r="A5878" t="s">
        <v>6446</v>
      </c>
      <c r="B5878" t="s">
        <v>1511</v>
      </c>
      <c r="C5878" t="s">
        <v>1512</v>
      </c>
      <c r="D5878" t="str">
        <f>HYPERLINK("http://service.sap.com/sap/support/notes/1789062","1789062")</f>
        <v>1789062</v>
      </c>
      <c r="E5878">
        <v>1</v>
      </c>
      <c r="F5878" t="s">
        <v>7288</v>
      </c>
    </row>
    <row r="5879" spans="1:6" x14ac:dyDescent="0.25">
      <c r="A5879" t="s">
        <v>6446</v>
      </c>
      <c r="B5879" t="s">
        <v>1511</v>
      </c>
      <c r="C5879" t="s">
        <v>1512</v>
      </c>
      <c r="D5879" t="str">
        <f>HYPERLINK("http://service.sap.com/sap/support/notes/1806123","1806123")</f>
        <v>1806123</v>
      </c>
      <c r="E5879">
        <v>1</v>
      </c>
      <c r="F5879" t="s">
        <v>7289</v>
      </c>
    </row>
    <row r="5880" spans="1:6" x14ac:dyDescent="0.25">
      <c r="A5880" t="s">
        <v>6446</v>
      </c>
      <c r="B5880" t="s">
        <v>1516</v>
      </c>
      <c r="C5880" t="s">
        <v>1517</v>
      </c>
      <c r="D5880" t="str">
        <f>HYPERLINK("http://service.sap.com/sap/support/notes/1796468","1796468")</f>
        <v>1796468</v>
      </c>
      <c r="E5880">
        <v>1</v>
      </c>
      <c r="F5880" t="s">
        <v>7290</v>
      </c>
    </row>
    <row r="5881" spans="1:6" x14ac:dyDescent="0.25">
      <c r="A5881" t="s">
        <v>6446</v>
      </c>
      <c r="B5881" t="s">
        <v>1516</v>
      </c>
      <c r="C5881" t="s">
        <v>1517</v>
      </c>
      <c r="D5881" t="str">
        <f>HYPERLINK("http://service.sap.com/sap/support/notes/1822465","1822465")</f>
        <v>1822465</v>
      </c>
      <c r="E5881">
        <v>1</v>
      </c>
      <c r="F5881" t="s">
        <v>7291</v>
      </c>
    </row>
    <row r="5882" spans="1:6" x14ac:dyDescent="0.25">
      <c r="A5882" t="s">
        <v>6446</v>
      </c>
      <c r="B5882" t="s">
        <v>1521</v>
      </c>
      <c r="C5882" t="s">
        <v>824</v>
      </c>
      <c r="D5882" t="str">
        <f>HYPERLINK("http://service.sap.com/sap/support/notes/1812676","1812676")</f>
        <v>1812676</v>
      </c>
      <c r="E5882">
        <v>1</v>
      </c>
      <c r="F5882" t="s">
        <v>7292</v>
      </c>
    </row>
    <row r="5883" spans="1:6" x14ac:dyDescent="0.25">
      <c r="A5883" t="s">
        <v>6446</v>
      </c>
      <c r="B5883" t="s">
        <v>1529</v>
      </c>
      <c r="C5883" t="s">
        <v>1530</v>
      </c>
    </row>
    <row r="5884" spans="1:6" x14ac:dyDescent="0.25">
      <c r="A5884" t="s">
        <v>6446</v>
      </c>
      <c r="B5884" t="s">
        <v>1531</v>
      </c>
      <c r="C5884" t="s">
        <v>1532</v>
      </c>
    </row>
    <row r="5885" spans="1:6" x14ac:dyDescent="0.25">
      <c r="A5885" t="s">
        <v>6446</v>
      </c>
      <c r="B5885" t="s">
        <v>1536</v>
      </c>
      <c r="C5885" t="s">
        <v>1537</v>
      </c>
      <c r="D5885" t="str">
        <f>HYPERLINK("http://service.sap.com/sap/support/notes/1800974","1800974")</f>
        <v>1800974</v>
      </c>
    </row>
    <row r="5886" spans="1:6" x14ac:dyDescent="0.25">
      <c r="A5886" t="s">
        <v>6446</v>
      </c>
      <c r="B5886" t="s">
        <v>1539</v>
      </c>
      <c r="C5886" t="s">
        <v>1540</v>
      </c>
      <c r="D5886" t="str">
        <f>HYPERLINK("http://service.sap.com/sap/support/notes/1818617","1818617")</f>
        <v>1818617</v>
      </c>
    </row>
    <row r="5887" spans="1:6" x14ac:dyDescent="0.25">
      <c r="A5887" t="s">
        <v>6446</v>
      </c>
      <c r="B5887" t="s">
        <v>1542</v>
      </c>
      <c r="C5887" t="s">
        <v>7293</v>
      </c>
      <c r="D5887" t="str">
        <f>HYPERLINK("http://service.sap.com/sap/support/notes/1770863","1770863")</f>
        <v>1770863</v>
      </c>
      <c r="E5887">
        <v>3</v>
      </c>
      <c r="F5887" t="s">
        <v>1546</v>
      </c>
    </row>
    <row r="5888" spans="1:6" x14ac:dyDescent="0.25">
      <c r="A5888" t="s">
        <v>6446</v>
      </c>
      <c r="B5888" t="s">
        <v>1547</v>
      </c>
      <c r="C5888" t="s">
        <v>1548</v>
      </c>
      <c r="D5888" t="str">
        <f>HYPERLINK("http://service.sap.com/sap/support/notes/1795373","1795373")</f>
        <v>1795373</v>
      </c>
      <c r="E5888">
        <v>1</v>
      </c>
      <c r="F5888" t="s">
        <v>7294</v>
      </c>
    </row>
    <row r="5889" spans="1:6" x14ac:dyDescent="0.25">
      <c r="A5889" t="s">
        <v>6446</v>
      </c>
      <c r="B5889" t="s">
        <v>1547</v>
      </c>
      <c r="C5889" t="s">
        <v>1548</v>
      </c>
      <c r="D5889" t="str">
        <f>HYPERLINK("http://service.sap.com/sap/support/notes/1801862","1801862")</f>
        <v>1801862</v>
      </c>
      <c r="E5889">
        <v>1</v>
      </c>
      <c r="F5889" t="s">
        <v>7295</v>
      </c>
    </row>
    <row r="5890" spans="1:6" x14ac:dyDescent="0.25">
      <c r="A5890" t="s">
        <v>6446</v>
      </c>
      <c r="B5890" t="s">
        <v>1547</v>
      </c>
      <c r="C5890" t="s">
        <v>1548</v>
      </c>
      <c r="D5890" t="str">
        <f>HYPERLINK("http://service.sap.com/sap/support/notes/1812851","1812851")</f>
        <v>1812851</v>
      </c>
      <c r="E5890">
        <v>1</v>
      </c>
      <c r="F5890" t="s">
        <v>7296</v>
      </c>
    </row>
    <row r="5891" spans="1:6" x14ac:dyDescent="0.25">
      <c r="A5891" t="s">
        <v>6446</v>
      </c>
      <c r="B5891" t="s">
        <v>1547</v>
      </c>
      <c r="C5891" t="s">
        <v>1548</v>
      </c>
      <c r="D5891" t="str">
        <f>HYPERLINK("http://service.sap.com/sap/support/notes/1816865","1816865")</f>
        <v>1816865</v>
      </c>
      <c r="E5891">
        <v>1</v>
      </c>
      <c r="F5891" t="s">
        <v>7297</v>
      </c>
    </row>
    <row r="5892" spans="1:6" x14ac:dyDescent="0.25">
      <c r="A5892" t="s">
        <v>6446</v>
      </c>
      <c r="B5892" t="s">
        <v>1547</v>
      </c>
      <c r="C5892" t="s">
        <v>1548</v>
      </c>
      <c r="D5892" t="str">
        <f>HYPERLINK("http://service.sap.com/sap/support/notes/1829626","1829626")</f>
        <v>1829626</v>
      </c>
      <c r="E5892">
        <v>1</v>
      </c>
      <c r="F5892" t="s">
        <v>7298</v>
      </c>
    </row>
    <row r="5893" spans="1:6" x14ac:dyDescent="0.25">
      <c r="A5893" t="s">
        <v>6446</v>
      </c>
      <c r="B5893" t="s">
        <v>7299</v>
      </c>
      <c r="C5893" t="s">
        <v>7300</v>
      </c>
      <c r="D5893" t="str">
        <f>HYPERLINK("http://service.sap.com/sap/support/notes/1812354","1812354")</f>
        <v>1812354</v>
      </c>
    </row>
    <row r="5894" spans="1:6" x14ac:dyDescent="0.25">
      <c r="A5894" t="s">
        <v>6446</v>
      </c>
      <c r="B5894" t="s">
        <v>1550</v>
      </c>
      <c r="C5894" t="s">
        <v>7301</v>
      </c>
      <c r="D5894" t="str">
        <f>HYPERLINK("http://service.sap.com/sap/support/notes/1831770","1831770")</f>
        <v>1831770</v>
      </c>
    </row>
    <row r="5895" spans="1:6" x14ac:dyDescent="0.25">
      <c r="A5895" t="s">
        <v>6446</v>
      </c>
      <c r="B5895" t="s">
        <v>7302</v>
      </c>
      <c r="C5895" t="s">
        <v>7303</v>
      </c>
      <c r="D5895" t="str">
        <f>HYPERLINK("http://service.sap.com/sap/support/notes/1819906","1819906")</f>
        <v>1819906</v>
      </c>
      <c r="E5895">
        <v>1</v>
      </c>
      <c r="F5895" t="s">
        <v>7304</v>
      </c>
    </row>
    <row r="5896" spans="1:6" x14ac:dyDescent="0.25">
      <c r="A5896" t="s">
        <v>6446</v>
      </c>
      <c r="B5896" t="s">
        <v>1558</v>
      </c>
      <c r="C5896" t="s">
        <v>1559</v>
      </c>
      <c r="D5896" t="str">
        <f>HYPERLINK("http://service.sap.com/sap/support/notes/1828702","1828702")</f>
        <v>1828702</v>
      </c>
      <c r="E5896">
        <v>1</v>
      </c>
      <c r="F5896" t="s">
        <v>1546</v>
      </c>
    </row>
    <row r="5897" spans="1:6" x14ac:dyDescent="0.25">
      <c r="A5897" t="s">
        <v>6446</v>
      </c>
      <c r="B5897" t="s">
        <v>1561</v>
      </c>
      <c r="C5897" t="s">
        <v>1562</v>
      </c>
      <c r="D5897" t="str">
        <f>HYPERLINK("http://service.sap.com/sap/support/notes/1686907","1686907")</f>
        <v>1686907</v>
      </c>
      <c r="E5897">
        <v>2</v>
      </c>
      <c r="F5897" t="s">
        <v>7305</v>
      </c>
    </row>
    <row r="5898" spans="1:6" x14ac:dyDescent="0.25">
      <c r="A5898" t="s">
        <v>6446</v>
      </c>
      <c r="B5898" t="s">
        <v>5004</v>
      </c>
      <c r="C5898" t="s">
        <v>2277</v>
      </c>
      <c r="D5898" t="str">
        <f>HYPERLINK("http://service.sap.com/sap/support/notes/1793862","1793862")</f>
        <v>1793862</v>
      </c>
      <c r="E5898">
        <v>1</v>
      </c>
      <c r="F5898" t="s">
        <v>7306</v>
      </c>
    </row>
    <row r="5899" spans="1:6" x14ac:dyDescent="0.25">
      <c r="A5899" t="s">
        <v>6446</v>
      </c>
      <c r="B5899" t="s">
        <v>5004</v>
      </c>
      <c r="C5899" t="s">
        <v>2277</v>
      </c>
      <c r="D5899" t="str">
        <f>HYPERLINK("http://service.sap.com/sap/support/notes/1825535","1825535")</f>
        <v>1825535</v>
      </c>
      <c r="E5899">
        <v>1</v>
      </c>
      <c r="F5899" t="s">
        <v>7307</v>
      </c>
    </row>
    <row r="5900" spans="1:6" x14ac:dyDescent="0.25">
      <c r="A5900" t="s">
        <v>6446</v>
      </c>
      <c r="B5900" t="s">
        <v>1566</v>
      </c>
      <c r="C5900" t="s">
        <v>1567</v>
      </c>
      <c r="D5900" t="str">
        <f>HYPERLINK("http://service.sap.com/sap/support/notes/1825681","1825681")</f>
        <v>1825681</v>
      </c>
      <c r="E5900">
        <v>1</v>
      </c>
      <c r="F5900" t="s">
        <v>7308</v>
      </c>
    </row>
    <row r="5901" spans="1:6" x14ac:dyDescent="0.25">
      <c r="A5901" t="s">
        <v>6446</v>
      </c>
      <c r="B5901" t="s">
        <v>1569</v>
      </c>
      <c r="C5901" t="s">
        <v>5008</v>
      </c>
    </row>
    <row r="5902" spans="1:6" x14ac:dyDescent="0.25">
      <c r="A5902" t="s">
        <v>6446</v>
      </c>
      <c r="B5902" t="s">
        <v>7309</v>
      </c>
      <c r="C5902" t="s">
        <v>7310</v>
      </c>
      <c r="D5902" t="str">
        <f>HYPERLINK("http://service.sap.com/sap/support/notes/1822510","1822510")</f>
        <v>1822510</v>
      </c>
      <c r="E5902">
        <v>1</v>
      </c>
      <c r="F5902" t="s">
        <v>7311</v>
      </c>
    </row>
    <row r="5903" spans="1:6" x14ac:dyDescent="0.25">
      <c r="A5903" t="s">
        <v>6446</v>
      </c>
      <c r="B5903" t="s">
        <v>5012</v>
      </c>
      <c r="C5903" t="s">
        <v>5013</v>
      </c>
    </row>
    <row r="5904" spans="1:6" x14ac:dyDescent="0.25">
      <c r="A5904" t="s">
        <v>6446</v>
      </c>
      <c r="B5904" t="s">
        <v>5014</v>
      </c>
      <c r="C5904" t="s">
        <v>218</v>
      </c>
    </row>
    <row r="5905" spans="1:6" x14ac:dyDescent="0.25">
      <c r="A5905" t="s">
        <v>6446</v>
      </c>
      <c r="B5905" t="s">
        <v>5015</v>
      </c>
      <c r="C5905" t="s">
        <v>5016</v>
      </c>
      <c r="D5905" t="str">
        <f>HYPERLINK("http://service.sap.com/sap/support/notes/1816172","1816172")</f>
        <v>1816172</v>
      </c>
      <c r="E5905">
        <v>2</v>
      </c>
      <c r="F5905" t="s">
        <v>7312</v>
      </c>
    </row>
    <row r="5906" spans="1:6" x14ac:dyDescent="0.25">
      <c r="A5906" t="s">
        <v>6446</v>
      </c>
      <c r="B5906" t="s">
        <v>7313</v>
      </c>
      <c r="C5906" t="s">
        <v>7314</v>
      </c>
      <c r="D5906" t="str">
        <f>HYPERLINK("http://service.sap.com/sap/support/notes/1827274","1827274")</f>
        <v>1827274</v>
      </c>
      <c r="E5906">
        <v>3</v>
      </c>
      <c r="F5906" t="s">
        <v>7315</v>
      </c>
    </row>
    <row r="5907" spans="1:6" x14ac:dyDescent="0.25">
      <c r="A5907" t="s">
        <v>6446</v>
      </c>
      <c r="B5907" t="s">
        <v>5018</v>
      </c>
      <c r="C5907" t="s">
        <v>233</v>
      </c>
    </row>
    <row r="5908" spans="1:6" x14ac:dyDescent="0.25">
      <c r="A5908" t="s">
        <v>6446</v>
      </c>
      <c r="B5908" t="s">
        <v>5019</v>
      </c>
      <c r="C5908" t="s">
        <v>5020</v>
      </c>
      <c r="D5908" t="str">
        <f>HYPERLINK("http://service.sap.com/sap/support/notes/1812372","1812372")</f>
        <v>1812372</v>
      </c>
      <c r="E5908">
        <v>1</v>
      </c>
      <c r="F5908" t="s">
        <v>7316</v>
      </c>
    </row>
    <row r="5909" spans="1:6" x14ac:dyDescent="0.25">
      <c r="A5909" t="s">
        <v>6446</v>
      </c>
      <c r="B5909" t="s">
        <v>1577</v>
      </c>
      <c r="C5909" t="s">
        <v>1578</v>
      </c>
    </row>
    <row r="5910" spans="1:6" x14ac:dyDescent="0.25">
      <c r="A5910" t="s">
        <v>6446</v>
      </c>
      <c r="B5910" t="s">
        <v>7317</v>
      </c>
      <c r="C5910" t="s">
        <v>7318</v>
      </c>
      <c r="D5910" t="str">
        <f>HYPERLINK("http://service.sap.com/sap/support/notes/1824937","1824937")</f>
        <v>1824937</v>
      </c>
      <c r="E5910">
        <v>1</v>
      </c>
      <c r="F5910" t="s">
        <v>7319</v>
      </c>
    </row>
    <row r="5911" spans="1:6" x14ac:dyDescent="0.25">
      <c r="A5911" t="s">
        <v>6446</v>
      </c>
      <c r="B5911" t="s">
        <v>1581</v>
      </c>
      <c r="C5911" t="s">
        <v>1582</v>
      </c>
    </row>
    <row r="5912" spans="1:6" x14ac:dyDescent="0.25">
      <c r="A5912" t="s">
        <v>6446</v>
      </c>
      <c r="B5912" t="s">
        <v>1583</v>
      </c>
      <c r="C5912" t="s">
        <v>1584</v>
      </c>
      <c r="D5912" t="str">
        <f>HYPERLINK("http://service.sap.com/sap/support/notes/1805822","1805822")</f>
        <v>1805822</v>
      </c>
      <c r="E5912">
        <v>3</v>
      </c>
      <c r="F5912" t="s">
        <v>7320</v>
      </c>
    </row>
    <row r="5913" spans="1:6" x14ac:dyDescent="0.25">
      <c r="A5913" t="s">
        <v>6446</v>
      </c>
      <c r="B5913" t="s">
        <v>1583</v>
      </c>
      <c r="C5913" t="s">
        <v>1584</v>
      </c>
      <c r="D5913" t="str">
        <f>HYPERLINK("http://service.sap.com/sap/support/notes/1807456","1807456")</f>
        <v>1807456</v>
      </c>
      <c r="E5913">
        <v>3</v>
      </c>
      <c r="F5913" t="s">
        <v>7321</v>
      </c>
    </row>
    <row r="5914" spans="1:6" x14ac:dyDescent="0.25">
      <c r="A5914" t="s">
        <v>6446</v>
      </c>
      <c r="B5914" t="s">
        <v>1583</v>
      </c>
      <c r="C5914" t="s">
        <v>1584</v>
      </c>
      <c r="D5914" t="str">
        <f>HYPERLINK("http://service.sap.com/sap/support/notes/1807848","1807848")</f>
        <v>1807848</v>
      </c>
      <c r="E5914">
        <v>2</v>
      </c>
      <c r="F5914" t="s">
        <v>1571</v>
      </c>
    </row>
    <row r="5915" spans="1:6" x14ac:dyDescent="0.25">
      <c r="A5915" t="s">
        <v>6446</v>
      </c>
      <c r="B5915" t="s">
        <v>1583</v>
      </c>
      <c r="C5915" t="s">
        <v>1584</v>
      </c>
      <c r="D5915" t="str">
        <f>HYPERLINK("http://service.sap.com/sap/support/notes/1823039","1823039")</f>
        <v>1823039</v>
      </c>
      <c r="E5915">
        <v>1</v>
      </c>
      <c r="F5915" t="s">
        <v>7322</v>
      </c>
    </row>
    <row r="5916" spans="1:6" x14ac:dyDescent="0.25">
      <c r="A5916" t="s">
        <v>6446</v>
      </c>
      <c r="B5916" t="s">
        <v>5026</v>
      </c>
      <c r="C5916" t="s">
        <v>5027</v>
      </c>
      <c r="D5916" t="str">
        <f>HYPERLINK("http://service.sap.com/sap/support/notes/1828036","1828036")</f>
        <v>1828036</v>
      </c>
      <c r="E5916">
        <v>1</v>
      </c>
      <c r="F5916" t="s">
        <v>7323</v>
      </c>
    </row>
    <row r="5917" spans="1:6" x14ac:dyDescent="0.25">
      <c r="A5917" t="s">
        <v>6446</v>
      </c>
      <c r="B5917" t="s">
        <v>7324</v>
      </c>
      <c r="C5917" t="s">
        <v>7325</v>
      </c>
      <c r="D5917" t="str">
        <f>HYPERLINK("http://service.sap.com/sap/support/notes/1807233","1807233")</f>
        <v>1807233</v>
      </c>
      <c r="E5917">
        <v>1</v>
      </c>
      <c r="F5917" t="s">
        <v>7326</v>
      </c>
    </row>
    <row r="5918" spans="1:6" x14ac:dyDescent="0.25">
      <c r="A5918" t="s">
        <v>6446</v>
      </c>
      <c r="B5918" t="s">
        <v>1585</v>
      </c>
      <c r="C5918" t="s">
        <v>1586</v>
      </c>
    </row>
    <row r="5919" spans="1:6" x14ac:dyDescent="0.25">
      <c r="A5919" t="s">
        <v>6446</v>
      </c>
      <c r="B5919" t="s">
        <v>1587</v>
      </c>
      <c r="C5919" t="s">
        <v>1588</v>
      </c>
    </row>
    <row r="5920" spans="1:6" x14ac:dyDescent="0.25">
      <c r="A5920" t="s">
        <v>6446</v>
      </c>
      <c r="B5920" t="s">
        <v>1589</v>
      </c>
      <c r="C5920" t="s">
        <v>1590</v>
      </c>
      <c r="D5920" t="str">
        <f>HYPERLINK("http://service.sap.com/sap/support/notes/1778316","1778316")</f>
        <v>1778316</v>
      </c>
      <c r="E5920">
        <v>1</v>
      </c>
      <c r="F5920" t="s">
        <v>7327</v>
      </c>
    </row>
    <row r="5921" spans="1:6" x14ac:dyDescent="0.25">
      <c r="A5921" t="s">
        <v>6446</v>
      </c>
      <c r="B5921" t="s">
        <v>1589</v>
      </c>
      <c r="C5921" t="s">
        <v>1590</v>
      </c>
      <c r="D5921" t="str">
        <f>HYPERLINK("http://service.sap.com/sap/support/notes/1778548","1778548")</f>
        <v>1778548</v>
      </c>
      <c r="E5921">
        <v>4</v>
      </c>
      <c r="F5921" t="s">
        <v>7328</v>
      </c>
    </row>
    <row r="5922" spans="1:6" x14ac:dyDescent="0.25">
      <c r="A5922" t="s">
        <v>6446</v>
      </c>
      <c r="B5922" t="s">
        <v>1589</v>
      </c>
      <c r="C5922" t="s">
        <v>1590</v>
      </c>
      <c r="D5922" t="str">
        <f>HYPERLINK("http://service.sap.com/sap/support/notes/1778550","1778550")</f>
        <v>1778550</v>
      </c>
      <c r="E5922">
        <v>5</v>
      </c>
      <c r="F5922" t="s">
        <v>7329</v>
      </c>
    </row>
    <row r="5923" spans="1:6" x14ac:dyDescent="0.25">
      <c r="A5923" t="s">
        <v>6446</v>
      </c>
      <c r="B5923" t="s">
        <v>1589</v>
      </c>
      <c r="C5923" t="s">
        <v>1590</v>
      </c>
      <c r="D5923" t="str">
        <f>HYPERLINK("http://service.sap.com/sap/support/notes/1785495","1785495")</f>
        <v>1785495</v>
      </c>
      <c r="E5923">
        <v>1</v>
      </c>
      <c r="F5923" t="s">
        <v>7330</v>
      </c>
    </row>
    <row r="5924" spans="1:6" x14ac:dyDescent="0.25">
      <c r="A5924" t="s">
        <v>6446</v>
      </c>
      <c r="B5924" t="s">
        <v>1589</v>
      </c>
      <c r="C5924" t="s">
        <v>1590</v>
      </c>
      <c r="D5924" t="str">
        <f>HYPERLINK("http://service.sap.com/sap/support/notes/1800255","1800255")</f>
        <v>1800255</v>
      </c>
      <c r="E5924">
        <v>2</v>
      </c>
      <c r="F5924" t="s">
        <v>7331</v>
      </c>
    </row>
    <row r="5925" spans="1:6" x14ac:dyDescent="0.25">
      <c r="A5925" t="s">
        <v>6446</v>
      </c>
      <c r="B5925" t="s">
        <v>1589</v>
      </c>
      <c r="C5925" t="s">
        <v>1590</v>
      </c>
      <c r="D5925" t="str">
        <f>HYPERLINK("http://service.sap.com/sap/support/notes/1800972","1800972")</f>
        <v>1800972</v>
      </c>
      <c r="E5925">
        <v>2</v>
      </c>
      <c r="F5925" t="s">
        <v>7332</v>
      </c>
    </row>
    <row r="5926" spans="1:6" x14ac:dyDescent="0.25">
      <c r="A5926" t="s">
        <v>6446</v>
      </c>
      <c r="B5926" t="s">
        <v>1589</v>
      </c>
      <c r="C5926" t="s">
        <v>1590</v>
      </c>
      <c r="D5926" t="str">
        <f>HYPERLINK("http://service.sap.com/sap/support/notes/1807893","1807893")</f>
        <v>1807893</v>
      </c>
      <c r="E5926">
        <v>2</v>
      </c>
      <c r="F5926" t="s">
        <v>7333</v>
      </c>
    </row>
    <row r="5927" spans="1:6" x14ac:dyDescent="0.25">
      <c r="A5927" t="s">
        <v>6446</v>
      </c>
      <c r="B5927" t="s">
        <v>1589</v>
      </c>
      <c r="C5927" t="s">
        <v>1590</v>
      </c>
      <c r="D5927" t="str">
        <f>HYPERLINK("http://service.sap.com/sap/support/notes/1812681","1812681")</f>
        <v>1812681</v>
      </c>
      <c r="E5927">
        <v>1</v>
      </c>
      <c r="F5927" t="s">
        <v>7334</v>
      </c>
    </row>
    <row r="5928" spans="1:6" x14ac:dyDescent="0.25">
      <c r="A5928" t="s">
        <v>6446</v>
      </c>
      <c r="B5928" t="s">
        <v>1589</v>
      </c>
      <c r="C5928" t="s">
        <v>1590</v>
      </c>
      <c r="D5928" t="str">
        <f>HYPERLINK("http://service.sap.com/sap/support/notes/1814501","1814501")</f>
        <v>1814501</v>
      </c>
      <c r="E5928">
        <v>2</v>
      </c>
      <c r="F5928" t="s">
        <v>7335</v>
      </c>
    </row>
    <row r="5929" spans="1:6" x14ac:dyDescent="0.25">
      <c r="A5929" t="s">
        <v>6446</v>
      </c>
      <c r="B5929" t="s">
        <v>1589</v>
      </c>
      <c r="C5929" t="s">
        <v>1590</v>
      </c>
      <c r="D5929" t="str">
        <f>HYPERLINK("http://service.sap.com/sap/support/notes/1817353","1817353")</f>
        <v>1817353</v>
      </c>
      <c r="E5929">
        <v>2</v>
      </c>
      <c r="F5929" t="s">
        <v>7336</v>
      </c>
    </row>
    <row r="5930" spans="1:6" x14ac:dyDescent="0.25">
      <c r="A5930" t="s">
        <v>6446</v>
      </c>
      <c r="B5930" t="s">
        <v>1589</v>
      </c>
      <c r="C5930" t="s">
        <v>1590</v>
      </c>
      <c r="D5930" t="str">
        <f>HYPERLINK("http://service.sap.com/sap/support/notes/1820980","1820980")</f>
        <v>1820980</v>
      </c>
      <c r="E5930">
        <v>1</v>
      </c>
      <c r="F5930" t="s">
        <v>7337</v>
      </c>
    </row>
    <row r="5931" spans="1:6" x14ac:dyDescent="0.25">
      <c r="A5931" t="s">
        <v>6446</v>
      </c>
      <c r="B5931" t="s">
        <v>1589</v>
      </c>
      <c r="C5931" t="s">
        <v>1590</v>
      </c>
      <c r="D5931" t="str">
        <f>HYPERLINK("http://service.sap.com/sap/support/notes/1828950","1828950")</f>
        <v>1828950</v>
      </c>
      <c r="E5931">
        <v>4</v>
      </c>
      <c r="F5931" t="s">
        <v>7338</v>
      </c>
    </row>
    <row r="5932" spans="1:6" x14ac:dyDescent="0.25">
      <c r="A5932" t="s">
        <v>6446</v>
      </c>
      <c r="B5932" t="s">
        <v>1589</v>
      </c>
      <c r="C5932" t="s">
        <v>1590</v>
      </c>
      <c r="D5932" t="str">
        <f>HYPERLINK("http://service.sap.com/sap/support/notes/1830275","1830275")</f>
        <v>1830275</v>
      </c>
      <c r="E5932">
        <v>1</v>
      </c>
      <c r="F5932" t="s">
        <v>7339</v>
      </c>
    </row>
    <row r="5933" spans="1:6" x14ac:dyDescent="0.25">
      <c r="A5933" t="s">
        <v>6446</v>
      </c>
      <c r="B5933" t="s">
        <v>1596</v>
      </c>
      <c r="C5933" t="s">
        <v>1597</v>
      </c>
      <c r="D5933" t="str">
        <f>HYPERLINK("http://service.sap.com/sap/support/notes/1818608","1818608")</f>
        <v>1818608</v>
      </c>
      <c r="E5933">
        <v>4</v>
      </c>
      <c r="F5933" t="s">
        <v>7340</v>
      </c>
    </row>
    <row r="5934" spans="1:6" x14ac:dyDescent="0.25">
      <c r="A5934" t="s">
        <v>6446</v>
      </c>
      <c r="B5934" t="s">
        <v>1599</v>
      </c>
      <c r="C5934" t="s">
        <v>1600</v>
      </c>
      <c r="D5934" t="str">
        <f>HYPERLINK("http://service.sap.com/sap/support/notes/668801","668801")</f>
        <v>668801</v>
      </c>
      <c r="E5934">
        <v>5</v>
      </c>
      <c r="F5934" t="s">
        <v>7341</v>
      </c>
    </row>
    <row r="5935" spans="1:6" x14ac:dyDescent="0.25">
      <c r="A5935" t="s">
        <v>6446</v>
      </c>
      <c r="B5935" t="s">
        <v>1599</v>
      </c>
      <c r="C5935" t="s">
        <v>1600</v>
      </c>
      <c r="D5935" t="str">
        <f>HYPERLINK("http://service.sap.com/sap/support/notes/1806314","1806314")</f>
        <v>1806314</v>
      </c>
      <c r="E5935">
        <v>1</v>
      </c>
      <c r="F5935" t="s">
        <v>7342</v>
      </c>
    </row>
    <row r="5936" spans="1:6" x14ac:dyDescent="0.25">
      <c r="A5936" t="s">
        <v>6446</v>
      </c>
      <c r="B5936" t="s">
        <v>1599</v>
      </c>
      <c r="C5936" t="s">
        <v>1600</v>
      </c>
      <c r="D5936" t="str">
        <f>HYPERLINK("http://service.sap.com/sap/support/notes/1825712","1825712")</f>
        <v>1825712</v>
      </c>
      <c r="E5936">
        <v>2</v>
      </c>
      <c r="F5936" t="s">
        <v>7343</v>
      </c>
    </row>
    <row r="5937" spans="1:6" x14ac:dyDescent="0.25">
      <c r="A5937" t="s">
        <v>6446</v>
      </c>
      <c r="B5937" t="s">
        <v>1599</v>
      </c>
      <c r="C5937" t="s">
        <v>1600</v>
      </c>
      <c r="D5937" t="str">
        <f>HYPERLINK("http://service.sap.com/sap/support/notes/1827607","1827607")</f>
        <v>1827607</v>
      </c>
      <c r="E5937">
        <v>1</v>
      </c>
      <c r="F5937" t="s">
        <v>7344</v>
      </c>
    </row>
    <row r="5938" spans="1:6" x14ac:dyDescent="0.25">
      <c r="A5938" t="s">
        <v>6446</v>
      </c>
      <c r="B5938" t="s">
        <v>1599</v>
      </c>
      <c r="C5938" t="s">
        <v>1600</v>
      </c>
      <c r="D5938" t="str">
        <f>HYPERLINK("http://service.sap.com/sap/support/notes/1831857","1831857")</f>
        <v>1831857</v>
      </c>
      <c r="E5938">
        <v>1</v>
      </c>
      <c r="F5938" t="s">
        <v>7345</v>
      </c>
    </row>
    <row r="5939" spans="1:6" x14ac:dyDescent="0.25">
      <c r="A5939" t="s">
        <v>6446</v>
      </c>
      <c r="B5939" t="s">
        <v>1607</v>
      </c>
      <c r="C5939" t="s">
        <v>1608</v>
      </c>
    </row>
    <row r="5940" spans="1:6" x14ac:dyDescent="0.25">
      <c r="A5940" t="s">
        <v>6446</v>
      </c>
      <c r="B5940" t="s">
        <v>1609</v>
      </c>
      <c r="C5940" t="s">
        <v>1610</v>
      </c>
      <c r="D5940" t="str">
        <f>HYPERLINK("http://service.sap.com/sap/support/notes/1800812","1800812")</f>
        <v>1800812</v>
      </c>
      <c r="E5940">
        <v>3</v>
      </c>
      <c r="F5940" t="s">
        <v>7346</v>
      </c>
    </row>
    <row r="5941" spans="1:6" x14ac:dyDescent="0.25">
      <c r="A5941" t="s">
        <v>6446</v>
      </c>
      <c r="B5941" t="s">
        <v>1609</v>
      </c>
      <c r="C5941" t="s">
        <v>1610</v>
      </c>
      <c r="D5941" t="str">
        <f>HYPERLINK("http://service.sap.com/sap/support/notes/1811301","1811301")</f>
        <v>1811301</v>
      </c>
      <c r="E5941">
        <v>2</v>
      </c>
      <c r="F5941" t="s">
        <v>7347</v>
      </c>
    </row>
    <row r="5942" spans="1:6" x14ac:dyDescent="0.25">
      <c r="A5942" t="s">
        <v>6446</v>
      </c>
      <c r="B5942" t="s">
        <v>1609</v>
      </c>
      <c r="C5942" t="s">
        <v>1610</v>
      </c>
      <c r="D5942" t="str">
        <f>HYPERLINK("http://service.sap.com/sap/support/notes/1817620","1817620")</f>
        <v>1817620</v>
      </c>
      <c r="E5942">
        <v>1</v>
      </c>
      <c r="F5942" t="s">
        <v>7348</v>
      </c>
    </row>
    <row r="5943" spans="1:6" x14ac:dyDescent="0.25">
      <c r="A5943" t="s">
        <v>6446</v>
      </c>
      <c r="B5943" t="s">
        <v>1609</v>
      </c>
      <c r="C5943" t="s">
        <v>1610</v>
      </c>
      <c r="D5943" t="str">
        <f>HYPERLINK("http://service.sap.com/sap/support/notes/1817621","1817621")</f>
        <v>1817621</v>
      </c>
      <c r="E5943">
        <v>3</v>
      </c>
      <c r="F5943" t="s">
        <v>7349</v>
      </c>
    </row>
    <row r="5944" spans="1:6" x14ac:dyDescent="0.25">
      <c r="A5944" t="s">
        <v>6446</v>
      </c>
      <c r="B5944" t="s">
        <v>1609</v>
      </c>
      <c r="C5944" t="s">
        <v>1610</v>
      </c>
      <c r="D5944" t="str">
        <f>HYPERLINK("http://service.sap.com/sap/support/notes/1818848","1818848")</f>
        <v>1818848</v>
      </c>
      <c r="E5944">
        <v>2</v>
      </c>
      <c r="F5944" t="s">
        <v>7350</v>
      </c>
    </row>
    <row r="5945" spans="1:6" x14ac:dyDescent="0.25">
      <c r="A5945" t="s">
        <v>6446</v>
      </c>
      <c r="B5945" t="s">
        <v>1612</v>
      </c>
      <c r="C5945" t="s">
        <v>1613</v>
      </c>
      <c r="D5945" t="str">
        <f>HYPERLINK("http://service.sap.com/sap/support/notes/1728847","1728847")</f>
        <v>1728847</v>
      </c>
      <c r="E5945">
        <v>3</v>
      </c>
      <c r="F5945" t="s">
        <v>7351</v>
      </c>
    </row>
    <row r="5946" spans="1:6" x14ac:dyDescent="0.25">
      <c r="A5946" t="s">
        <v>6446</v>
      </c>
      <c r="B5946" t="s">
        <v>1612</v>
      </c>
      <c r="C5946" t="s">
        <v>1613</v>
      </c>
      <c r="D5946" t="str">
        <f>HYPERLINK("http://service.sap.com/sap/support/notes/1769256","1769256")</f>
        <v>1769256</v>
      </c>
      <c r="E5946">
        <v>1</v>
      </c>
      <c r="F5946" t="s">
        <v>7352</v>
      </c>
    </row>
    <row r="5947" spans="1:6" x14ac:dyDescent="0.25">
      <c r="A5947" t="s">
        <v>6446</v>
      </c>
      <c r="B5947" t="s">
        <v>1612</v>
      </c>
      <c r="C5947" t="s">
        <v>1613</v>
      </c>
      <c r="D5947" t="str">
        <f>HYPERLINK("http://service.sap.com/sap/support/notes/1772821","1772821")</f>
        <v>1772821</v>
      </c>
      <c r="E5947">
        <v>3</v>
      </c>
      <c r="F5947" t="s">
        <v>7353</v>
      </c>
    </row>
    <row r="5948" spans="1:6" x14ac:dyDescent="0.25">
      <c r="A5948" t="s">
        <v>6446</v>
      </c>
      <c r="B5948" t="s">
        <v>1612</v>
      </c>
      <c r="C5948" t="s">
        <v>1613</v>
      </c>
      <c r="D5948" t="str">
        <f>HYPERLINK("http://service.sap.com/sap/support/notes/1772970","1772970")</f>
        <v>1772970</v>
      </c>
      <c r="E5948">
        <v>2</v>
      </c>
      <c r="F5948" t="s">
        <v>7354</v>
      </c>
    </row>
    <row r="5949" spans="1:6" x14ac:dyDescent="0.25">
      <c r="A5949" t="s">
        <v>6446</v>
      </c>
      <c r="B5949" t="s">
        <v>1612</v>
      </c>
      <c r="C5949" t="s">
        <v>1613</v>
      </c>
      <c r="D5949" t="str">
        <f>HYPERLINK("http://service.sap.com/sap/support/notes/1818960","1818960")</f>
        <v>1818960</v>
      </c>
      <c r="E5949">
        <v>1</v>
      </c>
      <c r="F5949" t="s">
        <v>7355</v>
      </c>
    </row>
    <row r="5950" spans="1:6" x14ac:dyDescent="0.25">
      <c r="A5950" t="s">
        <v>6446</v>
      </c>
      <c r="B5950" t="s">
        <v>1612</v>
      </c>
      <c r="C5950" t="s">
        <v>1613</v>
      </c>
      <c r="D5950" t="str">
        <f>HYPERLINK("http://service.sap.com/sap/support/notes/1825641","1825641")</f>
        <v>1825641</v>
      </c>
      <c r="E5950">
        <v>1</v>
      </c>
      <c r="F5950" t="s">
        <v>7356</v>
      </c>
    </row>
    <row r="5951" spans="1:6" x14ac:dyDescent="0.25">
      <c r="A5951" t="s">
        <v>6446</v>
      </c>
      <c r="B5951" t="s">
        <v>1618</v>
      </c>
      <c r="C5951" t="s">
        <v>1619</v>
      </c>
      <c r="D5951" t="str">
        <f>HYPERLINK("http://service.sap.com/sap/support/notes/1774002","1774002")</f>
        <v>1774002</v>
      </c>
      <c r="E5951">
        <v>3</v>
      </c>
      <c r="F5951" t="s">
        <v>7357</v>
      </c>
    </row>
    <row r="5952" spans="1:6" x14ac:dyDescent="0.25">
      <c r="A5952" t="s">
        <v>6446</v>
      </c>
      <c r="B5952" t="s">
        <v>1618</v>
      </c>
      <c r="C5952" t="s">
        <v>1619</v>
      </c>
      <c r="D5952" t="str">
        <f>HYPERLINK("http://service.sap.com/sap/support/notes/1792313","1792313")</f>
        <v>1792313</v>
      </c>
      <c r="E5952">
        <v>2</v>
      </c>
      <c r="F5952" t="s">
        <v>7358</v>
      </c>
    </row>
    <row r="5953" spans="1:6" x14ac:dyDescent="0.25">
      <c r="A5953" t="s">
        <v>6446</v>
      </c>
      <c r="B5953" t="s">
        <v>1618</v>
      </c>
      <c r="C5953" t="s">
        <v>1619</v>
      </c>
      <c r="D5953" t="str">
        <f>HYPERLINK("http://service.sap.com/sap/support/notes/1810644","1810644")</f>
        <v>1810644</v>
      </c>
      <c r="E5953">
        <v>1</v>
      </c>
      <c r="F5953" t="s">
        <v>7359</v>
      </c>
    </row>
    <row r="5954" spans="1:6" x14ac:dyDescent="0.25">
      <c r="A5954" t="s">
        <v>6446</v>
      </c>
      <c r="B5954" t="s">
        <v>1626</v>
      </c>
      <c r="C5954" t="s">
        <v>1627</v>
      </c>
    </row>
    <row r="5955" spans="1:6" x14ac:dyDescent="0.25">
      <c r="A5955" t="s">
        <v>6446</v>
      </c>
      <c r="B5955" t="s">
        <v>7360</v>
      </c>
      <c r="C5955" t="s">
        <v>7361</v>
      </c>
      <c r="D5955" t="str">
        <f>HYPERLINK("http://service.sap.com/sap/support/notes/1801083","1801083")</f>
        <v>1801083</v>
      </c>
      <c r="E5955">
        <v>1</v>
      </c>
      <c r="F5955" t="s">
        <v>7362</v>
      </c>
    </row>
    <row r="5956" spans="1:6" x14ac:dyDescent="0.25">
      <c r="A5956" t="s">
        <v>6446</v>
      </c>
      <c r="B5956" t="s">
        <v>7363</v>
      </c>
      <c r="C5956" t="s">
        <v>7364</v>
      </c>
      <c r="D5956" t="str">
        <f>HYPERLINK("http://service.sap.com/sap/support/notes/1802585","1802585")</f>
        <v>1802585</v>
      </c>
      <c r="E5956">
        <v>3</v>
      </c>
      <c r="F5956" t="s">
        <v>7365</v>
      </c>
    </row>
    <row r="5957" spans="1:6" x14ac:dyDescent="0.25">
      <c r="A5957" t="s">
        <v>6446</v>
      </c>
      <c r="B5957" t="s">
        <v>5041</v>
      </c>
      <c r="C5957" t="s">
        <v>5042</v>
      </c>
      <c r="D5957" t="str">
        <f>HYPERLINK("http://service.sap.com/sap/support/notes/1632613","1632613")</f>
        <v>1632613</v>
      </c>
      <c r="E5957">
        <v>2</v>
      </c>
      <c r="F5957" t="s">
        <v>7366</v>
      </c>
    </row>
    <row r="5958" spans="1:6" x14ac:dyDescent="0.25">
      <c r="A5958" t="s">
        <v>6446</v>
      </c>
      <c r="B5958" t="s">
        <v>5041</v>
      </c>
      <c r="C5958" t="s">
        <v>5042</v>
      </c>
      <c r="D5958" t="str">
        <f>HYPERLINK("http://service.sap.com/sap/support/notes/1633379","1633379")</f>
        <v>1633379</v>
      </c>
      <c r="E5958">
        <v>3</v>
      </c>
      <c r="F5958" t="s">
        <v>7367</v>
      </c>
    </row>
    <row r="5959" spans="1:6" x14ac:dyDescent="0.25">
      <c r="A5959" t="s">
        <v>6446</v>
      </c>
      <c r="B5959" t="s">
        <v>5041</v>
      </c>
      <c r="C5959" t="s">
        <v>5042</v>
      </c>
      <c r="D5959" t="str">
        <f>HYPERLINK("http://service.sap.com/sap/support/notes/1652591","1652591")</f>
        <v>1652591</v>
      </c>
      <c r="E5959">
        <v>4</v>
      </c>
      <c r="F5959" t="s">
        <v>7368</v>
      </c>
    </row>
    <row r="5960" spans="1:6" x14ac:dyDescent="0.25">
      <c r="A5960" t="s">
        <v>6446</v>
      </c>
      <c r="B5960" t="s">
        <v>5041</v>
      </c>
      <c r="C5960" t="s">
        <v>5042</v>
      </c>
      <c r="D5960" t="str">
        <f>HYPERLINK("http://service.sap.com/sap/support/notes/1755545","1755545")</f>
        <v>1755545</v>
      </c>
      <c r="E5960">
        <v>3</v>
      </c>
      <c r="F5960" t="s">
        <v>7369</v>
      </c>
    </row>
    <row r="5961" spans="1:6" x14ac:dyDescent="0.25">
      <c r="A5961" t="s">
        <v>6446</v>
      </c>
      <c r="B5961" t="s">
        <v>5041</v>
      </c>
      <c r="C5961" t="s">
        <v>5042</v>
      </c>
      <c r="D5961" t="str">
        <f>HYPERLINK("http://service.sap.com/sap/support/notes/1783651","1783651")</f>
        <v>1783651</v>
      </c>
      <c r="E5961">
        <v>1</v>
      </c>
      <c r="F5961" t="s">
        <v>7370</v>
      </c>
    </row>
    <row r="5962" spans="1:6" x14ac:dyDescent="0.25">
      <c r="A5962" t="s">
        <v>6446</v>
      </c>
      <c r="B5962" t="s">
        <v>5041</v>
      </c>
      <c r="C5962" t="s">
        <v>5042</v>
      </c>
      <c r="D5962" t="str">
        <f>HYPERLINK("http://service.sap.com/sap/support/notes/1821790","1821790")</f>
        <v>1821790</v>
      </c>
      <c r="E5962">
        <v>1</v>
      </c>
      <c r="F5962" t="s">
        <v>7371</v>
      </c>
    </row>
    <row r="5963" spans="1:6" x14ac:dyDescent="0.25">
      <c r="A5963" t="s">
        <v>6446</v>
      </c>
      <c r="B5963" t="s">
        <v>1632</v>
      </c>
      <c r="C5963" t="s">
        <v>1633</v>
      </c>
    </row>
    <row r="5964" spans="1:6" x14ac:dyDescent="0.25">
      <c r="A5964" t="s">
        <v>6446</v>
      </c>
      <c r="B5964" t="s">
        <v>1634</v>
      </c>
      <c r="C5964" t="s">
        <v>1635</v>
      </c>
      <c r="D5964" t="str">
        <f>HYPERLINK("http://service.sap.com/sap/support/notes/1698176","1698176")</f>
        <v>1698176</v>
      </c>
      <c r="E5964">
        <v>3</v>
      </c>
      <c r="F5964" t="s">
        <v>7372</v>
      </c>
    </row>
    <row r="5965" spans="1:6" x14ac:dyDescent="0.25">
      <c r="A5965" t="s">
        <v>6446</v>
      </c>
      <c r="B5965" t="s">
        <v>1634</v>
      </c>
      <c r="C5965" t="s">
        <v>1635</v>
      </c>
      <c r="D5965" t="str">
        <f>HYPERLINK("http://service.sap.com/sap/support/notes/1774558","1774558")</f>
        <v>1774558</v>
      </c>
      <c r="E5965">
        <v>1</v>
      </c>
      <c r="F5965" t="s">
        <v>7373</v>
      </c>
    </row>
    <row r="5966" spans="1:6" x14ac:dyDescent="0.25">
      <c r="A5966" t="s">
        <v>6446</v>
      </c>
      <c r="B5966" t="s">
        <v>1634</v>
      </c>
      <c r="C5966" t="s">
        <v>1635</v>
      </c>
      <c r="D5966" t="str">
        <f>HYPERLINK("http://service.sap.com/sap/support/notes/1803863","1803863")</f>
        <v>1803863</v>
      </c>
      <c r="E5966">
        <v>1</v>
      </c>
      <c r="F5966" t="s">
        <v>7374</v>
      </c>
    </row>
    <row r="5967" spans="1:6" x14ac:dyDescent="0.25">
      <c r="A5967" t="s">
        <v>6446</v>
      </c>
      <c r="B5967" t="s">
        <v>1637</v>
      </c>
      <c r="C5967" t="s">
        <v>1638</v>
      </c>
    </row>
    <row r="5968" spans="1:6" x14ac:dyDescent="0.25">
      <c r="A5968" t="s">
        <v>6446</v>
      </c>
      <c r="B5968" t="s">
        <v>1642</v>
      </c>
      <c r="C5968" t="s">
        <v>1643</v>
      </c>
      <c r="D5968" t="str">
        <f>HYPERLINK("http://service.sap.com/sap/support/notes/994226","994226")</f>
        <v>994226</v>
      </c>
      <c r="E5968">
        <v>7</v>
      </c>
      <c r="F5968" t="s">
        <v>7375</v>
      </c>
    </row>
    <row r="5969" spans="1:6" x14ac:dyDescent="0.25">
      <c r="A5969" t="s">
        <v>6446</v>
      </c>
      <c r="B5969" t="s">
        <v>1642</v>
      </c>
      <c r="C5969" t="s">
        <v>1643</v>
      </c>
      <c r="D5969" t="str">
        <f>HYPERLINK("http://service.sap.com/sap/support/notes/1794887","1794887")</f>
        <v>1794887</v>
      </c>
      <c r="E5969">
        <v>1</v>
      </c>
      <c r="F5969" t="s">
        <v>7376</v>
      </c>
    </row>
    <row r="5970" spans="1:6" x14ac:dyDescent="0.25">
      <c r="A5970" t="s">
        <v>6446</v>
      </c>
      <c r="B5970" t="s">
        <v>1642</v>
      </c>
      <c r="C5970" t="s">
        <v>1643</v>
      </c>
      <c r="D5970" t="str">
        <f>HYPERLINK("http://service.sap.com/sap/support/notes/1808352","1808352")</f>
        <v>1808352</v>
      </c>
      <c r="E5970">
        <v>1</v>
      </c>
      <c r="F5970" t="s">
        <v>7377</v>
      </c>
    </row>
    <row r="5971" spans="1:6" x14ac:dyDescent="0.25">
      <c r="A5971" t="s">
        <v>6446</v>
      </c>
      <c r="B5971" t="s">
        <v>1648</v>
      </c>
      <c r="C5971" t="s">
        <v>1649</v>
      </c>
      <c r="D5971" t="str">
        <f>HYPERLINK("http://service.sap.com/sap/support/notes/1790330","1790330")</f>
        <v>1790330</v>
      </c>
      <c r="E5971">
        <v>1</v>
      </c>
      <c r="F5971" t="s">
        <v>7378</v>
      </c>
    </row>
    <row r="5972" spans="1:6" x14ac:dyDescent="0.25">
      <c r="A5972" t="s">
        <v>6446</v>
      </c>
      <c r="B5972" t="s">
        <v>7379</v>
      </c>
      <c r="C5972" t="s">
        <v>7380</v>
      </c>
      <c r="D5972" t="str">
        <f>HYPERLINK("http://service.sap.com/sap/support/notes/1816202","1816202")</f>
        <v>1816202</v>
      </c>
      <c r="E5972">
        <v>2</v>
      </c>
      <c r="F5972" t="s">
        <v>7381</v>
      </c>
    </row>
    <row r="5973" spans="1:6" x14ac:dyDescent="0.25">
      <c r="A5973" t="s">
        <v>6446</v>
      </c>
      <c r="B5973" t="s">
        <v>1651</v>
      </c>
      <c r="C5973" t="s">
        <v>1652</v>
      </c>
      <c r="D5973" t="str">
        <f>HYPERLINK("http://service.sap.com/sap/support/notes/1808186","1808186")</f>
        <v>1808186</v>
      </c>
      <c r="E5973">
        <v>1</v>
      </c>
      <c r="F5973" t="s">
        <v>7382</v>
      </c>
    </row>
    <row r="5974" spans="1:6" x14ac:dyDescent="0.25">
      <c r="A5974" t="s">
        <v>6446</v>
      </c>
      <c r="B5974" t="s">
        <v>1654</v>
      </c>
      <c r="C5974" t="s">
        <v>1655</v>
      </c>
      <c r="D5974" t="str">
        <f>HYPERLINK("http://service.sap.com/sap/support/notes/1729674","1729674")</f>
        <v>1729674</v>
      </c>
      <c r="E5974">
        <v>6</v>
      </c>
      <c r="F5974" t="s">
        <v>7383</v>
      </c>
    </row>
    <row r="5975" spans="1:6" x14ac:dyDescent="0.25">
      <c r="A5975" t="s">
        <v>6446</v>
      </c>
      <c r="B5975" t="s">
        <v>1657</v>
      </c>
      <c r="C5975" t="s">
        <v>1658</v>
      </c>
      <c r="D5975" t="str">
        <f>HYPERLINK("http://service.sap.com/sap/support/notes/1254294","1254294")</f>
        <v>1254294</v>
      </c>
      <c r="E5975">
        <v>5</v>
      </c>
      <c r="F5975" t="s">
        <v>7384</v>
      </c>
    </row>
    <row r="5976" spans="1:6" x14ac:dyDescent="0.25">
      <c r="A5976" t="s">
        <v>6446</v>
      </c>
      <c r="B5976" t="s">
        <v>7385</v>
      </c>
      <c r="C5976" t="s">
        <v>7386</v>
      </c>
    </row>
    <row r="5977" spans="1:6" x14ac:dyDescent="0.25">
      <c r="A5977" t="s">
        <v>6446</v>
      </c>
      <c r="B5977" t="s">
        <v>7387</v>
      </c>
      <c r="C5977" t="s">
        <v>7388</v>
      </c>
    </row>
    <row r="5978" spans="1:6" x14ac:dyDescent="0.25">
      <c r="A5978" t="s">
        <v>6446</v>
      </c>
      <c r="B5978" t="s">
        <v>7389</v>
      </c>
      <c r="C5978" t="s">
        <v>7390</v>
      </c>
      <c r="D5978" t="str">
        <f>HYPERLINK("http://service.sap.com/sap/support/notes/1802871","1802871")</f>
        <v>1802871</v>
      </c>
      <c r="E5978">
        <v>2</v>
      </c>
      <c r="F5978" t="s">
        <v>7391</v>
      </c>
    </row>
    <row r="5979" spans="1:6" x14ac:dyDescent="0.25">
      <c r="A5979" t="s">
        <v>6446</v>
      </c>
      <c r="B5979" t="s">
        <v>1660</v>
      </c>
      <c r="C5979" t="s">
        <v>210</v>
      </c>
    </row>
    <row r="5980" spans="1:6" x14ac:dyDescent="0.25">
      <c r="A5980" t="s">
        <v>6446</v>
      </c>
      <c r="B5980" t="s">
        <v>1661</v>
      </c>
      <c r="C5980" t="s">
        <v>1662</v>
      </c>
    </row>
    <row r="5981" spans="1:6" x14ac:dyDescent="0.25">
      <c r="A5981" t="s">
        <v>6446</v>
      </c>
      <c r="B5981" t="s">
        <v>1663</v>
      </c>
      <c r="C5981" t="s">
        <v>1664</v>
      </c>
      <c r="D5981" t="str">
        <f>HYPERLINK("http://service.sap.com/sap/support/notes/1815317","1815317")</f>
        <v>1815317</v>
      </c>
      <c r="E5981">
        <v>1</v>
      </c>
      <c r="F5981" t="s">
        <v>7392</v>
      </c>
    </row>
    <row r="5982" spans="1:6" x14ac:dyDescent="0.25">
      <c r="A5982" t="s">
        <v>6446</v>
      </c>
      <c r="B5982" t="s">
        <v>1666</v>
      </c>
      <c r="C5982" t="s">
        <v>1667</v>
      </c>
    </row>
    <row r="5983" spans="1:6" x14ac:dyDescent="0.25">
      <c r="A5983" t="s">
        <v>6446</v>
      </c>
      <c r="B5983" t="s">
        <v>1672</v>
      </c>
      <c r="C5983" t="s">
        <v>1673</v>
      </c>
      <c r="D5983" t="str">
        <f>HYPERLINK("http://service.sap.com/sap/support/notes/1798582","1798582")</f>
        <v>1798582</v>
      </c>
      <c r="E5983">
        <v>2</v>
      </c>
      <c r="F5983" t="s">
        <v>7393</v>
      </c>
    </row>
    <row r="5984" spans="1:6" x14ac:dyDescent="0.25">
      <c r="A5984" t="s">
        <v>6446</v>
      </c>
      <c r="B5984" t="s">
        <v>1682</v>
      </c>
      <c r="C5984" t="s">
        <v>1683</v>
      </c>
      <c r="D5984" t="str">
        <f>HYPERLINK("http://service.sap.com/sap/support/notes/1772157","1772157")</f>
        <v>1772157</v>
      </c>
      <c r="E5984">
        <v>5</v>
      </c>
      <c r="F5984" t="s">
        <v>7394</v>
      </c>
    </row>
    <row r="5985" spans="1:6" x14ac:dyDescent="0.25">
      <c r="A5985" t="s">
        <v>6446</v>
      </c>
      <c r="B5985" t="s">
        <v>1682</v>
      </c>
      <c r="C5985" t="s">
        <v>1683</v>
      </c>
      <c r="D5985" t="str">
        <f>HYPERLINK("http://service.sap.com/sap/support/notes/1790414","1790414")</f>
        <v>1790414</v>
      </c>
      <c r="E5985">
        <v>2</v>
      </c>
      <c r="F5985" t="s">
        <v>7395</v>
      </c>
    </row>
    <row r="5986" spans="1:6" x14ac:dyDescent="0.25">
      <c r="A5986" t="s">
        <v>6446</v>
      </c>
      <c r="B5986" t="s">
        <v>1682</v>
      </c>
      <c r="C5986" t="s">
        <v>1683</v>
      </c>
      <c r="D5986" t="str">
        <f>HYPERLINK("http://service.sap.com/sap/support/notes/1796564","1796564")</f>
        <v>1796564</v>
      </c>
      <c r="E5986">
        <v>3</v>
      </c>
      <c r="F5986" t="s">
        <v>7396</v>
      </c>
    </row>
    <row r="5987" spans="1:6" x14ac:dyDescent="0.25">
      <c r="A5987" t="s">
        <v>6446</v>
      </c>
      <c r="B5987" t="s">
        <v>1682</v>
      </c>
      <c r="C5987" t="s">
        <v>1683</v>
      </c>
      <c r="D5987" t="str">
        <f>HYPERLINK("http://service.sap.com/sap/support/notes/1809662","1809662")</f>
        <v>1809662</v>
      </c>
      <c r="E5987">
        <v>2</v>
      </c>
      <c r="F5987" t="s">
        <v>7397</v>
      </c>
    </row>
    <row r="5988" spans="1:6" x14ac:dyDescent="0.25">
      <c r="A5988" t="s">
        <v>6446</v>
      </c>
      <c r="B5988" t="s">
        <v>1694</v>
      </c>
      <c r="C5988" t="s">
        <v>212</v>
      </c>
      <c r="D5988" t="str">
        <f>HYPERLINK("http://service.sap.com/sap/support/notes/1802992","1802992")</f>
        <v>1802992</v>
      </c>
      <c r="E5988">
        <v>3</v>
      </c>
      <c r="F5988" t="s">
        <v>7398</v>
      </c>
    </row>
    <row r="5989" spans="1:6" x14ac:dyDescent="0.25">
      <c r="A5989" t="s">
        <v>6446</v>
      </c>
      <c r="B5989" t="s">
        <v>1695</v>
      </c>
      <c r="C5989" t="s">
        <v>1696</v>
      </c>
      <c r="D5989" t="str">
        <f>HYPERLINK("http://service.sap.com/sap/support/notes/1780828","1780828")</f>
        <v>1780828</v>
      </c>
      <c r="E5989">
        <v>1</v>
      </c>
      <c r="F5989" t="s">
        <v>7399</v>
      </c>
    </row>
    <row r="5990" spans="1:6" x14ac:dyDescent="0.25">
      <c r="A5990" t="s">
        <v>6446</v>
      </c>
      <c r="B5990" t="s">
        <v>1695</v>
      </c>
      <c r="C5990" t="s">
        <v>1696</v>
      </c>
      <c r="D5990" t="str">
        <f>HYPERLINK("http://service.sap.com/sap/support/notes/1791223","1791223")</f>
        <v>1791223</v>
      </c>
    </row>
    <row r="5991" spans="1:6" x14ac:dyDescent="0.25">
      <c r="A5991" t="s">
        <v>6446</v>
      </c>
      <c r="B5991" t="s">
        <v>1695</v>
      </c>
      <c r="C5991" t="s">
        <v>1696</v>
      </c>
      <c r="D5991" t="str">
        <f>HYPERLINK("http://service.sap.com/sap/support/notes/1791759","1791759")</f>
        <v>1791759</v>
      </c>
    </row>
    <row r="5992" spans="1:6" x14ac:dyDescent="0.25">
      <c r="A5992" t="s">
        <v>6446</v>
      </c>
      <c r="B5992" t="s">
        <v>1695</v>
      </c>
      <c r="C5992" t="s">
        <v>1696</v>
      </c>
      <c r="D5992" t="str">
        <f>HYPERLINK("http://service.sap.com/sap/support/notes/1805829","1805829")</f>
        <v>1805829</v>
      </c>
    </row>
    <row r="5993" spans="1:6" x14ac:dyDescent="0.25">
      <c r="A5993" t="s">
        <v>6446</v>
      </c>
      <c r="B5993" t="s">
        <v>1695</v>
      </c>
      <c r="C5993" t="s">
        <v>1696</v>
      </c>
      <c r="D5993" t="str">
        <f>HYPERLINK("http://service.sap.com/sap/support/notes/1806261","1806261")</f>
        <v>1806261</v>
      </c>
    </row>
    <row r="5994" spans="1:6" x14ac:dyDescent="0.25">
      <c r="A5994" t="s">
        <v>6446</v>
      </c>
      <c r="B5994" t="s">
        <v>1695</v>
      </c>
      <c r="C5994" t="s">
        <v>1696</v>
      </c>
      <c r="D5994" t="str">
        <f>HYPERLINK("http://service.sap.com/sap/support/notes/1811591","1811591")</f>
        <v>1811591</v>
      </c>
    </row>
    <row r="5995" spans="1:6" x14ac:dyDescent="0.25">
      <c r="A5995" t="s">
        <v>6446</v>
      </c>
      <c r="B5995" t="s">
        <v>1695</v>
      </c>
      <c r="C5995" t="s">
        <v>1696</v>
      </c>
      <c r="D5995" t="str">
        <f>HYPERLINK("http://service.sap.com/sap/support/notes/1815460","1815460")</f>
        <v>1815460</v>
      </c>
    </row>
    <row r="5996" spans="1:6" x14ac:dyDescent="0.25">
      <c r="A5996" t="s">
        <v>6446</v>
      </c>
      <c r="B5996" t="s">
        <v>1695</v>
      </c>
      <c r="C5996" t="s">
        <v>1696</v>
      </c>
      <c r="D5996" t="str">
        <f>HYPERLINK("http://service.sap.com/sap/support/notes/1817067","1817067")</f>
        <v>1817067</v>
      </c>
      <c r="E5996">
        <v>2</v>
      </c>
      <c r="F5996" t="s">
        <v>7400</v>
      </c>
    </row>
    <row r="5997" spans="1:6" x14ac:dyDescent="0.25">
      <c r="A5997" t="s">
        <v>6446</v>
      </c>
      <c r="B5997" t="s">
        <v>1695</v>
      </c>
      <c r="C5997" t="s">
        <v>1696</v>
      </c>
      <c r="D5997" t="str">
        <f>HYPERLINK("http://service.sap.com/sap/support/notes/1824059","1824059")</f>
        <v>1824059</v>
      </c>
    </row>
    <row r="5998" spans="1:6" x14ac:dyDescent="0.25">
      <c r="A5998" t="s">
        <v>6446</v>
      </c>
      <c r="B5998" t="s">
        <v>1695</v>
      </c>
      <c r="C5998" t="s">
        <v>1696</v>
      </c>
      <c r="D5998" t="str">
        <f>HYPERLINK("http://service.sap.com/sap/support/notes/1829730","1829730")</f>
        <v>1829730</v>
      </c>
    </row>
    <row r="5999" spans="1:6" x14ac:dyDescent="0.25">
      <c r="A5999" t="s">
        <v>6446</v>
      </c>
      <c r="B5999" t="s">
        <v>1695</v>
      </c>
      <c r="C5999" t="s">
        <v>1696</v>
      </c>
      <c r="D5999" t="str">
        <f>HYPERLINK("http://service.sap.com/sap/support/notes/1830763","1830763")</f>
        <v>1830763</v>
      </c>
      <c r="E5999">
        <v>1</v>
      </c>
      <c r="F5999" t="s">
        <v>7401</v>
      </c>
    </row>
    <row r="6000" spans="1:6" x14ac:dyDescent="0.25">
      <c r="A6000" t="s">
        <v>6446</v>
      </c>
      <c r="B6000" t="s">
        <v>1714</v>
      </c>
      <c r="C6000" t="s">
        <v>1715</v>
      </c>
      <c r="D6000" t="str">
        <f>HYPERLINK("http://service.sap.com/sap/support/notes/1792225","1792225")</f>
        <v>1792225</v>
      </c>
      <c r="E6000">
        <v>1</v>
      </c>
      <c r="F6000" t="s">
        <v>7402</v>
      </c>
    </row>
    <row r="6001" spans="1:6" x14ac:dyDescent="0.25">
      <c r="A6001" t="s">
        <v>6446</v>
      </c>
      <c r="B6001" t="s">
        <v>1714</v>
      </c>
      <c r="C6001" t="s">
        <v>1715</v>
      </c>
      <c r="D6001" t="str">
        <f>HYPERLINK("http://service.sap.com/sap/support/notes/1812580","1812580")</f>
        <v>1812580</v>
      </c>
      <c r="E6001">
        <v>2</v>
      </c>
      <c r="F6001" t="s">
        <v>7403</v>
      </c>
    </row>
    <row r="6002" spans="1:6" x14ac:dyDescent="0.25">
      <c r="A6002" t="s">
        <v>6446</v>
      </c>
      <c r="B6002" t="s">
        <v>1720</v>
      </c>
      <c r="C6002" t="s">
        <v>1721</v>
      </c>
      <c r="D6002" t="str">
        <f>HYPERLINK("http://service.sap.com/sap/support/notes/1760723","1760723")</f>
        <v>1760723</v>
      </c>
      <c r="E6002">
        <v>3</v>
      </c>
      <c r="F6002" t="s">
        <v>7404</v>
      </c>
    </row>
    <row r="6003" spans="1:6" x14ac:dyDescent="0.25">
      <c r="A6003" t="s">
        <v>6446</v>
      </c>
      <c r="B6003" t="s">
        <v>1720</v>
      </c>
      <c r="C6003" t="s">
        <v>1721</v>
      </c>
      <c r="D6003" t="str">
        <f>HYPERLINK("http://service.sap.com/sap/support/notes/1771297","1771297")</f>
        <v>1771297</v>
      </c>
      <c r="E6003">
        <v>2</v>
      </c>
      <c r="F6003" t="s">
        <v>7405</v>
      </c>
    </row>
    <row r="6004" spans="1:6" x14ac:dyDescent="0.25">
      <c r="A6004" t="s">
        <v>6446</v>
      </c>
      <c r="B6004" t="s">
        <v>1720</v>
      </c>
      <c r="C6004" t="s">
        <v>1721</v>
      </c>
      <c r="D6004" t="str">
        <f>HYPERLINK("http://service.sap.com/sap/support/notes/1786175","1786175")</f>
        <v>1786175</v>
      </c>
      <c r="E6004">
        <v>2</v>
      </c>
      <c r="F6004" t="s">
        <v>7406</v>
      </c>
    </row>
    <row r="6005" spans="1:6" x14ac:dyDescent="0.25">
      <c r="A6005" t="s">
        <v>6446</v>
      </c>
      <c r="B6005" t="s">
        <v>1720</v>
      </c>
      <c r="C6005" t="s">
        <v>1721</v>
      </c>
      <c r="D6005" t="str">
        <f>HYPERLINK("http://service.sap.com/sap/support/notes/1795006","1795006")</f>
        <v>1795006</v>
      </c>
      <c r="E6005">
        <v>3</v>
      </c>
      <c r="F6005" t="s">
        <v>7407</v>
      </c>
    </row>
    <row r="6006" spans="1:6" x14ac:dyDescent="0.25">
      <c r="A6006" t="s">
        <v>6446</v>
      </c>
      <c r="B6006" t="s">
        <v>1720</v>
      </c>
      <c r="C6006" t="s">
        <v>1721</v>
      </c>
      <c r="D6006" t="str">
        <f>HYPERLINK("http://service.sap.com/sap/support/notes/1799390","1799390")</f>
        <v>1799390</v>
      </c>
      <c r="E6006">
        <v>6</v>
      </c>
      <c r="F6006" t="s">
        <v>7408</v>
      </c>
    </row>
    <row r="6007" spans="1:6" x14ac:dyDescent="0.25">
      <c r="A6007" t="s">
        <v>6446</v>
      </c>
      <c r="B6007" t="s">
        <v>1720</v>
      </c>
      <c r="C6007" t="s">
        <v>1721</v>
      </c>
      <c r="D6007" t="str">
        <f>HYPERLINK("http://service.sap.com/sap/support/notes/1811604","1811604")</f>
        <v>1811604</v>
      </c>
      <c r="E6007">
        <v>2</v>
      </c>
      <c r="F6007" t="s">
        <v>7409</v>
      </c>
    </row>
    <row r="6008" spans="1:6" x14ac:dyDescent="0.25">
      <c r="A6008" t="s">
        <v>6446</v>
      </c>
      <c r="B6008" t="s">
        <v>1720</v>
      </c>
      <c r="C6008" t="s">
        <v>1721</v>
      </c>
      <c r="D6008" t="str">
        <f>HYPERLINK("http://service.sap.com/sap/support/notes/1812413","1812413")</f>
        <v>1812413</v>
      </c>
      <c r="E6008">
        <v>3</v>
      </c>
      <c r="F6008" t="s">
        <v>7410</v>
      </c>
    </row>
    <row r="6009" spans="1:6" x14ac:dyDescent="0.25">
      <c r="A6009" t="s">
        <v>6446</v>
      </c>
      <c r="B6009" t="s">
        <v>1720</v>
      </c>
      <c r="C6009" t="s">
        <v>1721</v>
      </c>
      <c r="D6009" t="str">
        <f>HYPERLINK("http://service.sap.com/sap/support/notes/1813252","1813252")</f>
        <v>1813252</v>
      </c>
      <c r="E6009">
        <v>1</v>
      </c>
      <c r="F6009" t="s">
        <v>7411</v>
      </c>
    </row>
    <row r="6010" spans="1:6" x14ac:dyDescent="0.25">
      <c r="A6010" t="s">
        <v>6446</v>
      </c>
      <c r="B6010" t="s">
        <v>7412</v>
      </c>
      <c r="C6010" t="s">
        <v>7413</v>
      </c>
      <c r="D6010" t="str">
        <f>HYPERLINK("http://service.sap.com/sap/support/notes/1769685","1769685")</f>
        <v>1769685</v>
      </c>
      <c r="E6010">
        <v>3</v>
      </c>
      <c r="F6010" t="s">
        <v>7414</v>
      </c>
    </row>
    <row r="6011" spans="1:6" x14ac:dyDescent="0.25">
      <c r="A6011" t="s">
        <v>6446</v>
      </c>
      <c r="B6011" t="s">
        <v>7412</v>
      </c>
      <c r="C6011" t="s">
        <v>7413</v>
      </c>
      <c r="D6011" t="str">
        <f>HYPERLINK("http://service.sap.com/sap/support/notes/1809614","1809614")</f>
        <v>1809614</v>
      </c>
      <c r="E6011">
        <v>1</v>
      </c>
      <c r="F6011" t="s">
        <v>7415</v>
      </c>
    </row>
    <row r="6012" spans="1:6" x14ac:dyDescent="0.25">
      <c r="A6012" t="s">
        <v>6446</v>
      </c>
      <c r="B6012" t="s">
        <v>1728</v>
      </c>
      <c r="C6012" t="s">
        <v>1729</v>
      </c>
      <c r="D6012" t="str">
        <f>HYPERLINK("http://service.sap.com/sap/support/notes/1796306","1796306")</f>
        <v>1796306</v>
      </c>
      <c r="E6012">
        <v>1</v>
      </c>
      <c r="F6012" t="s">
        <v>7416</v>
      </c>
    </row>
    <row r="6013" spans="1:6" x14ac:dyDescent="0.25">
      <c r="A6013" t="s">
        <v>6446</v>
      </c>
      <c r="B6013" t="s">
        <v>1728</v>
      </c>
      <c r="C6013" t="s">
        <v>1729</v>
      </c>
      <c r="D6013" t="str">
        <f>HYPERLINK("http://service.sap.com/sap/support/notes/1809915","1809915")</f>
        <v>1809915</v>
      </c>
      <c r="E6013">
        <v>1</v>
      </c>
      <c r="F6013" t="s">
        <v>7417</v>
      </c>
    </row>
    <row r="6014" spans="1:6" x14ac:dyDescent="0.25">
      <c r="A6014" t="s">
        <v>6446</v>
      </c>
      <c r="B6014" t="s">
        <v>1728</v>
      </c>
      <c r="C6014" t="s">
        <v>1729</v>
      </c>
      <c r="D6014" t="str">
        <f>HYPERLINK("http://service.sap.com/sap/support/notes/1814587","1814587")</f>
        <v>1814587</v>
      </c>
      <c r="E6014">
        <v>1</v>
      </c>
      <c r="F6014" t="s">
        <v>7418</v>
      </c>
    </row>
    <row r="6015" spans="1:6" x14ac:dyDescent="0.25">
      <c r="A6015" t="s">
        <v>6446</v>
      </c>
      <c r="B6015" t="s">
        <v>1728</v>
      </c>
      <c r="C6015" t="s">
        <v>1729</v>
      </c>
      <c r="D6015" t="str">
        <f>HYPERLINK("http://service.sap.com/sap/support/notes/1825267","1825267")</f>
        <v>1825267</v>
      </c>
      <c r="E6015">
        <v>2</v>
      </c>
      <c r="F6015" t="s">
        <v>7419</v>
      </c>
    </row>
    <row r="6016" spans="1:6" x14ac:dyDescent="0.25">
      <c r="A6016" t="s">
        <v>6446</v>
      </c>
      <c r="B6016" t="s">
        <v>1728</v>
      </c>
      <c r="C6016" t="s">
        <v>1729</v>
      </c>
      <c r="D6016" t="str">
        <f>HYPERLINK("http://service.sap.com/sap/support/notes/1829762","1829762")</f>
        <v>1829762</v>
      </c>
      <c r="E6016">
        <v>2</v>
      </c>
      <c r="F6016" t="s">
        <v>7420</v>
      </c>
    </row>
    <row r="6017" spans="1:6" x14ac:dyDescent="0.25">
      <c r="A6017" t="s">
        <v>6446</v>
      </c>
      <c r="B6017" t="s">
        <v>1728</v>
      </c>
      <c r="C6017" t="s">
        <v>1729</v>
      </c>
      <c r="D6017" t="str">
        <f>HYPERLINK("http://service.sap.com/sap/support/notes/1830167","1830167")</f>
        <v>1830167</v>
      </c>
      <c r="E6017">
        <v>1</v>
      </c>
      <c r="F6017" t="s">
        <v>7421</v>
      </c>
    </row>
    <row r="6018" spans="1:6" x14ac:dyDescent="0.25">
      <c r="A6018" t="s">
        <v>6446</v>
      </c>
      <c r="B6018" t="s">
        <v>1734</v>
      </c>
      <c r="C6018" t="s">
        <v>151</v>
      </c>
    </row>
    <row r="6019" spans="1:6" x14ac:dyDescent="0.25">
      <c r="A6019" t="s">
        <v>6446</v>
      </c>
      <c r="B6019" t="s">
        <v>1736</v>
      </c>
      <c r="C6019" t="s">
        <v>1737</v>
      </c>
      <c r="D6019" t="str">
        <f>HYPERLINK("http://service.sap.com/sap/support/notes/1799921","1799921")</f>
        <v>1799921</v>
      </c>
      <c r="E6019">
        <v>3</v>
      </c>
      <c r="F6019" t="s">
        <v>7422</v>
      </c>
    </row>
    <row r="6020" spans="1:6" x14ac:dyDescent="0.25">
      <c r="A6020" t="s">
        <v>6446</v>
      </c>
      <c r="B6020" t="s">
        <v>5083</v>
      </c>
      <c r="C6020" t="s">
        <v>5084</v>
      </c>
      <c r="D6020" t="str">
        <f>HYPERLINK("http://service.sap.com/sap/support/notes/1773156","1773156")</f>
        <v>1773156</v>
      </c>
      <c r="E6020">
        <v>2</v>
      </c>
      <c r="F6020" t="s">
        <v>7423</v>
      </c>
    </row>
    <row r="6021" spans="1:6" x14ac:dyDescent="0.25">
      <c r="A6021" t="s">
        <v>6446</v>
      </c>
      <c r="B6021" t="s">
        <v>7424</v>
      </c>
      <c r="C6021" t="s">
        <v>7425</v>
      </c>
      <c r="D6021" t="str">
        <f>HYPERLINK("http://service.sap.com/sap/support/notes/1792933","1792933")</f>
        <v>1792933</v>
      </c>
      <c r="E6021">
        <v>3</v>
      </c>
      <c r="F6021" t="s">
        <v>7426</v>
      </c>
    </row>
    <row r="6022" spans="1:6" x14ac:dyDescent="0.25">
      <c r="A6022" t="s">
        <v>6446</v>
      </c>
      <c r="B6022" t="s">
        <v>7424</v>
      </c>
      <c r="C6022" t="s">
        <v>7425</v>
      </c>
      <c r="D6022" t="str">
        <f>HYPERLINK("http://service.sap.com/sap/support/notes/1816343","1816343")</f>
        <v>1816343</v>
      </c>
      <c r="E6022">
        <v>4</v>
      </c>
      <c r="F6022" t="s">
        <v>7427</v>
      </c>
    </row>
    <row r="6023" spans="1:6" x14ac:dyDescent="0.25">
      <c r="A6023" t="s">
        <v>6446</v>
      </c>
      <c r="B6023" t="s">
        <v>1739</v>
      </c>
      <c r="C6023" t="s">
        <v>1740</v>
      </c>
      <c r="D6023" t="str">
        <f>HYPERLINK("http://service.sap.com/sap/support/notes/1607737","1607737")</f>
        <v>1607737</v>
      </c>
      <c r="E6023">
        <v>4</v>
      </c>
      <c r="F6023" t="s">
        <v>7428</v>
      </c>
    </row>
    <row r="6024" spans="1:6" x14ac:dyDescent="0.25">
      <c r="A6024" t="s">
        <v>6446</v>
      </c>
      <c r="B6024" t="s">
        <v>7429</v>
      </c>
      <c r="C6024" t="s">
        <v>7430</v>
      </c>
      <c r="D6024" t="str">
        <f>HYPERLINK("http://service.sap.com/sap/support/notes/1814093","1814093")</f>
        <v>1814093</v>
      </c>
      <c r="E6024">
        <v>6</v>
      </c>
      <c r="F6024" t="s">
        <v>7431</v>
      </c>
    </row>
    <row r="6025" spans="1:6" x14ac:dyDescent="0.25">
      <c r="A6025" t="s">
        <v>6446</v>
      </c>
      <c r="B6025" t="s">
        <v>1754</v>
      </c>
      <c r="C6025" t="s">
        <v>1755</v>
      </c>
      <c r="D6025" t="str">
        <f>HYPERLINK("http://service.sap.com/sap/support/notes/1777374","1777374")</f>
        <v>1777374</v>
      </c>
      <c r="E6025">
        <v>2</v>
      </c>
      <c r="F6025" t="s">
        <v>5096</v>
      </c>
    </row>
    <row r="6026" spans="1:6" x14ac:dyDescent="0.25">
      <c r="A6026" t="s">
        <v>6446</v>
      </c>
      <c r="B6026" t="s">
        <v>1754</v>
      </c>
      <c r="C6026" t="s">
        <v>1755</v>
      </c>
      <c r="D6026" t="str">
        <f>HYPERLINK("http://service.sap.com/sap/support/notes/1812157","1812157")</f>
        <v>1812157</v>
      </c>
      <c r="E6026">
        <v>1</v>
      </c>
      <c r="F6026" t="s">
        <v>7432</v>
      </c>
    </row>
    <row r="6027" spans="1:6" x14ac:dyDescent="0.25">
      <c r="A6027" t="s">
        <v>6446</v>
      </c>
      <c r="B6027" t="s">
        <v>1761</v>
      </c>
      <c r="C6027" t="s">
        <v>1762</v>
      </c>
    </row>
    <row r="6028" spans="1:6" x14ac:dyDescent="0.25">
      <c r="A6028" t="s">
        <v>6446</v>
      </c>
      <c r="B6028" t="s">
        <v>7433</v>
      </c>
      <c r="C6028" t="s">
        <v>1784</v>
      </c>
      <c r="D6028" t="str">
        <f>HYPERLINK("http://service.sap.com/sap/support/notes/1806763","1806763")</f>
        <v>1806763</v>
      </c>
      <c r="E6028">
        <v>4</v>
      </c>
      <c r="F6028" t="s">
        <v>7434</v>
      </c>
    </row>
    <row r="6029" spans="1:6" x14ac:dyDescent="0.25">
      <c r="A6029" t="s">
        <v>6446</v>
      </c>
      <c r="B6029" t="s">
        <v>7435</v>
      </c>
      <c r="C6029" t="s">
        <v>7436</v>
      </c>
      <c r="D6029" t="str">
        <f>HYPERLINK("http://service.sap.com/sap/support/notes/1821270","1821270")</f>
        <v>1821270</v>
      </c>
      <c r="E6029">
        <v>1</v>
      </c>
      <c r="F6029" t="s">
        <v>7437</v>
      </c>
    </row>
    <row r="6030" spans="1:6" x14ac:dyDescent="0.25">
      <c r="A6030" t="s">
        <v>6446</v>
      </c>
      <c r="B6030" t="s">
        <v>1770</v>
      </c>
      <c r="C6030" t="s">
        <v>1771</v>
      </c>
      <c r="D6030" t="str">
        <f>HYPERLINK("http://service.sap.com/sap/support/notes/1721464","1721464")</f>
        <v>1721464</v>
      </c>
      <c r="E6030">
        <v>4</v>
      </c>
      <c r="F6030" t="s">
        <v>7438</v>
      </c>
    </row>
    <row r="6031" spans="1:6" x14ac:dyDescent="0.25">
      <c r="A6031" t="s">
        <v>6446</v>
      </c>
      <c r="B6031" t="s">
        <v>1770</v>
      </c>
      <c r="C6031" t="s">
        <v>1771</v>
      </c>
      <c r="D6031" t="str">
        <f>HYPERLINK("http://service.sap.com/sap/support/notes/1820581","1820581")</f>
        <v>1820581</v>
      </c>
      <c r="E6031">
        <v>2</v>
      </c>
      <c r="F6031" t="s">
        <v>7439</v>
      </c>
    </row>
    <row r="6032" spans="1:6" x14ac:dyDescent="0.25">
      <c r="A6032" t="s">
        <v>6446</v>
      </c>
      <c r="B6032" t="s">
        <v>1774</v>
      </c>
      <c r="C6032" t="s">
        <v>1775</v>
      </c>
    </row>
    <row r="6033" spans="1:6" x14ac:dyDescent="0.25">
      <c r="A6033" t="s">
        <v>6446</v>
      </c>
      <c r="B6033" t="s">
        <v>1778</v>
      </c>
      <c r="C6033" t="s">
        <v>1779</v>
      </c>
      <c r="D6033" t="str">
        <f>HYPERLINK("http://service.sap.com/sap/support/notes/1802875","1802875")</f>
        <v>1802875</v>
      </c>
      <c r="E6033">
        <v>1</v>
      </c>
      <c r="F6033" t="s">
        <v>7440</v>
      </c>
    </row>
    <row r="6034" spans="1:6" x14ac:dyDescent="0.25">
      <c r="A6034" t="s">
        <v>6446</v>
      </c>
      <c r="B6034" t="s">
        <v>1783</v>
      </c>
      <c r="C6034" t="s">
        <v>1784</v>
      </c>
      <c r="D6034" t="str">
        <f>HYPERLINK("http://service.sap.com/sap/support/notes/1602712","1602712")</f>
        <v>1602712</v>
      </c>
      <c r="E6034">
        <v>5</v>
      </c>
      <c r="F6034" t="s">
        <v>7441</v>
      </c>
    </row>
    <row r="6035" spans="1:6" x14ac:dyDescent="0.25">
      <c r="A6035" t="s">
        <v>6446</v>
      </c>
      <c r="B6035" t="s">
        <v>1783</v>
      </c>
      <c r="C6035" t="s">
        <v>1784</v>
      </c>
      <c r="D6035" t="str">
        <f>HYPERLINK("http://service.sap.com/sap/support/notes/1803634","1803634")</f>
        <v>1803634</v>
      </c>
      <c r="E6035">
        <v>1</v>
      </c>
      <c r="F6035" t="s">
        <v>7442</v>
      </c>
    </row>
    <row r="6036" spans="1:6" x14ac:dyDescent="0.25">
      <c r="A6036" t="s">
        <v>6446</v>
      </c>
      <c r="B6036" t="s">
        <v>1783</v>
      </c>
      <c r="C6036" t="s">
        <v>1784</v>
      </c>
      <c r="D6036" t="str">
        <f>HYPERLINK("http://service.sap.com/sap/support/notes/1808935","1808935")</f>
        <v>1808935</v>
      </c>
      <c r="E6036">
        <v>3</v>
      </c>
      <c r="F6036" t="s">
        <v>7443</v>
      </c>
    </row>
    <row r="6037" spans="1:6" x14ac:dyDescent="0.25">
      <c r="A6037" t="s">
        <v>6446</v>
      </c>
      <c r="B6037" t="s">
        <v>1783</v>
      </c>
      <c r="C6037" t="s">
        <v>1784</v>
      </c>
      <c r="D6037" t="str">
        <f>HYPERLINK("http://service.sap.com/sap/support/notes/1808981","1808981")</f>
        <v>1808981</v>
      </c>
      <c r="E6037">
        <v>2</v>
      </c>
      <c r="F6037" t="s">
        <v>7444</v>
      </c>
    </row>
    <row r="6038" spans="1:6" x14ac:dyDescent="0.25">
      <c r="A6038" t="s">
        <v>6446</v>
      </c>
      <c r="B6038" t="s">
        <v>1783</v>
      </c>
      <c r="C6038" t="s">
        <v>1784</v>
      </c>
      <c r="D6038" t="str">
        <f>HYPERLINK("http://service.sap.com/sap/support/notes/1819752","1819752")</f>
        <v>1819752</v>
      </c>
      <c r="E6038">
        <v>4</v>
      </c>
      <c r="F6038" t="s">
        <v>7445</v>
      </c>
    </row>
    <row r="6039" spans="1:6" x14ac:dyDescent="0.25">
      <c r="A6039" t="s">
        <v>6446</v>
      </c>
      <c r="B6039" t="s">
        <v>1786</v>
      </c>
      <c r="C6039" t="s">
        <v>29</v>
      </c>
      <c r="D6039" t="str">
        <f>HYPERLINK("http://service.sap.com/sap/support/notes/1819806","1819806")</f>
        <v>1819806</v>
      </c>
      <c r="E6039">
        <v>1</v>
      </c>
      <c r="F6039" t="s">
        <v>7446</v>
      </c>
    </row>
    <row r="6040" spans="1:6" x14ac:dyDescent="0.25">
      <c r="A6040" t="s">
        <v>6446</v>
      </c>
      <c r="B6040" t="s">
        <v>1789</v>
      </c>
      <c r="C6040" t="s">
        <v>1790</v>
      </c>
      <c r="D6040" t="str">
        <f>HYPERLINK("http://service.sap.com/sap/support/notes/1785629","1785629")</f>
        <v>1785629</v>
      </c>
      <c r="E6040">
        <v>2</v>
      </c>
      <c r="F6040" t="s">
        <v>7447</v>
      </c>
    </row>
    <row r="6041" spans="1:6" x14ac:dyDescent="0.25">
      <c r="A6041" t="s">
        <v>6446</v>
      </c>
      <c r="B6041" t="s">
        <v>1789</v>
      </c>
      <c r="C6041" t="s">
        <v>1790</v>
      </c>
      <c r="D6041" t="str">
        <f>HYPERLINK("http://service.sap.com/sap/support/notes/1794380","1794380")</f>
        <v>1794380</v>
      </c>
      <c r="E6041">
        <v>1</v>
      </c>
      <c r="F6041" t="s">
        <v>7448</v>
      </c>
    </row>
    <row r="6042" spans="1:6" x14ac:dyDescent="0.25">
      <c r="A6042" t="s">
        <v>6446</v>
      </c>
      <c r="B6042" t="s">
        <v>1789</v>
      </c>
      <c r="C6042" t="s">
        <v>1790</v>
      </c>
      <c r="D6042" t="str">
        <f>HYPERLINK("http://service.sap.com/sap/support/notes/1807187","1807187")</f>
        <v>1807187</v>
      </c>
      <c r="E6042">
        <v>1</v>
      </c>
      <c r="F6042" t="s">
        <v>7449</v>
      </c>
    </row>
    <row r="6043" spans="1:6" x14ac:dyDescent="0.25">
      <c r="A6043" t="s">
        <v>6446</v>
      </c>
      <c r="B6043" t="s">
        <v>1798</v>
      </c>
      <c r="C6043" t="s">
        <v>1799</v>
      </c>
      <c r="D6043" t="str">
        <f>HYPERLINK("http://service.sap.com/sap/support/notes/1799522","1799522")</f>
        <v>1799522</v>
      </c>
      <c r="E6043">
        <v>2</v>
      </c>
      <c r="F6043" t="s">
        <v>7450</v>
      </c>
    </row>
    <row r="6044" spans="1:6" x14ac:dyDescent="0.25">
      <c r="A6044" t="s">
        <v>6446</v>
      </c>
      <c r="B6044" t="s">
        <v>1798</v>
      </c>
      <c r="C6044" t="s">
        <v>1799</v>
      </c>
      <c r="D6044" t="str">
        <f>HYPERLINK("http://service.sap.com/sap/support/notes/1812106","1812106")</f>
        <v>1812106</v>
      </c>
      <c r="E6044">
        <v>1</v>
      </c>
      <c r="F6044" t="s">
        <v>7451</v>
      </c>
    </row>
    <row r="6045" spans="1:6" x14ac:dyDescent="0.25">
      <c r="A6045" t="s">
        <v>6446</v>
      </c>
      <c r="B6045" t="s">
        <v>7452</v>
      </c>
      <c r="C6045" t="s">
        <v>7453</v>
      </c>
      <c r="D6045" t="str">
        <f>HYPERLINK("http://service.sap.com/sap/support/notes/1824671","1824671")</f>
        <v>1824671</v>
      </c>
      <c r="E6045">
        <v>4</v>
      </c>
      <c r="F6045" t="s">
        <v>7454</v>
      </c>
    </row>
    <row r="6046" spans="1:6" x14ac:dyDescent="0.25">
      <c r="A6046" t="s">
        <v>6446</v>
      </c>
      <c r="B6046" t="s">
        <v>61</v>
      </c>
      <c r="C6046" t="s">
        <v>62</v>
      </c>
    </row>
    <row r="6047" spans="1:6" x14ac:dyDescent="0.25">
      <c r="A6047" t="s">
        <v>6446</v>
      </c>
      <c r="B6047" t="s">
        <v>1807</v>
      </c>
      <c r="C6047" t="s">
        <v>1808</v>
      </c>
      <c r="D6047" t="str">
        <f>HYPERLINK("http://service.sap.com/sap/support/notes/1780984","1780984")</f>
        <v>1780984</v>
      </c>
      <c r="E6047">
        <v>4</v>
      </c>
      <c r="F6047" t="s">
        <v>7455</v>
      </c>
    </row>
    <row r="6048" spans="1:6" x14ac:dyDescent="0.25">
      <c r="A6048" t="s">
        <v>6446</v>
      </c>
      <c r="B6048" t="s">
        <v>1807</v>
      </c>
      <c r="C6048" t="s">
        <v>1808</v>
      </c>
      <c r="D6048" t="str">
        <f>HYPERLINK("http://service.sap.com/sap/support/notes/1782181","1782181")</f>
        <v>1782181</v>
      </c>
      <c r="E6048">
        <v>2</v>
      </c>
      <c r="F6048" t="s">
        <v>7456</v>
      </c>
    </row>
    <row r="6049" spans="1:6" x14ac:dyDescent="0.25">
      <c r="A6049" t="s">
        <v>6446</v>
      </c>
      <c r="B6049" t="s">
        <v>1807</v>
      </c>
      <c r="C6049" t="s">
        <v>1808</v>
      </c>
      <c r="D6049" t="str">
        <f>HYPERLINK("http://service.sap.com/sap/support/notes/1794124","1794124")</f>
        <v>1794124</v>
      </c>
      <c r="E6049">
        <v>2</v>
      </c>
      <c r="F6049" t="s">
        <v>7457</v>
      </c>
    </row>
    <row r="6050" spans="1:6" x14ac:dyDescent="0.25">
      <c r="A6050" t="s">
        <v>6446</v>
      </c>
      <c r="B6050" t="s">
        <v>1807</v>
      </c>
      <c r="C6050" t="s">
        <v>1808</v>
      </c>
      <c r="D6050" t="str">
        <f>HYPERLINK("http://service.sap.com/sap/support/notes/1798317","1798317")</f>
        <v>1798317</v>
      </c>
      <c r="E6050">
        <v>1</v>
      </c>
      <c r="F6050" t="s">
        <v>7458</v>
      </c>
    </row>
    <row r="6051" spans="1:6" x14ac:dyDescent="0.25">
      <c r="A6051" t="s">
        <v>6446</v>
      </c>
      <c r="B6051" t="s">
        <v>1807</v>
      </c>
      <c r="C6051" t="s">
        <v>1808</v>
      </c>
      <c r="D6051" t="str">
        <f>HYPERLINK("http://service.sap.com/sap/support/notes/1798415","1798415")</f>
        <v>1798415</v>
      </c>
      <c r="E6051">
        <v>1</v>
      </c>
      <c r="F6051" t="s">
        <v>7459</v>
      </c>
    </row>
    <row r="6052" spans="1:6" x14ac:dyDescent="0.25">
      <c r="A6052" t="s">
        <v>6446</v>
      </c>
      <c r="B6052" t="s">
        <v>1807</v>
      </c>
      <c r="C6052" t="s">
        <v>1808</v>
      </c>
      <c r="D6052" t="str">
        <f>HYPERLINK("http://service.sap.com/sap/support/notes/1798578","1798578")</f>
        <v>1798578</v>
      </c>
      <c r="E6052">
        <v>1</v>
      </c>
      <c r="F6052" t="s">
        <v>7460</v>
      </c>
    </row>
    <row r="6053" spans="1:6" x14ac:dyDescent="0.25">
      <c r="A6053" t="s">
        <v>6446</v>
      </c>
      <c r="B6053" t="s">
        <v>1807</v>
      </c>
      <c r="C6053" t="s">
        <v>1808</v>
      </c>
      <c r="D6053" t="str">
        <f>HYPERLINK("http://service.sap.com/sap/support/notes/1799833","1799833")</f>
        <v>1799833</v>
      </c>
      <c r="E6053">
        <v>2</v>
      </c>
      <c r="F6053" t="s">
        <v>7461</v>
      </c>
    </row>
    <row r="6054" spans="1:6" x14ac:dyDescent="0.25">
      <c r="A6054" t="s">
        <v>6446</v>
      </c>
      <c r="B6054" t="s">
        <v>1807</v>
      </c>
      <c r="C6054" t="s">
        <v>1808</v>
      </c>
      <c r="D6054" t="str">
        <f>HYPERLINK("http://service.sap.com/sap/support/notes/1800256","1800256")</f>
        <v>1800256</v>
      </c>
      <c r="E6054">
        <v>1</v>
      </c>
      <c r="F6054" t="s">
        <v>7462</v>
      </c>
    </row>
    <row r="6055" spans="1:6" x14ac:dyDescent="0.25">
      <c r="A6055" t="s">
        <v>6446</v>
      </c>
      <c r="B6055" t="s">
        <v>1807</v>
      </c>
      <c r="C6055" t="s">
        <v>1808</v>
      </c>
      <c r="D6055" t="str">
        <f>HYPERLINK("http://service.sap.com/sap/support/notes/1800260","1800260")</f>
        <v>1800260</v>
      </c>
      <c r="E6055">
        <v>1</v>
      </c>
      <c r="F6055" t="s">
        <v>7463</v>
      </c>
    </row>
    <row r="6056" spans="1:6" x14ac:dyDescent="0.25">
      <c r="A6056" t="s">
        <v>6446</v>
      </c>
      <c r="B6056" t="s">
        <v>1807</v>
      </c>
      <c r="C6056" t="s">
        <v>1808</v>
      </c>
      <c r="D6056" t="str">
        <f>HYPERLINK("http://service.sap.com/sap/support/notes/1800703","1800703")</f>
        <v>1800703</v>
      </c>
      <c r="E6056">
        <v>1</v>
      </c>
      <c r="F6056" t="s">
        <v>7464</v>
      </c>
    </row>
    <row r="6057" spans="1:6" x14ac:dyDescent="0.25">
      <c r="A6057" t="s">
        <v>6446</v>
      </c>
      <c r="B6057" t="s">
        <v>1807</v>
      </c>
      <c r="C6057" t="s">
        <v>1808</v>
      </c>
      <c r="D6057" t="str">
        <f>HYPERLINK("http://service.sap.com/sap/support/notes/1800959","1800959")</f>
        <v>1800959</v>
      </c>
      <c r="E6057">
        <v>1</v>
      </c>
      <c r="F6057" t="s">
        <v>7465</v>
      </c>
    </row>
    <row r="6058" spans="1:6" x14ac:dyDescent="0.25">
      <c r="A6058" t="s">
        <v>6446</v>
      </c>
      <c r="B6058" t="s">
        <v>1807</v>
      </c>
      <c r="C6058" t="s">
        <v>1808</v>
      </c>
      <c r="D6058" t="str">
        <f>HYPERLINK("http://service.sap.com/sap/support/notes/1801356","1801356")</f>
        <v>1801356</v>
      </c>
      <c r="E6058">
        <v>1</v>
      </c>
      <c r="F6058" t="s">
        <v>7466</v>
      </c>
    </row>
    <row r="6059" spans="1:6" x14ac:dyDescent="0.25">
      <c r="A6059" t="s">
        <v>6446</v>
      </c>
      <c r="B6059" t="s">
        <v>1807</v>
      </c>
      <c r="C6059" t="s">
        <v>1808</v>
      </c>
      <c r="D6059" t="str">
        <f>HYPERLINK("http://service.sap.com/sap/support/notes/1801941","1801941")</f>
        <v>1801941</v>
      </c>
      <c r="E6059">
        <v>2</v>
      </c>
      <c r="F6059" t="s">
        <v>7467</v>
      </c>
    </row>
    <row r="6060" spans="1:6" x14ac:dyDescent="0.25">
      <c r="A6060" t="s">
        <v>6446</v>
      </c>
      <c r="B6060" t="s">
        <v>1807</v>
      </c>
      <c r="C6060" t="s">
        <v>1808</v>
      </c>
      <c r="D6060" t="str">
        <f>HYPERLINK("http://service.sap.com/sap/support/notes/1803145","1803145")</f>
        <v>1803145</v>
      </c>
      <c r="E6060">
        <v>1</v>
      </c>
      <c r="F6060" t="s">
        <v>7468</v>
      </c>
    </row>
    <row r="6061" spans="1:6" x14ac:dyDescent="0.25">
      <c r="A6061" t="s">
        <v>6446</v>
      </c>
      <c r="B6061" t="s">
        <v>1807</v>
      </c>
      <c r="C6061" t="s">
        <v>1808</v>
      </c>
      <c r="D6061" t="str">
        <f>HYPERLINK("http://service.sap.com/sap/support/notes/1803694","1803694")</f>
        <v>1803694</v>
      </c>
      <c r="E6061">
        <v>1</v>
      </c>
      <c r="F6061" t="s">
        <v>7469</v>
      </c>
    </row>
    <row r="6062" spans="1:6" x14ac:dyDescent="0.25">
      <c r="A6062" t="s">
        <v>6446</v>
      </c>
      <c r="B6062" t="s">
        <v>1807</v>
      </c>
      <c r="C6062" t="s">
        <v>1808</v>
      </c>
      <c r="D6062" t="str">
        <f>HYPERLINK("http://service.sap.com/sap/support/notes/1806480","1806480")</f>
        <v>1806480</v>
      </c>
      <c r="E6062">
        <v>1</v>
      </c>
      <c r="F6062" t="s">
        <v>7470</v>
      </c>
    </row>
    <row r="6063" spans="1:6" x14ac:dyDescent="0.25">
      <c r="A6063" t="s">
        <v>6446</v>
      </c>
      <c r="B6063" t="s">
        <v>1807</v>
      </c>
      <c r="C6063" t="s">
        <v>1808</v>
      </c>
      <c r="D6063" t="str">
        <f>HYPERLINK("http://service.sap.com/sap/support/notes/1806524","1806524")</f>
        <v>1806524</v>
      </c>
      <c r="E6063">
        <v>1</v>
      </c>
      <c r="F6063" t="s">
        <v>7471</v>
      </c>
    </row>
    <row r="6064" spans="1:6" x14ac:dyDescent="0.25">
      <c r="A6064" t="s">
        <v>6446</v>
      </c>
      <c r="B6064" t="s">
        <v>1807</v>
      </c>
      <c r="C6064" t="s">
        <v>1808</v>
      </c>
      <c r="D6064" t="str">
        <f>HYPERLINK("http://service.sap.com/sap/support/notes/1809184","1809184")</f>
        <v>1809184</v>
      </c>
      <c r="E6064">
        <v>4</v>
      </c>
      <c r="F6064" t="s">
        <v>7472</v>
      </c>
    </row>
    <row r="6065" spans="1:6" x14ac:dyDescent="0.25">
      <c r="A6065" t="s">
        <v>6446</v>
      </c>
      <c r="B6065" t="s">
        <v>1807</v>
      </c>
      <c r="C6065" t="s">
        <v>1808</v>
      </c>
      <c r="D6065" t="str">
        <f>HYPERLINK("http://service.sap.com/sap/support/notes/1809185","1809185")</f>
        <v>1809185</v>
      </c>
      <c r="E6065">
        <v>3</v>
      </c>
      <c r="F6065" t="s">
        <v>7473</v>
      </c>
    </row>
    <row r="6066" spans="1:6" x14ac:dyDescent="0.25">
      <c r="A6066" t="s">
        <v>6446</v>
      </c>
      <c r="B6066" t="s">
        <v>1807</v>
      </c>
      <c r="C6066" t="s">
        <v>1808</v>
      </c>
      <c r="D6066" t="str">
        <f>HYPERLINK("http://service.sap.com/sap/support/notes/1810762","1810762")</f>
        <v>1810762</v>
      </c>
      <c r="E6066">
        <v>1</v>
      </c>
      <c r="F6066" t="s">
        <v>7474</v>
      </c>
    </row>
    <row r="6067" spans="1:6" x14ac:dyDescent="0.25">
      <c r="A6067" t="s">
        <v>6446</v>
      </c>
      <c r="B6067" t="s">
        <v>1807</v>
      </c>
      <c r="C6067" t="s">
        <v>1808</v>
      </c>
      <c r="D6067" t="str">
        <f>HYPERLINK("http://service.sap.com/sap/support/notes/1812380","1812380")</f>
        <v>1812380</v>
      </c>
      <c r="E6067">
        <v>1</v>
      </c>
      <c r="F6067" t="s">
        <v>7475</v>
      </c>
    </row>
    <row r="6068" spans="1:6" x14ac:dyDescent="0.25">
      <c r="A6068" t="s">
        <v>6446</v>
      </c>
      <c r="B6068" t="s">
        <v>1807</v>
      </c>
      <c r="C6068" t="s">
        <v>1808</v>
      </c>
      <c r="D6068" t="str">
        <f>HYPERLINK("http://service.sap.com/sap/support/notes/1813554","1813554")</f>
        <v>1813554</v>
      </c>
      <c r="E6068">
        <v>2</v>
      </c>
      <c r="F6068" t="s">
        <v>7476</v>
      </c>
    </row>
    <row r="6069" spans="1:6" x14ac:dyDescent="0.25">
      <c r="A6069" t="s">
        <v>6446</v>
      </c>
      <c r="B6069" t="s">
        <v>1807</v>
      </c>
      <c r="C6069" t="s">
        <v>1808</v>
      </c>
      <c r="D6069" t="str">
        <f>HYPERLINK("http://service.sap.com/sap/support/notes/1815114","1815114")</f>
        <v>1815114</v>
      </c>
      <c r="E6069">
        <v>1</v>
      </c>
      <c r="F6069" t="s">
        <v>7477</v>
      </c>
    </row>
    <row r="6070" spans="1:6" x14ac:dyDescent="0.25">
      <c r="A6070" t="s">
        <v>6446</v>
      </c>
      <c r="B6070" t="s">
        <v>1807</v>
      </c>
      <c r="C6070" t="s">
        <v>1808</v>
      </c>
      <c r="D6070" t="str">
        <f>HYPERLINK("http://service.sap.com/sap/support/notes/1815343","1815343")</f>
        <v>1815343</v>
      </c>
      <c r="E6070">
        <v>2</v>
      </c>
      <c r="F6070" t="s">
        <v>7478</v>
      </c>
    </row>
    <row r="6071" spans="1:6" x14ac:dyDescent="0.25">
      <c r="A6071" t="s">
        <v>6446</v>
      </c>
      <c r="B6071" t="s">
        <v>1807</v>
      </c>
      <c r="C6071" t="s">
        <v>1808</v>
      </c>
      <c r="D6071" t="str">
        <f>HYPERLINK("http://service.sap.com/sap/support/notes/1815942","1815942")</f>
        <v>1815942</v>
      </c>
      <c r="E6071">
        <v>1</v>
      </c>
      <c r="F6071" t="s">
        <v>7479</v>
      </c>
    </row>
    <row r="6072" spans="1:6" x14ac:dyDescent="0.25">
      <c r="A6072" t="s">
        <v>6446</v>
      </c>
      <c r="B6072" t="s">
        <v>1807</v>
      </c>
      <c r="C6072" t="s">
        <v>1808</v>
      </c>
      <c r="D6072" t="str">
        <f>HYPERLINK("http://service.sap.com/sap/support/notes/1816005","1816005")</f>
        <v>1816005</v>
      </c>
      <c r="E6072">
        <v>1</v>
      </c>
      <c r="F6072" t="s">
        <v>7480</v>
      </c>
    </row>
    <row r="6073" spans="1:6" x14ac:dyDescent="0.25">
      <c r="A6073" t="s">
        <v>6446</v>
      </c>
      <c r="B6073" t="s">
        <v>1807</v>
      </c>
      <c r="C6073" t="s">
        <v>1808</v>
      </c>
      <c r="D6073" t="str">
        <f>HYPERLINK("http://service.sap.com/sap/support/notes/1816081","1816081")</f>
        <v>1816081</v>
      </c>
      <c r="E6073">
        <v>1</v>
      </c>
      <c r="F6073" t="s">
        <v>7481</v>
      </c>
    </row>
    <row r="6074" spans="1:6" x14ac:dyDescent="0.25">
      <c r="A6074" t="s">
        <v>6446</v>
      </c>
      <c r="B6074" t="s">
        <v>1807</v>
      </c>
      <c r="C6074" t="s">
        <v>1808</v>
      </c>
      <c r="D6074" t="str">
        <f>HYPERLINK("http://service.sap.com/sap/support/notes/1816708","1816708")</f>
        <v>1816708</v>
      </c>
      <c r="E6074">
        <v>1</v>
      </c>
      <c r="F6074" t="s">
        <v>7482</v>
      </c>
    </row>
    <row r="6075" spans="1:6" x14ac:dyDescent="0.25">
      <c r="A6075" t="s">
        <v>6446</v>
      </c>
      <c r="B6075" t="s">
        <v>1807</v>
      </c>
      <c r="C6075" t="s">
        <v>1808</v>
      </c>
      <c r="D6075" t="str">
        <f>HYPERLINK("http://service.sap.com/sap/support/notes/1817089","1817089")</f>
        <v>1817089</v>
      </c>
      <c r="E6075">
        <v>1</v>
      </c>
      <c r="F6075" t="s">
        <v>7483</v>
      </c>
    </row>
    <row r="6076" spans="1:6" x14ac:dyDescent="0.25">
      <c r="A6076" t="s">
        <v>6446</v>
      </c>
      <c r="B6076" t="s">
        <v>1807</v>
      </c>
      <c r="C6076" t="s">
        <v>1808</v>
      </c>
      <c r="D6076" t="str">
        <f>HYPERLINK("http://service.sap.com/sap/support/notes/1817124","1817124")</f>
        <v>1817124</v>
      </c>
      <c r="E6076">
        <v>1</v>
      </c>
      <c r="F6076" t="s">
        <v>7484</v>
      </c>
    </row>
    <row r="6077" spans="1:6" x14ac:dyDescent="0.25">
      <c r="A6077" t="s">
        <v>6446</v>
      </c>
      <c r="B6077" t="s">
        <v>1807</v>
      </c>
      <c r="C6077" t="s">
        <v>1808</v>
      </c>
      <c r="D6077" t="str">
        <f>HYPERLINK("http://service.sap.com/sap/support/notes/1818284","1818284")</f>
        <v>1818284</v>
      </c>
      <c r="E6077">
        <v>1</v>
      </c>
      <c r="F6077" t="s">
        <v>7485</v>
      </c>
    </row>
    <row r="6078" spans="1:6" x14ac:dyDescent="0.25">
      <c r="A6078" t="s">
        <v>6446</v>
      </c>
      <c r="B6078" t="s">
        <v>1807</v>
      </c>
      <c r="C6078" t="s">
        <v>1808</v>
      </c>
      <c r="D6078" t="str">
        <f>HYPERLINK("http://service.sap.com/sap/support/notes/1818858","1818858")</f>
        <v>1818858</v>
      </c>
      <c r="E6078">
        <v>1</v>
      </c>
      <c r="F6078" t="s">
        <v>7486</v>
      </c>
    </row>
    <row r="6079" spans="1:6" x14ac:dyDescent="0.25">
      <c r="A6079" t="s">
        <v>6446</v>
      </c>
      <c r="B6079" t="s">
        <v>1807</v>
      </c>
      <c r="C6079" t="s">
        <v>1808</v>
      </c>
      <c r="D6079" t="str">
        <f>HYPERLINK("http://service.sap.com/sap/support/notes/1818861","1818861")</f>
        <v>1818861</v>
      </c>
      <c r="E6079">
        <v>2</v>
      </c>
      <c r="F6079" t="s">
        <v>7487</v>
      </c>
    </row>
    <row r="6080" spans="1:6" x14ac:dyDescent="0.25">
      <c r="A6080" t="s">
        <v>6446</v>
      </c>
      <c r="B6080" t="s">
        <v>1807</v>
      </c>
      <c r="C6080" t="s">
        <v>1808</v>
      </c>
      <c r="D6080" t="str">
        <f>HYPERLINK("http://service.sap.com/sap/support/notes/1820397","1820397")</f>
        <v>1820397</v>
      </c>
      <c r="E6080">
        <v>1</v>
      </c>
      <c r="F6080" t="s">
        <v>7488</v>
      </c>
    </row>
    <row r="6081" spans="1:6" x14ac:dyDescent="0.25">
      <c r="A6081" t="s">
        <v>6446</v>
      </c>
      <c r="B6081" t="s">
        <v>1807</v>
      </c>
      <c r="C6081" t="s">
        <v>1808</v>
      </c>
      <c r="D6081" t="str">
        <f>HYPERLINK("http://service.sap.com/sap/support/notes/1823057","1823057")</f>
        <v>1823057</v>
      </c>
      <c r="E6081">
        <v>1</v>
      </c>
      <c r="F6081" t="s">
        <v>7489</v>
      </c>
    </row>
    <row r="6082" spans="1:6" x14ac:dyDescent="0.25">
      <c r="A6082" t="s">
        <v>6446</v>
      </c>
      <c r="B6082" t="s">
        <v>1807</v>
      </c>
      <c r="C6082" t="s">
        <v>1808</v>
      </c>
      <c r="D6082" t="str">
        <f>HYPERLINK("http://service.sap.com/sap/support/notes/1824477","1824477")</f>
        <v>1824477</v>
      </c>
      <c r="E6082">
        <v>2</v>
      </c>
      <c r="F6082" t="s">
        <v>7490</v>
      </c>
    </row>
    <row r="6083" spans="1:6" x14ac:dyDescent="0.25">
      <c r="A6083" t="s">
        <v>6446</v>
      </c>
      <c r="B6083" t="s">
        <v>1807</v>
      </c>
      <c r="C6083" t="s">
        <v>1808</v>
      </c>
      <c r="D6083" t="str">
        <f>HYPERLINK("http://service.sap.com/sap/support/notes/1827837","1827837")</f>
        <v>1827837</v>
      </c>
      <c r="E6083">
        <v>1</v>
      </c>
      <c r="F6083" t="s">
        <v>7491</v>
      </c>
    </row>
    <row r="6084" spans="1:6" x14ac:dyDescent="0.25">
      <c r="A6084" t="s">
        <v>6446</v>
      </c>
      <c r="B6084" t="s">
        <v>1807</v>
      </c>
      <c r="C6084" t="s">
        <v>1808</v>
      </c>
      <c r="D6084" t="str">
        <f>HYPERLINK("http://service.sap.com/sap/support/notes/1828467","1828467")</f>
        <v>1828467</v>
      </c>
      <c r="E6084">
        <v>2</v>
      </c>
      <c r="F6084" t="s">
        <v>7492</v>
      </c>
    </row>
    <row r="6085" spans="1:6" x14ac:dyDescent="0.25">
      <c r="A6085" t="s">
        <v>6446</v>
      </c>
      <c r="B6085" t="s">
        <v>1807</v>
      </c>
      <c r="C6085" t="s">
        <v>1808</v>
      </c>
      <c r="D6085" t="str">
        <f>HYPERLINK("http://service.sap.com/sap/support/notes/1828656","1828656")</f>
        <v>1828656</v>
      </c>
      <c r="E6085">
        <v>1</v>
      </c>
      <c r="F6085" t="s">
        <v>7493</v>
      </c>
    </row>
    <row r="6086" spans="1:6" x14ac:dyDescent="0.25">
      <c r="A6086" t="s">
        <v>6446</v>
      </c>
      <c r="B6086" t="s">
        <v>1807</v>
      </c>
      <c r="C6086" t="s">
        <v>1808</v>
      </c>
      <c r="D6086" t="str">
        <f>HYPERLINK("http://service.sap.com/sap/support/notes/1828771","1828771")</f>
        <v>1828771</v>
      </c>
      <c r="E6086">
        <v>3</v>
      </c>
      <c r="F6086" t="s">
        <v>7494</v>
      </c>
    </row>
    <row r="6087" spans="1:6" x14ac:dyDescent="0.25">
      <c r="A6087" t="s">
        <v>6446</v>
      </c>
      <c r="B6087" t="s">
        <v>1807</v>
      </c>
      <c r="C6087" t="s">
        <v>1808</v>
      </c>
      <c r="D6087" t="str">
        <f>HYPERLINK("http://service.sap.com/sap/support/notes/1829044","1829044")</f>
        <v>1829044</v>
      </c>
      <c r="E6087">
        <v>1</v>
      </c>
      <c r="F6087" t="s">
        <v>7495</v>
      </c>
    </row>
    <row r="6088" spans="1:6" x14ac:dyDescent="0.25">
      <c r="A6088" t="s">
        <v>6446</v>
      </c>
      <c r="B6088" t="s">
        <v>1807</v>
      </c>
      <c r="C6088" t="s">
        <v>1808</v>
      </c>
      <c r="D6088" t="str">
        <f>HYPERLINK("http://service.sap.com/sap/support/notes/1829048","1829048")</f>
        <v>1829048</v>
      </c>
      <c r="E6088">
        <v>1</v>
      </c>
      <c r="F6088" t="s">
        <v>7496</v>
      </c>
    </row>
    <row r="6089" spans="1:6" x14ac:dyDescent="0.25">
      <c r="A6089" t="s">
        <v>6446</v>
      </c>
      <c r="B6089" t="s">
        <v>1844</v>
      </c>
      <c r="C6089" t="s">
        <v>1845</v>
      </c>
      <c r="D6089" t="str">
        <f>HYPERLINK("http://service.sap.com/sap/support/notes/1827941","1827941")</f>
        <v>1827941</v>
      </c>
      <c r="E6089">
        <v>3</v>
      </c>
      <c r="F6089" t="s">
        <v>7497</v>
      </c>
    </row>
    <row r="6090" spans="1:6" x14ac:dyDescent="0.25">
      <c r="A6090" t="s">
        <v>6446</v>
      </c>
      <c r="B6090" t="s">
        <v>1844</v>
      </c>
      <c r="C6090" t="s">
        <v>1845</v>
      </c>
      <c r="D6090" t="str">
        <f>HYPERLINK("http://service.sap.com/sap/support/notes/1828235","1828235")</f>
        <v>1828235</v>
      </c>
      <c r="E6090">
        <v>2</v>
      </c>
      <c r="F6090" t="s">
        <v>7498</v>
      </c>
    </row>
    <row r="6091" spans="1:6" x14ac:dyDescent="0.25">
      <c r="A6091" t="s">
        <v>6446</v>
      </c>
      <c r="B6091" t="s">
        <v>1850</v>
      </c>
      <c r="C6091" t="s">
        <v>1851</v>
      </c>
      <c r="D6091" t="str">
        <f>HYPERLINK("http://service.sap.com/sap/support/notes/1797569","1797569")</f>
        <v>1797569</v>
      </c>
      <c r="E6091">
        <v>5</v>
      </c>
      <c r="F6091" t="s">
        <v>7499</v>
      </c>
    </row>
    <row r="6092" spans="1:6" x14ac:dyDescent="0.25">
      <c r="A6092" t="s">
        <v>6446</v>
      </c>
      <c r="B6092" t="s">
        <v>1850</v>
      </c>
      <c r="C6092" t="s">
        <v>1851</v>
      </c>
      <c r="D6092" t="str">
        <f>HYPERLINK("http://service.sap.com/sap/support/notes/1803216","1803216")</f>
        <v>1803216</v>
      </c>
      <c r="E6092">
        <v>3</v>
      </c>
      <c r="F6092" t="s">
        <v>7500</v>
      </c>
    </row>
    <row r="6093" spans="1:6" x14ac:dyDescent="0.25">
      <c r="A6093" t="s">
        <v>6446</v>
      </c>
      <c r="B6093" t="s">
        <v>1850</v>
      </c>
      <c r="C6093" t="s">
        <v>1851</v>
      </c>
      <c r="D6093" t="str">
        <f>HYPERLINK("http://service.sap.com/sap/support/notes/1807906","1807906")</f>
        <v>1807906</v>
      </c>
      <c r="E6093">
        <v>2</v>
      </c>
      <c r="F6093" t="s">
        <v>7501</v>
      </c>
    </row>
    <row r="6094" spans="1:6" x14ac:dyDescent="0.25">
      <c r="A6094" t="s">
        <v>6446</v>
      </c>
      <c r="B6094" t="s">
        <v>1850</v>
      </c>
      <c r="C6094" t="s">
        <v>1851</v>
      </c>
      <c r="D6094" t="str">
        <f>HYPERLINK("http://service.sap.com/sap/support/notes/1810492","1810492")</f>
        <v>1810492</v>
      </c>
      <c r="E6094">
        <v>2</v>
      </c>
      <c r="F6094" t="s">
        <v>7502</v>
      </c>
    </row>
    <row r="6095" spans="1:6" x14ac:dyDescent="0.25">
      <c r="A6095" t="s">
        <v>6446</v>
      </c>
      <c r="B6095" t="s">
        <v>1850</v>
      </c>
      <c r="C6095" t="s">
        <v>1851</v>
      </c>
      <c r="D6095" t="str">
        <f>HYPERLINK("http://service.sap.com/sap/support/notes/1820012","1820012")</f>
        <v>1820012</v>
      </c>
      <c r="E6095">
        <v>2</v>
      </c>
      <c r="F6095" t="s">
        <v>7503</v>
      </c>
    </row>
    <row r="6096" spans="1:6" x14ac:dyDescent="0.25">
      <c r="A6096" t="s">
        <v>6446</v>
      </c>
      <c r="B6096" t="s">
        <v>1860</v>
      </c>
      <c r="C6096" t="s">
        <v>1861</v>
      </c>
      <c r="D6096" t="str">
        <f>HYPERLINK("http://service.sap.com/sap/support/notes/1788944","1788944")</f>
        <v>1788944</v>
      </c>
      <c r="E6096">
        <v>2</v>
      </c>
      <c r="F6096" t="s">
        <v>7504</v>
      </c>
    </row>
    <row r="6097" spans="1:6" x14ac:dyDescent="0.25">
      <c r="A6097" t="s">
        <v>6446</v>
      </c>
      <c r="B6097" t="s">
        <v>1860</v>
      </c>
      <c r="C6097" t="s">
        <v>1861</v>
      </c>
      <c r="D6097" t="str">
        <f>HYPERLINK("http://service.sap.com/sap/support/notes/1796323","1796323")</f>
        <v>1796323</v>
      </c>
      <c r="E6097">
        <v>1</v>
      </c>
      <c r="F6097" t="s">
        <v>7505</v>
      </c>
    </row>
    <row r="6098" spans="1:6" x14ac:dyDescent="0.25">
      <c r="A6098" t="s">
        <v>6446</v>
      </c>
      <c r="B6098" t="s">
        <v>1860</v>
      </c>
      <c r="C6098" t="s">
        <v>1861</v>
      </c>
      <c r="D6098" t="str">
        <f>HYPERLINK("http://service.sap.com/sap/support/notes/1796829","1796829")</f>
        <v>1796829</v>
      </c>
      <c r="E6098">
        <v>1</v>
      </c>
      <c r="F6098" t="s">
        <v>7506</v>
      </c>
    </row>
    <row r="6099" spans="1:6" x14ac:dyDescent="0.25">
      <c r="A6099" t="s">
        <v>6446</v>
      </c>
      <c r="B6099" t="s">
        <v>1860</v>
      </c>
      <c r="C6099" t="s">
        <v>1861</v>
      </c>
      <c r="D6099" t="str">
        <f>HYPERLINK("http://service.sap.com/sap/support/notes/1797522","1797522")</f>
        <v>1797522</v>
      </c>
      <c r="E6099">
        <v>2</v>
      </c>
      <c r="F6099" t="s">
        <v>7507</v>
      </c>
    </row>
    <row r="6100" spans="1:6" x14ac:dyDescent="0.25">
      <c r="A6100" t="s">
        <v>6446</v>
      </c>
      <c r="B6100" t="s">
        <v>1860</v>
      </c>
      <c r="C6100" t="s">
        <v>1861</v>
      </c>
      <c r="D6100" t="str">
        <f>HYPERLINK("http://service.sap.com/sap/support/notes/1798747","1798747")</f>
        <v>1798747</v>
      </c>
      <c r="E6100">
        <v>1</v>
      </c>
      <c r="F6100" t="s">
        <v>7508</v>
      </c>
    </row>
    <row r="6101" spans="1:6" x14ac:dyDescent="0.25">
      <c r="A6101" t="s">
        <v>6446</v>
      </c>
      <c r="B6101" t="s">
        <v>1860</v>
      </c>
      <c r="C6101" t="s">
        <v>1861</v>
      </c>
      <c r="D6101" t="str">
        <f>HYPERLINK("http://service.sap.com/sap/support/notes/1802319","1802319")</f>
        <v>1802319</v>
      </c>
      <c r="E6101">
        <v>1</v>
      </c>
      <c r="F6101" t="s">
        <v>7509</v>
      </c>
    </row>
    <row r="6102" spans="1:6" x14ac:dyDescent="0.25">
      <c r="A6102" t="s">
        <v>6446</v>
      </c>
      <c r="B6102" t="s">
        <v>1860</v>
      </c>
      <c r="C6102" t="s">
        <v>1861</v>
      </c>
      <c r="D6102" t="str">
        <f>HYPERLINK("http://service.sap.com/sap/support/notes/1802787","1802787")</f>
        <v>1802787</v>
      </c>
      <c r="E6102">
        <v>2</v>
      </c>
      <c r="F6102" t="s">
        <v>7510</v>
      </c>
    </row>
    <row r="6103" spans="1:6" x14ac:dyDescent="0.25">
      <c r="A6103" t="s">
        <v>6446</v>
      </c>
      <c r="B6103" t="s">
        <v>1860</v>
      </c>
      <c r="C6103" t="s">
        <v>1861</v>
      </c>
      <c r="D6103" t="str">
        <f>HYPERLINK("http://service.sap.com/sap/support/notes/1802972","1802972")</f>
        <v>1802972</v>
      </c>
      <c r="E6103">
        <v>1</v>
      </c>
      <c r="F6103" t="s">
        <v>7511</v>
      </c>
    </row>
    <row r="6104" spans="1:6" x14ac:dyDescent="0.25">
      <c r="A6104" t="s">
        <v>6446</v>
      </c>
      <c r="B6104" t="s">
        <v>1860</v>
      </c>
      <c r="C6104" t="s">
        <v>1861</v>
      </c>
      <c r="D6104" t="str">
        <f>HYPERLINK("http://service.sap.com/sap/support/notes/1810039","1810039")</f>
        <v>1810039</v>
      </c>
      <c r="E6104">
        <v>1</v>
      </c>
      <c r="F6104" t="s">
        <v>7512</v>
      </c>
    </row>
    <row r="6105" spans="1:6" x14ac:dyDescent="0.25">
      <c r="A6105" t="s">
        <v>6446</v>
      </c>
      <c r="B6105" t="s">
        <v>1860</v>
      </c>
      <c r="C6105" t="s">
        <v>1861</v>
      </c>
      <c r="D6105" t="str">
        <f>HYPERLINK("http://service.sap.com/sap/support/notes/1815094","1815094")</f>
        <v>1815094</v>
      </c>
      <c r="E6105">
        <v>2</v>
      </c>
      <c r="F6105" t="s">
        <v>7513</v>
      </c>
    </row>
    <row r="6106" spans="1:6" x14ac:dyDescent="0.25">
      <c r="A6106" t="s">
        <v>6446</v>
      </c>
      <c r="B6106" t="s">
        <v>1860</v>
      </c>
      <c r="C6106" t="s">
        <v>1861</v>
      </c>
      <c r="D6106" t="str">
        <f>HYPERLINK("http://service.sap.com/sap/support/notes/1816195","1816195")</f>
        <v>1816195</v>
      </c>
      <c r="E6106">
        <v>2</v>
      </c>
      <c r="F6106" t="s">
        <v>7514</v>
      </c>
    </row>
    <row r="6107" spans="1:6" x14ac:dyDescent="0.25">
      <c r="A6107" t="s">
        <v>6446</v>
      </c>
      <c r="B6107" t="s">
        <v>1860</v>
      </c>
      <c r="C6107" t="s">
        <v>1861</v>
      </c>
      <c r="D6107" t="str">
        <f>HYPERLINK("http://service.sap.com/sap/support/notes/1816236","1816236")</f>
        <v>1816236</v>
      </c>
      <c r="E6107">
        <v>3</v>
      </c>
      <c r="F6107" t="s">
        <v>7515</v>
      </c>
    </row>
    <row r="6108" spans="1:6" x14ac:dyDescent="0.25">
      <c r="A6108" t="s">
        <v>6446</v>
      </c>
      <c r="B6108" t="s">
        <v>1860</v>
      </c>
      <c r="C6108" t="s">
        <v>1861</v>
      </c>
      <c r="D6108" t="str">
        <f>HYPERLINK("http://service.sap.com/sap/support/notes/1817411","1817411")</f>
        <v>1817411</v>
      </c>
      <c r="E6108">
        <v>2</v>
      </c>
      <c r="F6108" t="s">
        <v>7516</v>
      </c>
    </row>
    <row r="6109" spans="1:6" x14ac:dyDescent="0.25">
      <c r="A6109" t="s">
        <v>6446</v>
      </c>
      <c r="B6109" t="s">
        <v>1860</v>
      </c>
      <c r="C6109" t="s">
        <v>1861</v>
      </c>
      <c r="D6109" t="str">
        <f>HYPERLINK("http://service.sap.com/sap/support/notes/1817535","1817535")</f>
        <v>1817535</v>
      </c>
      <c r="E6109">
        <v>1</v>
      </c>
      <c r="F6109" t="s">
        <v>7517</v>
      </c>
    </row>
    <row r="6110" spans="1:6" x14ac:dyDescent="0.25">
      <c r="A6110" t="s">
        <v>6446</v>
      </c>
      <c r="B6110" t="s">
        <v>1860</v>
      </c>
      <c r="C6110" t="s">
        <v>1861</v>
      </c>
      <c r="D6110" t="str">
        <f>HYPERLINK("http://service.sap.com/sap/support/notes/1819113","1819113")</f>
        <v>1819113</v>
      </c>
      <c r="E6110">
        <v>1</v>
      </c>
      <c r="F6110" t="s">
        <v>7518</v>
      </c>
    </row>
    <row r="6111" spans="1:6" x14ac:dyDescent="0.25">
      <c r="A6111" t="s">
        <v>6446</v>
      </c>
      <c r="B6111" t="s">
        <v>1860</v>
      </c>
      <c r="C6111" t="s">
        <v>1861</v>
      </c>
      <c r="D6111" t="str">
        <f>HYPERLINK("http://service.sap.com/sap/support/notes/1828685","1828685")</f>
        <v>1828685</v>
      </c>
      <c r="E6111">
        <v>2</v>
      </c>
      <c r="F6111" t="s">
        <v>7519</v>
      </c>
    </row>
    <row r="6112" spans="1:6" x14ac:dyDescent="0.25">
      <c r="A6112" t="s">
        <v>6446</v>
      </c>
      <c r="B6112" t="s">
        <v>1860</v>
      </c>
      <c r="C6112" t="s">
        <v>1861</v>
      </c>
      <c r="D6112" t="str">
        <f>HYPERLINK("http://service.sap.com/sap/support/notes/1829647","1829647")</f>
        <v>1829647</v>
      </c>
      <c r="E6112">
        <v>2</v>
      </c>
      <c r="F6112" t="s">
        <v>7520</v>
      </c>
    </row>
    <row r="6113" spans="1:6" x14ac:dyDescent="0.25">
      <c r="A6113" t="s">
        <v>6446</v>
      </c>
      <c r="B6113" t="s">
        <v>1870</v>
      </c>
      <c r="C6113" t="s">
        <v>1871</v>
      </c>
      <c r="D6113" t="str">
        <f>HYPERLINK("http://service.sap.com/sap/support/notes/1792747","1792747")</f>
        <v>1792747</v>
      </c>
      <c r="E6113">
        <v>1</v>
      </c>
      <c r="F6113" t="s">
        <v>7521</v>
      </c>
    </row>
    <row r="6114" spans="1:6" x14ac:dyDescent="0.25">
      <c r="A6114" t="s">
        <v>6446</v>
      </c>
      <c r="B6114" t="s">
        <v>1870</v>
      </c>
      <c r="C6114" t="s">
        <v>1871</v>
      </c>
      <c r="D6114" t="str">
        <f>HYPERLINK("http://service.sap.com/sap/support/notes/1798644","1798644")</f>
        <v>1798644</v>
      </c>
      <c r="E6114">
        <v>1</v>
      </c>
      <c r="F6114" t="s">
        <v>7522</v>
      </c>
    </row>
    <row r="6115" spans="1:6" x14ac:dyDescent="0.25">
      <c r="A6115" t="s">
        <v>6446</v>
      </c>
      <c r="B6115" t="s">
        <v>1870</v>
      </c>
      <c r="C6115" t="s">
        <v>1871</v>
      </c>
      <c r="D6115" t="str">
        <f>HYPERLINK("http://service.sap.com/sap/support/notes/1801882","1801882")</f>
        <v>1801882</v>
      </c>
      <c r="E6115">
        <v>1</v>
      </c>
      <c r="F6115" t="s">
        <v>7523</v>
      </c>
    </row>
    <row r="6116" spans="1:6" x14ac:dyDescent="0.25">
      <c r="A6116" t="s">
        <v>6446</v>
      </c>
      <c r="B6116" t="s">
        <v>1875</v>
      </c>
      <c r="C6116" t="s">
        <v>218</v>
      </c>
      <c r="D6116" t="str">
        <f>HYPERLINK("http://service.sap.com/sap/support/notes/1767036","1767036")</f>
        <v>1767036</v>
      </c>
      <c r="E6116">
        <v>2</v>
      </c>
      <c r="F6116" t="s">
        <v>7524</v>
      </c>
    </row>
    <row r="6117" spans="1:6" x14ac:dyDescent="0.25">
      <c r="A6117" t="s">
        <v>6446</v>
      </c>
      <c r="B6117" t="s">
        <v>1875</v>
      </c>
      <c r="C6117" t="s">
        <v>218</v>
      </c>
      <c r="D6117" t="str">
        <f>HYPERLINK("http://service.sap.com/sap/support/notes/1772663","1772663")</f>
        <v>1772663</v>
      </c>
      <c r="E6117">
        <v>2</v>
      </c>
      <c r="F6117" t="s">
        <v>7525</v>
      </c>
    </row>
    <row r="6118" spans="1:6" x14ac:dyDescent="0.25">
      <c r="A6118" t="s">
        <v>6446</v>
      </c>
      <c r="B6118" t="s">
        <v>1875</v>
      </c>
      <c r="C6118" t="s">
        <v>218</v>
      </c>
      <c r="D6118" t="str">
        <f>HYPERLINK("http://service.sap.com/sap/support/notes/1808913","1808913")</f>
        <v>1808913</v>
      </c>
      <c r="E6118">
        <v>2</v>
      </c>
      <c r="F6118" t="s">
        <v>7526</v>
      </c>
    </row>
    <row r="6119" spans="1:6" x14ac:dyDescent="0.25">
      <c r="A6119" t="s">
        <v>6446</v>
      </c>
      <c r="B6119" t="s">
        <v>1877</v>
      </c>
      <c r="C6119" t="s">
        <v>1878</v>
      </c>
      <c r="D6119" t="str">
        <f>HYPERLINK("http://service.sap.com/sap/support/notes/1791510","1791510")</f>
        <v>1791510</v>
      </c>
    </row>
    <row r="6120" spans="1:6" x14ac:dyDescent="0.25">
      <c r="A6120" t="s">
        <v>6446</v>
      </c>
      <c r="B6120" t="s">
        <v>1877</v>
      </c>
      <c r="C6120" t="s">
        <v>1878</v>
      </c>
      <c r="D6120" t="str">
        <f>HYPERLINK("http://service.sap.com/sap/support/notes/1801842","1801842")</f>
        <v>1801842</v>
      </c>
    </row>
    <row r="6121" spans="1:6" x14ac:dyDescent="0.25">
      <c r="A6121" t="s">
        <v>6446</v>
      </c>
      <c r="B6121" t="s">
        <v>1877</v>
      </c>
      <c r="C6121" t="s">
        <v>1878</v>
      </c>
      <c r="D6121" t="str">
        <f>HYPERLINK("http://service.sap.com/sap/support/notes/1803554","1803554")</f>
        <v>1803554</v>
      </c>
    </row>
    <row r="6122" spans="1:6" x14ac:dyDescent="0.25">
      <c r="A6122" t="s">
        <v>6446</v>
      </c>
      <c r="B6122" t="s">
        <v>1882</v>
      </c>
      <c r="C6122" t="s">
        <v>1883</v>
      </c>
      <c r="D6122" t="str">
        <f>HYPERLINK("http://service.sap.com/sap/support/notes/1750603","1750603")</f>
        <v>1750603</v>
      </c>
      <c r="E6122">
        <v>2</v>
      </c>
      <c r="F6122" t="s">
        <v>7527</v>
      </c>
    </row>
    <row r="6123" spans="1:6" x14ac:dyDescent="0.25">
      <c r="A6123" t="s">
        <v>6446</v>
      </c>
      <c r="B6123" t="s">
        <v>1887</v>
      </c>
      <c r="C6123" t="s">
        <v>1888</v>
      </c>
      <c r="D6123" t="str">
        <f>HYPERLINK("http://service.sap.com/sap/support/notes/1781848","1781848")</f>
        <v>1781848</v>
      </c>
      <c r="E6123">
        <v>3</v>
      </c>
      <c r="F6123" t="s">
        <v>7528</v>
      </c>
    </row>
    <row r="6124" spans="1:6" x14ac:dyDescent="0.25">
      <c r="A6124" t="s">
        <v>6446</v>
      </c>
      <c r="B6124" t="s">
        <v>1890</v>
      </c>
      <c r="C6124" t="s">
        <v>1712</v>
      </c>
      <c r="D6124" t="str">
        <f>HYPERLINK("http://service.sap.com/sap/support/notes/1651277","1651277")</f>
        <v>1651277</v>
      </c>
      <c r="E6124">
        <v>3</v>
      </c>
      <c r="F6124" t="s">
        <v>7529</v>
      </c>
    </row>
    <row r="6125" spans="1:6" x14ac:dyDescent="0.25">
      <c r="A6125" t="s">
        <v>6446</v>
      </c>
      <c r="B6125" t="s">
        <v>1890</v>
      </c>
      <c r="C6125" t="s">
        <v>1712</v>
      </c>
      <c r="D6125" t="str">
        <f>HYPERLINK("http://service.sap.com/sap/support/notes/1796846","1796846")</f>
        <v>1796846</v>
      </c>
      <c r="E6125">
        <v>1</v>
      </c>
      <c r="F6125" t="s">
        <v>7530</v>
      </c>
    </row>
    <row r="6126" spans="1:6" x14ac:dyDescent="0.25">
      <c r="A6126" t="s">
        <v>6446</v>
      </c>
      <c r="B6126" t="s">
        <v>1894</v>
      </c>
      <c r="C6126" t="s">
        <v>151</v>
      </c>
      <c r="D6126" t="str">
        <f>HYPERLINK("http://service.sap.com/sap/support/notes/1748472","1748472")</f>
        <v>1748472</v>
      </c>
      <c r="E6126">
        <v>2</v>
      </c>
      <c r="F6126" t="s">
        <v>7531</v>
      </c>
    </row>
    <row r="6127" spans="1:6" x14ac:dyDescent="0.25">
      <c r="A6127" t="s">
        <v>6446</v>
      </c>
      <c r="B6127" t="s">
        <v>1894</v>
      </c>
      <c r="C6127" t="s">
        <v>151</v>
      </c>
      <c r="D6127" t="str">
        <f>HYPERLINK("http://service.sap.com/sap/support/notes/1822056","1822056")</f>
        <v>1822056</v>
      </c>
      <c r="E6127">
        <v>2</v>
      </c>
      <c r="F6127" t="s">
        <v>7532</v>
      </c>
    </row>
    <row r="6128" spans="1:6" x14ac:dyDescent="0.25">
      <c r="A6128" t="s">
        <v>6446</v>
      </c>
      <c r="B6128" t="s">
        <v>1897</v>
      </c>
      <c r="C6128" t="s">
        <v>1898</v>
      </c>
      <c r="D6128" t="str">
        <f>HYPERLINK("http://service.sap.com/sap/support/notes/1815136","1815136")</f>
        <v>1815136</v>
      </c>
      <c r="E6128">
        <v>2</v>
      </c>
      <c r="F6128" t="s">
        <v>7533</v>
      </c>
    </row>
    <row r="6129" spans="1:6" x14ac:dyDescent="0.25">
      <c r="A6129" t="s">
        <v>6446</v>
      </c>
      <c r="B6129" t="s">
        <v>1897</v>
      </c>
      <c r="C6129" t="s">
        <v>1898</v>
      </c>
      <c r="D6129" t="str">
        <f>HYPERLINK("http://service.sap.com/sap/support/notes/1821876","1821876")</f>
        <v>1821876</v>
      </c>
      <c r="E6129">
        <v>1</v>
      </c>
      <c r="F6129" t="s">
        <v>7534</v>
      </c>
    </row>
    <row r="6130" spans="1:6" x14ac:dyDescent="0.25">
      <c r="A6130" t="s">
        <v>6446</v>
      </c>
      <c r="B6130" t="s">
        <v>5193</v>
      </c>
      <c r="C6130" t="s">
        <v>5194</v>
      </c>
      <c r="D6130" t="str">
        <f>HYPERLINK("http://service.sap.com/sap/support/notes/1805059","1805059")</f>
        <v>1805059</v>
      </c>
      <c r="E6130">
        <v>1</v>
      </c>
      <c r="F6130" t="s">
        <v>7535</v>
      </c>
    </row>
    <row r="6131" spans="1:6" x14ac:dyDescent="0.25">
      <c r="A6131" t="s">
        <v>6446</v>
      </c>
      <c r="B6131" t="s">
        <v>7536</v>
      </c>
      <c r="C6131" t="s">
        <v>7537</v>
      </c>
      <c r="D6131" t="str">
        <f>HYPERLINK("http://service.sap.com/sap/support/notes/1800040","1800040")</f>
        <v>1800040</v>
      </c>
      <c r="E6131">
        <v>2</v>
      </c>
      <c r="F6131" t="s">
        <v>7538</v>
      </c>
    </row>
    <row r="6132" spans="1:6" x14ac:dyDescent="0.25">
      <c r="A6132" t="s">
        <v>6446</v>
      </c>
      <c r="B6132" t="s">
        <v>1900</v>
      </c>
      <c r="C6132" t="s">
        <v>1901</v>
      </c>
      <c r="D6132" t="str">
        <f>HYPERLINK("http://service.sap.com/sap/support/notes/1765418","1765418")</f>
        <v>1765418</v>
      </c>
      <c r="E6132">
        <v>5</v>
      </c>
      <c r="F6132" t="s">
        <v>7539</v>
      </c>
    </row>
    <row r="6133" spans="1:6" x14ac:dyDescent="0.25">
      <c r="A6133" t="s">
        <v>6446</v>
      </c>
      <c r="B6133" t="s">
        <v>1900</v>
      </c>
      <c r="C6133" t="s">
        <v>1901</v>
      </c>
      <c r="D6133" t="str">
        <f>HYPERLINK("http://service.sap.com/sap/support/notes/1786339","1786339")</f>
        <v>1786339</v>
      </c>
      <c r="E6133">
        <v>1</v>
      </c>
      <c r="F6133" t="s">
        <v>7540</v>
      </c>
    </row>
    <row r="6134" spans="1:6" x14ac:dyDescent="0.25">
      <c r="A6134" t="s">
        <v>6446</v>
      </c>
      <c r="B6134" t="s">
        <v>1900</v>
      </c>
      <c r="C6134" t="s">
        <v>1901</v>
      </c>
      <c r="D6134" t="str">
        <f>HYPERLINK("http://service.sap.com/sap/support/notes/1798015","1798015")</f>
        <v>1798015</v>
      </c>
      <c r="E6134">
        <v>2</v>
      </c>
      <c r="F6134" t="s">
        <v>7541</v>
      </c>
    </row>
    <row r="6135" spans="1:6" x14ac:dyDescent="0.25">
      <c r="A6135" t="s">
        <v>6446</v>
      </c>
      <c r="B6135" t="s">
        <v>1900</v>
      </c>
      <c r="C6135" t="s">
        <v>1901</v>
      </c>
      <c r="D6135" t="str">
        <f>HYPERLINK("http://service.sap.com/sap/support/notes/1799422","1799422")</f>
        <v>1799422</v>
      </c>
      <c r="E6135">
        <v>1</v>
      </c>
      <c r="F6135" t="s">
        <v>7542</v>
      </c>
    </row>
    <row r="6136" spans="1:6" x14ac:dyDescent="0.25">
      <c r="A6136" t="s">
        <v>6446</v>
      </c>
      <c r="B6136" t="s">
        <v>1900</v>
      </c>
      <c r="C6136" t="s">
        <v>1901</v>
      </c>
      <c r="D6136" t="str">
        <f>HYPERLINK("http://service.sap.com/sap/support/notes/1822862","1822862")</f>
        <v>1822862</v>
      </c>
      <c r="E6136">
        <v>1</v>
      </c>
      <c r="F6136" t="s">
        <v>7543</v>
      </c>
    </row>
    <row r="6137" spans="1:6" x14ac:dyDescent="0.25">
      <c r="A6137" t="s">
        <v>6446</v>
      </c>
      <c r="B6137" t="s">
        <v>7544</v>
      </c>
      <c r="C6137" t="s">
        <v>7545</v>
      </c>
      <c r="D6137" t="str">
        <f>HYPERLINK("http://service.sap.com/sap/support/notes/1711402","1711402")</f>
        <v>1711402</v>
      </c>
      <c r="E6137">
        <v>3</v>
      </c>
      <c r="F6137" t="s">
        <v>7546</v>
      </c>
    </row>
    <row r="6138" spans="1:6" x14ac:dyDescent="0.25">
      <c r="A6138" t="s">
        <v>6446</v>
      </c>
      <c r="B6138" t="s">
        <v>7547</v>
      </c>
      <c r="C6138" t="s">
        <v>7548</v>
      </c>
      <c r="D6138" t="str">
        <f>HYPERLINK("http://service.sap.com/sap/support/notes/1761321","1761321")</f>
        <v>1761321</v>
      </c>
      <c r="E6138">
        <v>2</v>
      </c>
      <c r="F6138" t="s">
        <v>7549</v>
      </c>
    </row>
    <row r="6139" spans="1:6" x14ac:dyDescent="0.25">
      <c r="A6139" t="s">
        <v>6446</v>
      </c>
      <c r="B6139" t="s">
        <v>5198</v>
      </c>
      <c r="C6139" t="s">
        <v>5199</v>
      </c>
      <c r="D6139" t="str">
        <f>HYPERLINK("http://service.sap.com/sap/support/notes/1698949","1698949")</f>
        <v>1698949</v>
      </c>
      <c r="E6139">
        <v>2</v>
      </c>
      <c r="F6139" t="s">
        <v>7550</v>
      </c>
    </row>
    <row r="6140" spans="1:6" x14ac:dyDescent="0.25">
      <c r="A6140" t="s">
        <v>6446</v>
      </c>
      <c r="B6140" t="s">
        <v>5198</v>
      </c>
      <c r="C6140" t="s">
        <v>5199</v>
      </c>
      <c r="D6140" t="str">
        <f>HYPERLINK("http://service.sap.com/sap/support/notes/1793995","1793995")</f>
        <v>1793995</v>
      </c>
      <c r="E6140">
        <v>3</v>
      </c>
      <c r="F6140" t="s">
        <v>7551</v>
      </c>
    </row>
    <row r="6141" spans="1:6" x14ac:dyDescent="0.25">
      <c r="A6141" t="s">
        <v>6446</v>
      </c>
      <c r="B6141" t="s">
        <v>5198</v>
      </c>
      <c r="C6141" t="s">
        <v>5199</v>
      </c>
      <c r="D6141" t="str">
        <f>HYPERLINK("http://service.sap.com/sap/support/notes/1812801","1812801")</f>
        <v>1812801</v>
      </c>
      <c r="E6141">
        <v>1</v>
      </c>
      <c r="F6141" t="s">
        <v>7552</v>
      </c>
    </row>
    <row r="6142" spans="1:6" x14ac:dyDescent="0.25">
      <c r="A6142" t="s">
        <v>6446</v>
      </c>
      <c r="B6142" t="s">
        <v>5198</v>
      </c>
      <c r="C6142" t="s">
        <v>5199</v>
      </c>
      <c r="D6142" t="str">
        <f>HYPERLINK("http://service.sap.com/sap/support/notes/1821235","1821235")</f>
        <v>1821235</v>
      </c>
      <c r="E6142">
        <v>3</v>
      </c>
      <c r="F6142" t="s">
        <v>7553</v>
      </c>
    </row>
    <row r="6143" spans="1:6" x14ac:dyDescent="0.25">
      <c r="A6143" t="s">
        <v>6446</v>
      </c>
      <c r="B6143" t="s">
        <v>7554</v>
      </c>
      <c r="C6143" t="s">
        <v>7555</v>
      </c>
      <c r="D6143" t="str">
        <f>HYPERLINK("http://service.sap.com/sap/support/notes/1613311","1613311")</f>
        <v>1613311</v>
      </c>
      <c r="E6143">
        <v>2</v>
      </c>
      <c r="F6143" t="s">
        <v>7556</v>
      </c>
    </row>
    <row r="6144" spans="1:6" x14ac:dyDescent="0.25">
      <c r="A6144" t="s">
        <v>6446</v>
      </c>
      <c r="B6144" t="s">
        <v>5201</v>
      </c>
      <c r="C6144" t="s">
        <v>5202</v>
      </c>
      <c r="D6144" t="str">
        <f>HYPERLINK("http://service.sap.com/sap/support/notes/1777020","1777020")</f>
        <v>1777020</v>
      </c>
      <c r="E6144">
        <v>4</v>
      </c>
      <c r="F6144" t="s">
        <v>7557</v>
      </c>
    </row>
    <row r="6145" spans="1:6" x14ac:dyDescent="0.25">
      <c r="A6145" t="s">
        <v>6446</v>
      </c>
      <c r="B6145" t="s">
        <v>7558</v>
      </c>
      <c r="C6145" t="s">
        <v>7559</v>
      </c>
      <c r="D6145" t="str">
        <f>HYPERLINK("http://service.sap.com/sap/support/notes/1822358","1822358")</f>
        <v>1822358</v>
      </c>
      <c r="E6145">
        <v>1</v>
      </c>
      <c r="F6145" t="s">
        <v>7560</v>
      </c>
    </row>
    <row r="6146" spans="1:6" x14ac:dyDescent="0.25">
      <c r="A6146" t="s">
        <v>6446</v>
      </c>
      <c r="B6146" t="s">
        <v>1913</v>
      </c>
      <c r="C6146" t="s">
        <v>1914</v>
      </c>
      <c r="D6146" t="str">
        <f>HYPERLINK("http://service.sap.com/sap/support/notes/1823495","1823495")</f>
        <v>1823495</v>
      </c>
      <c r="E6146">
        <v>3</v>
      </c>
      <c r="F6146" t="s">
        <v>7561</v>
      </c>
    </row>
    <row r="6147" spans="1:6" x14ac:dyDescent="0.25">
      <c r="A6147" t="s">
        <v>6446</v>
      </c>
      <c r="B6147" t="s">
        <v>1913</v>
      </c>
      <c r="C6147" t="s">
        <v>1914</v>
      </c>
      <c r="D6147" t="str">
        <f>HYPERLINK("http://service.sap.com/sap/support/notes/1823950","1823950")</f>
        <v>1823950</v>
      </c>
      <c r="E6147">
        <v>3</v>
      </c>
      <c r="F6147" t="s">
        <v>7562</v>
      </c>
    </row>
    <row r="6148" spans="1:6" x14ac:dyDescent="0.25">
      <c r="A6148" t="s">
        <v>6446</v>
      </c>
      <c r="B6148" t="s">
        <v>1913</v>
      </c>
      <c r="C6148" t="s">
        <v>1914</v>
      </c>
      <c r="D6148" t="str">
        <f>HYPERLINK("http://service.sap.com/sap/support/notes/1826343","1826343")</f>
        <v>1826343</v>
      </c>
      <c r="E6148">
        <v>3</v>
      </c>
      <c r="F6148" t="s">
        <v>7563</v>
      </c>
    </row>
    <row r="6149" spans="1:6" x14ac:dyDescent="0.25">
      <c r="A6149" t="s">
        <v>6446</v>
      </c>
      <c r="B6149" t="s">
        <v>1922</v>
      </c>
      <c r="C6149" t="s">
        <v>1923</v>
      </c>
    </row>
    <row r="6150" spans="1:6" x14ac:dyDescent="0.25">
      <c r="A6150" t="s">
        <v>6446</v>
      </c>
      <c r="B6150" t="s">
        <v>1924</v>
      </c>
      <c r="C6150" t="s">
        <v>1925</v>
      </c>
      <c r="D6150" t="str">
        <f>HYPERLINK("http://service.sap.com/sap/support/notes/1805559","1805559")</f>
        <v>1805559</v>
      </c>
      <c r="E6150">
        <v>1</v>
      </c>
      <c r="F6150" t="s">
        <v>7564</v>
      </c>
    </row>
    <row r="6151" spans="1:6" x14ac:dyDescent="0.25">
      <c r="A6151" t="s">
        <v>6446</v>
      </c>
      <c r="B6151" t="s">
        <v>1924</v>
      </c>
      <c r="C6151" t="s">
        <v>1925</v>
      </c>
      <c r="D6151" t="str">
        <f>HYPERLINK("http://service.sap.com/sap/support/notes/1822868","1822868")</f>
        <v>1822868</v>
      </c>
      <c r="E6151">
        <v>2</v>
      </c>
      <c r="F6151" t="s">
        <v>7565</v>
      </c>
    </row>
    <row r="6152" spans="1:6" x14ac:dyDescent="0.25">
      <c r="A6152" t="s">
        <v>6446</v>
      </c>
      <c r="B6152" t="s">
        <v>1933</v>
      </c>
      <c r="C6152" t="s">
        <v>1934</v>
      </c>
    </row>
    <row r="6153" spans="1:6" x14ac:dyDescent="0.25">
      <c r="A6153" t="s">
        <v>6446</v>
      </c>
      <c r="B6153" t="s">
        <v>5216</v>
      </c>
      <c r="C6153" t="s">
        <v>151</v>
      </c>
      <c r="D6153" t="str">
        <f>HYPERLINK("http://service.sap.com/sap/support/notes/1800648","1800648")</f>
        <v>1800648</v>
      </c>
      <c r="E6153">
        <v>1</v>
      </c>
      <c r="F6153" t="s">
        <v>7566</v>
      </c>
    </row>
    <row r="6154" spans="1:6" x14ac:dyDescent="0.25">
      <c r="A6154" t="s">
        <v>6446</v>
      </c>
      <c r="B6154" t="s">
        <v>1935</v>
      </c>
      <c r="C6154" t="s">
        <v>1936</v>
      </c>
      <c r="D6154" t="str">
        <f>HYPERLINK("http://service.sap.com/sap/support/notes/1778450","1778450")</f>
        <v>1778450</v>
      </c>
      <c r="E6154">
        <v>5</v>
      </c>
      <c r="F6154" t="s">
        <v>7567</v>
      </c>
    </row>
    <row r="6155" spans="1:6" x14ac:dyDescent="0.25">
      <c r="A6155" t="s">
        <v>6446</v>
      </c>
      <c r="B6155" t="s">
        <v>1935</v>
      </c>
      <c r="C6155" t="s">
        <v>1936</v>
      </c>
      <c r="D6155" t="str">
        <f>HYPERLINK("http://service.sap.com/sap/support/notes/1779029","1779029")</f>
        <v>1779029</v>
      </c>
      <c r="E6155">
        <v>1</v>
      </c>
      <c r="F6155" t="s">
        <v>7568</v>
      </c>
    </row>
    <row r="6156" spans="1:6" x14ac:dyDescent="0.25">
      <c r="A6156" t="s">
        <v>6446</v>
      </c>
      <c r="B6156" t="s">
        <v>1935</v>
      </c>
      <c r="C6156" t="s">
        <v>1936</v>
      </c>
      <c r="D6156" t="str">
        <f>HYPERLINK("http://service.sap.com/sap/support/notes/1810942","1810942")</f>
        <v>1810942</v>
      </c>
      <c r="E6156">
        <v>1</v>
      </c>
      <c r="F6156" t="s">
        <v>7569</v>
      </c>
    </row>
    <row r="6157" spans="1:6" x14ac:dyDescent="0.25">
      <c r="A6157" t="s">
        <v>6446</v>
      </c>
      <c r="B6157" t="s">
        <v>1945</v>
      </c>
      <c r="C6157" t="s">
        <v>1946</v>
      </c>
      <c r="D6157" t="str">
        <f>HYPERLINK("http://service.sap.com/sap/support/notes/1686697","1686697")</f>
        <v>1686697</v>
      </c>
      <c r="E6157">
        <v>3</v>
      </c>
      <c r="F6157" t="s">
        <v>7570</v>
      </c>
    </row>
    <row r="6158" spans="1:6" x14ac:dyDescent="0.25">
      <c r="A6158" t="s">
        <v>6446</v>
      </c>
      <c r="B6158" t="s">
        <v>1948</v>
      </c>
      <c r="C6158" t="s">
        <v>1949</v>
      </c>
    </row>
    <row r="6159" spans="1:6" x14ac:dyDescent="0.25">
      <c r="A6159" t="s">
        <v>6446</v>
      </c>
      <c r="B6159" t="s">
        <v>1950</v>
      </c>
      <c r="C6159" t="s">
        <v>1951</v>
      </c>
      <c r="D6159" t="str">
        <f>HYPERLINK("http://service.sap.com/sap/support/notes/1804745","1804745")</f>
        <v>1804745</v>
      </c>
      <c r="E6159">
        <v>2</v>
      </c>
      <c r="F6159" t="s">
        <v>7571</v>
      </c>
    </row>
    <row r="6160" spans="1:6" x14ac:dyDescent="0.25">
      <c r="A6160" t="s">
        <v>6446</v>
      </c>
      <c r="B6160" t="s">
        <v>1950</v>
      </c>
      <c r="C6160" t="s">
        <v>1951</v>
      </c>
      <c r="D6160" t="str">
        <f>HYPERLINK("http://service.sap.com/sap/support/notes/1806199","1806199")</f>
        <v>1806199</v>
      </c>
      <c r="E6160">
        <v>1</v>
      </c>
      <c r="F6160" t="s">
        <v>7572</v>
      </c>
    </row>
    <row r="6161" spans="1:6" x14ac:dyDescent="0.25">
      <c r="A6161" t="s">
        <v>6446</v>
      </c>
      <c r="B6161" t="s">
        <v>1950</v>
      </c>
      <c r="C6161" t="s">
        <v>1951</v>
      </c>
      <c r="D6161" t="str">
        <f>HYPERLINK("http://service.sap.com/sap/support/notes/1807816","1807816")</f>
        <v>1807816</v>
      </c>
      <c r="E6161">
        <v>2</v>
      </c>
      <c r="F6161" t="s">
        <v>7573</v>
      </c>
    </row>
    <row r="6162" spans="1:6" x14ac:dyDescent="0.25">
      <c r="A6162" t="s">
        <v>6446</v>
      </c>
      <c r="B6162" t="s">
        <v>1950</v>
      </c>
      <c r="C6162" t="s">
        <v>1951</v>
      </c>
      <c r="D6162" t="str">
        <f>HYPERLINK("http://service.sap.com/sap/support/notes/1808379","1808379")</f>
        <v>1808379</v>
      </c>
      <c r="E6162">
        <v>1</v>
      </c>
      <c r="F6162" t="s">
        <v>7574</v>
      </c>
    </row>
    <row r="6163" spans="1:6" x14ac:dyDescent="0.25">
      <c r="A6163" t="s">
        <v>6446</v>
      </c>
      <c r="B6163" t="s">
        <v>1950</v>
      </c>
      <c r="C6163" t="s">
        <v>1951</v>
      </c>
      <c r="D6163" t="str">
        <f>HYPERLINK("http://service.sap.com/sap/support/notes/1826180","1826180")</f>
        <v>1826180</v>
      </c>
      <c r="E6163">
        <v>3</v>
      </c>
      <c r="F6163" t="s">
        <v>7575</v>
      </c>
    </row>
    <row r="6164" spans="1:6" x14ac:dyDescent="0.25">
      <c r="A6164" t="s">
        <v>6446</v>
      </c>
      <c r="B6164" t="s">
        <v>1955</v>
      </c>
      <c r="C6164" t="s">
        <v>1956</v>
      </c>
    </row>
    <row r="6165" spans="1:6" x14ac:dyDescent="0.25">
      <c r="A6165" t="s">
        <v>6446</v>
      </c>
      <c r="B6165" t="s">
        <v>1957</v>
      </c>
      <c r="C6165" t="s">
        <v>1696</v>
      </c>
      <c r="D6165" t="str">
        <f>HYPERLINK("http://service.sap.com/sap/support/notes/1798145","1798145")</f>
        <v>1798145</v>
      </c>
      <c r="E6165">
        <v>3</v>
      </c>
      <c r="F6165" t="s">
        <v>7576</v>
      </c>
    </row>
    <row r="6166" spans="1:6" x14ac:dyDescent="0.25">
      <c r="A6166" t="s">
        <v>6446</v>
      </c>
      <c r="B6166" t="s">
        <v>1966</v>
      </c>
      <c r="C6166" t="s">
        <v>1638</v>
      </c>
      <c r="D6166" t="str">
        <f>HYPERLINK("http://service.sap.com/sap/support/notes/1800957","1800957")</f>
        <v>1800957</v>
      </c>
      <c r="E6166">
        <v>1</v>
      </c>
      <c r="F6166" t="s">
        <v>7577</v>
      </c>
    </row>
    <row r="6167" spans="1:6" x14ac:dyDescent="0.25">
      <c r="A6167" t="s">
        <v>6446</v>
      </c>
      <c r="B6167" t="s">
        <v>1966</v>
      </c>
      <c r="C6167" t="s">
        <v>1638</v>
      </c>
      <c r="D6167" t="str">
        <f>HYPERLINK("http://service.sap.com/sap/support/notes/1823893","1823893")</f>
        <v>1823893</v>
      </c>
      <c r="E6167">
        <v>2</v>
      </c>
      <c r="F6167" t="s">
        <v>7578</v>
      </c>
    </row>
    <row r="6168" spans="1:6" x14ac:dyDescent="0.25">
      <c r="A6168" t="s">
        <v>6446</v>
      </c>
      <c r="B6168" t="s">
        <v>1966</v>
      </c>
      <c r="C6168" t="s">
        <v>1638</v>
      </c>
      <c r="D6168" t="str">
        <f>HYPERLINK("http://service.sap.com/sap/support/notes/1824976","1824976")</f>
        <v>1824976</v>
      </c>
      <c r="E6168">
        <v>1</v>
      </c>
      <c r="F6168" t="s">
        <v>7579</v>
      </c>
    </row>
    <row r="6169" spans="1:6" x14ac:dyDescent="0.25">
      <c r="A6169" t="s">
        <v>6446</v>
      </c>
      <c r="B6169" t="s">
        <v>1966</v>
      </c>
      <c r="C6169" t="s">
        <v>1638</v>
      </c>
      <c r="D6169" t="str">
        <f>HYPERLINK("http://service.sap.com/sap/support/notes/1826214","1826214")</f>
        <v>1826214</v>
      </c>
      <c r="E6169">
        <v>2</v>
      </c>
      <c r="F6169" t="s">
        <v>7580</v>
      </c>
    </row>
    <row r="6170" spans="1:6" x14ac:dyDescent="0.25">
      <c r="A6170" t="s">
        <v>6446</v>
      </c>
      <c r="B6170" t="s">
        <v>1966</v>
      </c>
      <c r="C6170" t="s">
        <v>1638</v>
      </c>
      <c r="D6170" t="str">
        <f>HYPERLINK("http://service.sap.com/sap/support/notes/1826692","1826692")</f>
        <v>1826692</v>
      </c>
      <c r="E6170">
        <v>3</v>
      </c>
      <c r="F6170" t="s">
        <v>7581</v>
      </c>
    </row>
    <row r="6171" spans="1:6" x14ac:dyDescent="0.25">
      <c r="A6171" t="s">
        <v>6446</v>
      </c>
      <c r="B6171" t="s">
        <v>1969</v>
      </c>
      <c r="C6171" t="s">
        <v>1878</v>
      </c>
      <c r="D6171" t="str">
        <f>HYPERLINK("http://service.sap.com/sap/support/notes/1739079","1739079")</f>
        <v>1739079</v>
      </c>
      <c r="E6171">
        <v>2</v>
      </c>
      <c r="F6171" t="s">
        <v>7582</v>
      </c>
    </row>
    <row r="6172" spans="1:6" x14ac:dyDescent="0.25">
      <c r="A6172" t="s">
        <v>6446</v>
      </c>
      <c r="B6172" t="s">
        <v>1969</v>
      </c>
      <c r="C6172" t="s">
        <v>1878</v>
      </c>
      <c r="D6172" t="str">
        <f>HYPERLINK("http://service.sap.com/sap/support/notes/1779643","1779643")</f>
        <v>1779643</v>
      </c>
      <c r="E6172">
        <v>1</v>
      </c>
      <c r="F6172" t="s">
        <v>7583</v>
      </c>
    </row>
    <row r="6173" spans="1:6" x14ac:dyDescent="0.25">
      <c r="A6173" t="s">
        <v>6446</v>
      </c>
      <c r="B6173" t="s">
        <v>1969</v>
      </c>
      <c r="C6173" t="s">
        <v>1878</v>
      </c>
      <c r="D6173" t="str">
        <f>HYPERLINK("http://service.sap.com/sap/support/notes/1798233","1798233")</f>
        <v>1798233</v>
      </c>
      <c r="E6173">
        <v>1</v>
      </c>
      <c r="F6173" t="s">
        <v>7584</v>
      </c>
    </row>
    <row r="6174" spans="1:6" x14ac:dyDescent="0.25">
      <c r="A6174" t="s">
        <v>6446</v>
      </c>
      <c r="B6174" t="s">
        <v>1969</v>
      </c>
      <c r="C6174" t="s">
        <v>1878</v>
      </c>
      <c r="D6174" t="str">
        <f>HYPERLINK("http://service.sap.com/sap/support/notes/1811971","1811971")</f>
        <v>1811971</v>
      </c>
      <c r="E6174">
        <v>1</v>
      </c>
      <c r="F6174" t="s">
        <v>7585</v>
      </c>
    </row>
    <row r="6175" spans="1:6" x14ac:dyDescent="0.25">
      <c r="A6175" t="s">
        <v>6446</v>
      </c>
      <c r="B6175" t="s">
        <v>1969</v>
      </c>
      <c r="C6175" t="s">
        <v>1878</v>
      </c>
      <c r="D6175" t="str">
        <f>HYPERLINK("http://service.sap.com/sap/support/notes/1819088","1819088")</f>
        <v>1819088</v>
      </c>
    </row>
    <row r="6176" spans="1:6" x14ac:dyDescent="0.25">
      <c r="A6176" t="s">
        <v>6446</v>
      </c>
      <c r="B6176" t="s">
        <v>1969</v>
      </c>
      <c r="C6176" t="s">
        <v>1878</v>
      </c>
      <c r="D6176" t="str">
        <f>HYPERLINK("http://service.sap.com/sap/support/notes/1826882","1826882")</f>
        <v>1826882</v>
      </c>
      <c r="E6176">
        <v>2</v>
      </c>
      <c r="F6176" t="s">
        <v>5236</v>
      </c>
    </row>
    <row r="6177" spans="1:6" x14ac:dyDescent="0.25">
      <c r="A6177" t="s">
        <v>6446</v>
      </c>
      <c r="B6177" t="s">
        <v>1978</v>
      </c>
      <c r="C6177" t="s">
        <v>1979</v>
      </c>
      <c r="D6177" t="str">
        <f>HYPERLINK("http://service.sap.com/sap/support/notes/1798913","1798913")</f>
        <v>1798913</v>
      </c>
      <c r="E6177">
        <v>4</v>
      </c>
      <c r="F6177" t="s">
        <v>7586</v>
      </c>
    </row>
    <row r="6178" spans="1:6" x14ac:dyDescent="0.25">
      <c r="A6178" t="s">
        <v>6446</v>
      </c>
      <c r="B6178" t="s">
        <v>1988</v>
      </c>
      <c r="C6178" t="s">
        <v>1989</v>
      </c>
    </row>
    <row r="6179" spans="1:6" x14ac:dyDescent="0.25">
      <c r="A6179" t="s">
        <v>6446</v>
      </c>
      <c r="B6179" t="s">
        <v>1990</v>
      </c>
      <c r="C6179" t="s">
        <v>445</v>
      </c>
      <c r="D6179" t="str">
        <f>HYPERLINK("http://service.sap.com/sap/support/notes/1800257","1800257")</f>
        <v>1800257</v>
      </c>
      <c r="E6179">
        <v>1</v>
      </c>
      <c r="F6179" t="s">
        <v>7587</v>
      </c>
    </row>
    <row r="6180" spans="1:6" x14ac:dyDescent="0.25">
      <c r="A6180" t="s">
        <v>6446</v>
      </c>
      <c r="B6180" t="s">
        <v>1990</v>
      </c>
      <c r="C6180" t="s">
        <v>445</v>
      </c>
      <c r="D6180" t="str">
        <f>HYPERLINK("http://service.sap.com/sap/support/notes/1805135","1805135")</f>
        <v>1805135</v>
      </c>
      <c r="E6180">
        <v>2</v>
      </c>
      <c r="F6180" t="s">
        <v>7588</v>
      </c>
    </row>
    <row r="6181" spans="1:6" x14ac:dyDescent="0.25">
      <c r="A6181" t="s">
        <v>6446</v>
      </c>
      <c r="B6181" t="s">
        <v>1990</v>
      </c>
      <c r="C6181" t="s">
        <v>445</v>
      </c>
      <c r="D6181" t="str">
        <f>HYPERLINK("http://service.sap.com/sap/support/notes/1807407","1807407")</f>
        <v>1807407</v>
      </c>
      <c r="E6181">
        <v>2</v>
      </c>
      <c r="F6181" t="s">
        <v>7589</v>
      </c>
    </row>
    <row r="6182" spans="1:6" x14ac:dyDescent="0.25">
      <c r="A6182" t="s">
        <v>6446</v>
      </c>
      <c r="B6182" t="s">
        <v>1994</v>
      </c>
      <c r="C6182" t="s">
        <v>1995</v>
      </c>
    </row>
    <row r="6183" spans="1:6" x14ac:dyDescent="0.25">
      <c r="A6183" t="s">
        <v>6446</v>
      </c>
      <c r="B6183" t="s">
        <v>1996</v>
      </c>
      <c r="C6183" t="s">
        <v>1997</v>
      </c>
      <c r="D6183" t="str">
        <f>HYPERLINK("http://service.sap.com/sap/support/notes/1798090","1798090")</f>
        <v>1798090</v>
      </c>
      <c r="E6183">
        <v>1</v>
      </c>
      <c r="F6183" t="s">
        <v>7590</v>
      </c>
    </row>
    <row r="6184" spans="1:6" x14ac:dyDescent="0.25">
      <c r="A6184" t="s">
        <v>6446</v>
      </c>
      <c r="B6184" t="s">
        <v>1996</v>
      </c>
      <c r="C6184" t="s">
        <v>1997</v>
      </c>
      <c r="D6184" t="str">
        <f>HYPERLINK("http://service.sap.com/sap/support/notes/1799761","1799761")</f>
        <v>1799761</v>
      </c>
      <c r="E6184">
        <v>1</v>
      </c>
      <c r="F6184" t="s">
        <v>7591</v>
      </c>
    </row>
    <row r="6185" spans="1:6" x14ac:dyDescent="0.25">
      <c r="A6185" t="s">
        <v>6446</v>
      </c>
      <c r="B6185" t="s">
        <v>1996</v>
      </c>
      <c r="C6185" t="s">
        <v>1997</v>
      </c>
      <c r="D6185" t="str">
        <f>HYPERLINK("http://service.sap.com/sap/support/notes/1809288","1809288")</f>
        <v>1809288</v>
      </c>
      <c r="E6185">
        <v>3</v>
      </c>
      <c r="F6185" t="s">
        <v>7592</v>
      </c>
    </row>
    <row r="6186" spans="1:6" x14ac:dyDescent="0.25">
      <c r="A6186" t="s">
        <v>6446</v>
      </c>
      <c r="B6186" t="s">
        <v>1996</v>
      </c>
      <c r="C6186" t="s">
        <v>1997</v>
      </c>
      <c r="D6186" t="str">
        <f>HYPERLINK("http://service.sap.com/sap/support/notes/1821111","1821111")</f>
        <v>1821111</v>
      </c>
      <c r="E6186">
        <v>2</v>
      </c>
      <c r="F6186" t="s">
        <v>7593</v>
      </c>
    </row>
    <row r="6187" spans="1:6" x14ac:dyDescent="0.25">
      <c r="A6187" t="s">
        <v>6446</v>
      </c>
      <c r="B6187" t="s">
        <v>2002</v>
      </c>
      <c r="C6187" t="s">
        <v>657</v>
      </c>
    </row>
    <row r="6188" spans="1:6" x14ac:dyDescent="0.25">
      <c r="A6188" t="s">
        <v>6446</v>
      </c>
      <c r="B6188" t="s">
        <v>2003</v>
      </c>
      <c r="C6188" t="s">
        <v>2004</v>
      </c>
      <c r="D6188" t="str">
        <f>HYPERLINK("http://service.sap.com/sap/support/notes/1787416","1787416")</f>
        <v>1787416</v>
      </c>
      <c r="E6188">
        <v>2</v>
      </c>
      <c r="F6188" t="s">
        <v>7594</v>
      </c>
    </row>
    <row r="6189" spans="1:6" x14ac:dyDescent="0.25">
      <c r="A6189" t="s">
        <v>6446</v>
      </c>
      <c r="B6189" t="s">
        <v>2003</v>
      </c>
      <c r="C6189" t="s">
        <v>2004</v>
      </c>
      <c r="D6189" t="str">
        <f>HYPERLINK("http://service.sap.com/sap/support/notes/1805070","1805070")</f>
        <v>1805070</v>
      </c>
      <c r="E6189">
        <v>4</v>
      </c>
      <c r="F6189" t="s">
        <v>7595</v>
      </c>
    </row>
    <row r="6190" spans="1:6" x14ac:dyDescent="0.25">
      <c r="A6190" t="s">
        <v>6446</v>
      </c>
      <c r="B6190" t="s">
        <v>2003</v>
      </c>
      <c r="C6190" t="s">
        <v>2004</v>
      </c>
      <c r="D6190" t="str">
        <f>HYPERLINK("http://service.sap.com/sap/support/notes/1808574","1808574")</f>
        <v>1808574</v>
      </c>
      <c r="E6190">
        <v>1</v>
      </c>
      <c r="F6190" t="s">
        <v>7596</v>
      </c>
    </row>
    <row r="6191" spans="1:6" x14ac:dyDescent="0.25">
      <c r="A6191" t="s">
        <v>6446</v>
      </c>
      <c r="B6191" t="s">
        <v>2003</v>
      </c>
      <c r="C6191" t="s">
        <v>2004</v>
      </c>
      <c r="D6191" t="str">
        <f>HYPERLINK("http://service.sap.com/sap/support/notes/1809047","1809047")</f>
        <v>1809047</v>
      </c>
      <c r="E6191">
        <v>1</v>
      </c>
      <c r="F6191" t="s">
        <v>7597</v>
      </c>
    </row>
    <row r="6192" spans="1:6" x14ac:dyDescent="0.25">
      <c r="A6192" t="s">
        <v>6446</v>
      </c>
      <c r="B6192" t="s">
        <v>2003</v>
      </c>
      <c r="C6192" t="s">
        <v>2004</v>
      </c>
      <c r="D6192" t="str">
        <f>HYPERLINK("http://service.sap.com/sap/support/notes/1809447","1809447")</f>
        <v>1809447</v>
      </c>
      <c r="E6192">
        <v>1</v>
      </c>
      <c r="F6192" t="s">
        <v>7598</v>
      </c>
    </row>
    <row r="6193" spans="1:6" x14ac:dyDescent="0.25">
      <c r="A6193" t="s">
        <v>6446</v>
      </c>
      <c r="B6193" t="s">
        <v>2003</v>
      </c>
      <c r="C6193" t="s">
        <v>2004</v>
      </c>
      <c r="D6193" t="str">
        <f>HYPERLINK("http://service.sap.com/sap/support/notes/1816149","1816149")</f>
        <v>1816149</v>
      </c>
      <c r="E6193">
        <v>3</v>
      </c>
      <c r="F6193" t="s">
        <v>7599</v>
      </c>
    </row>
    <row r="6194" spans="1:6" x14ac:dyDescent="0.25">
      <c r="A6194" t="s">
        <v>6446</v>
      </c>
      <c r="B6194" t="s">
        <v>2003</v>
      </c>
      <c r="C6194" t="s">
        <v>2004</v>
      </c>
      <c r="D6194" t="str">
        <f>HYPERLINK("http://service.sap.com/sap/support/notes/1818164","1818164")</f>
        <v>1818164</v>
      </c>
      <c r="E6194">
        <v>4</v>
      </c>
      <c r="F6194" t="s">
        <v>7600</v>
      </c>
    </row>
    <row r="6195" spans="1:6" x14ac:dyDescent="0.25">
      <c r="A6195" t="s">
        <v>6446</v>
      </c>
      <c r="B6195" t="s">
        <v>2003</v>
      </c>
      <c r="C6195" t="s">
        <v>2004</v>
      </c>
      <c r="D6195" t="str">
        <f>HYPERLINK("http://service.sap.com/sap/support/notes/1824770","1824770")</f>
        <v>1824770</v>
      </c>
      <c r="E6195">
        <v>1</v>
      </c>
      <c r="F6195" t="s">
        <v>7601</v>
      </c>
    </row>
    <row r="6196" spans="1:6" x14ac:dyDescent="0.25">
      <c r="A6196" t="s">
        <v>6446</v>
      </c>
      <c r="B6196" t="s">
        <v>2003</v>
      </c>
      <c r="C6196" t="s">
        <v>2004</v>
      </c>
      <c r="D6196" t="str">
        <f>HYPERLINK("http://service.sap.com/sap/support/notes/1831803","1831803")</f>
        <v>1831803</v>
      </c>
      <c r="E6196">
        <v>1</v>
      </c>
      <c r="F6196" t="s">
        <v>7602</v>
      </c>
    </row>
    <row r="6197" spans="1:6" x14ac:dyDescent="0.25">
      <c r="A6197" t="s">
        <v>6446</v>
      </c>
      <c r="B6197" t="s">
        <v>7603</v>
      </c>
      <c r="C6197" t="s">
        <v>7604</v>
      </c>
      <c r="D6197" t="str">
        <f>HYPERLINK("http://service.sap.com/sap/support/notes/1793842","1793842")</f>
        <v>1793842</v>
      </c>
      <c r="E6197">
        <v>7</v>
      </c>
      <c r="F6197" t="s">
        <v>7605</v>
      </c>
    </row>
    <row r="6198" spans="1:6" x14ac:dyDescent="0.25">
      <c r="A6198" t="s">
        <v>6446</v>
      </c>
      <c r="B6198" t="s">
        <v>7603</v>
      </c>
      <c r="C6198" t="s">
        <v>7604</v>
      </c>
      <c r="D6198" t="str">
        <f>HYPERLINK("http://service.sap.com/sap/support/notes/1823641","1823641")</f>
        <v>1823641</v>
      </c>
      <c r="E6198">
        <v>4</v>
      </c>
      <c r="F6198" t="s">
        <v>7606</v>
      </c>
    </row>
    <row r="6199" spans="1:6" x14ac:dyDescent="0.25">
      <c r="A6199" t="s">
        <v>6446</v>
      </c>
      <c r="B6199" t="s">
        <v>2011</v>
      </c>
      <c r="C6199" t="s">
        <v>2012</v>
      </c>
      <c r="D6199" t="str">
        <f>HYPERLINK("http://service.sap.com/sap/support/notes/1804051","1804051")</f>
        <v>1804051</v>
      </c>
      <c r="E6199">
        <v>2</v>
      </c>
      <c r="F6199" t="s">
        <v>7607</v>
      </c>
    </row>
    <row r="6200" spans="1:6" x14ac:dyDescent="0.25">
      <c r="A6200" t="s">
        <v>6446</v>
      </c>
      <c r="B6200" t="s">
        <v>2011</v>
      </c>
      <c r="C6200" t="s">
        <v>2012</v>
      </c>
      <c r="D6200" t="str">
        <f>HYPERLINK("http://service.sap.com/sap/support/notes/1815302","1815302")</f>
        <v>1815302</v>
      </c>
      <c r="E6200">
        <v>3</v>
      </c>
      <c r="F6200" t="s">
        <v>7608</v>
      </c>
    </row>
    <row r="6201" spans="1:6" x14ac:dyDescent="0.25">
      <c r="A6201" t="s">
        <v>6446</v>
      </c>
      <c r="B6201" t="s">
        <v>2011</v>
      </c>
      <c r="C6201" t="s">
        <v>2012</v>
      </c>
      <c r="D6201" t="str">
        <f>HYPERLINK("http://service.sap.com/sap/support/notes/1818172","1818172")</f>
        <v>1818172</v>
      </c>
      <c r="E6201">
        <v>2</v>
      </c>
      <c r="F6201" t="s">
        <v>7609</v>
      </c>
    </row>
    <row r="6202" spans="1:6" x14ac:dyDescent="0.25">
      <c r="A6202" t="s">
        <v>6446</v>
      </c>
      <c r="B6202" t="s">
        <v>2011</v>
      </c>
      <c r="C6202" t="s">
        <v>2012</v>
      </c>
      <c r="D6202" t="str">
        <f>HYPERLINK("http://service.sap.com/sap/support/notes/1823801","1823801")</f>
        <v>1823801</v>
      </c>
      <c r="E6202">
        <v>1</v>
      </c>
      <c r="F6202" t="s">
        <v>7610</v>
      </c>
    </row>
    <row r="6203" spans="1:6" x14ac:dyDescent="0.25">
      <c r="A6203" t="s">
        <v>6446</v>
      </c>
      <c r="B6203" t="s">
        <v>2022</v>
      </c>
      <c r="C6203" t="s">
        <v>2023</v>
      </c>
      <c r="D6203" t="str">
        <f>HYPERLINK("http://service.sap.com/sap/support/notes/1772692","1772692")</f>
        <v>1772692</v>
      </c>
      <c r="E6203">
        <v>2</v>
      </c>
      <c r="F6203" t="s">
        <v>7611</v>
      </c>
    </row>
    <row r="6204" spans="1:6" x14ac:dyDescent="0.25">
      <c r="A6204" t="s">
        <v>6446</v>
      </c>
      <c r="B6204" t="s">
        <v>2022</v>
      </c>
      <c r="C6204" t="s">
        <v>2023</v>
      </c>
      <c r="D6204" t="str">
        <f>HYPERLINK("http://service.sap.com/sap/support/notes/1782318","1782318")</f>
        <v>1782318</v>
      </c>
      <c r="E6204">
        <v>1</v>
      </c>
      <c r="F6204" t="s">
        <v>7612</v>
      </c>
    </row>
    <row r="6205" spans="1:6" x14ac:dyDescent="0.25">
      <c r="A6205" t="s">
        <v>6446</v>
      </c>
      <c r="B6205" t="s">
        <v>2022</v>
      </c>
      <c r="C6205" t="s">
        <v>2023</v>
      </c>
      <c r="D6205" t="str">
        <f>HYPERLINK("http://service.sap.com/sap/support/notes/1785875","1785875")</f>
        <v>1785875</v>
      </c>
      <c r="E6205">
        <v>2</v>
      </c>
      <c r="F6205" t="s">
        <v>7613</v>
      </c>
    </row>
    <row r="6206" spans="1:6" x14ac:dyDescent="0.25">
      <c r="A6206" t="s">
        <v>6446</v>
      </c>
      <c r="B6206" t="s">
        <v>2022</v>
      </c>
      <c r="C6206" t="s">
        <v>2023</v>
      </c>
      <c r="D6206" t="str">
        <f>HYPERLINK("http://service.sap.com/sap/support/notes/1797196","1797196")</f>
        <v>1797196</v>
      </c>
      <c r="E6206">
        <v>1</v>
      </c>
      <c r="F6206" t="s">
        <v>7614</v>
      </c>
    </row>
    <row r="6207" spans="1:6" x14ac:dyDescent="0.25">
      <c r="A6207" t="s">
        <v>6446</v>
      </c>
      <c r="B6207" t="s">
        <v>2022</v>
      </c>
      <c r="C6207" t="s">
        <v>2023</v>
      </c>
      <c r="D6207" t="str">
        <f>HYPERLINK("http://service.sap.com/sap/support/notes/1805686","1805686")</f>
        <v>1805686</v>
      </c>
      <c r="E6207">
        <v>2</v>
      </c>
      <c r="F6207" t="s">
        <v>7615</v>
      </c>
    </row>
    <row r="6208" spans="1:6" x14ac:dyDescent="0.25">
      <c r="A6208" t="s">
        <v>6446</v>
      </c>
      <c r="B6208" t="s">
        <v>2022</v>
      </c>
      <c r="C6208" t="s">
        <v>2023</v>
      </c>
      <c r="D6208" t="str">
        <f>HYPERLINK("http://service.sap.com/sap/support/notes/1810799","1810799")</f>
        <v>1810799</v>
      </c>
      <c r="E6208">
        <v>2</v>
      </c>
      <c r="F6208" t="s">
        <v>7616</v>
      </c>
    </row>
    <row r="6209" spans="1:6" x14ac:dyDescent="0.25">
      <c r="A6209" t="s">
        <v>6446</v>
      </c>
      <c r="B6209" t="s">
        <v>2022</v>
      </c>
      <c r="C6209" t="s">
        <v>2023</v>
      </c>
      <c r="D6209" t="str">
        <f>HYPERLINK("http://service.sap.com/sap/support/notes/1813251","1813251")</f>
        <v>1813251</v>
      </c>
      <c r="E6209">
        <v>1</v>
      </c>
      <c r="F6209" t="s">
        <v>7617</v>
      </c>
    </row>
    <row r="6210" spans="1:6" x14ac:dyDescent="0.25">
      <c r="A6210" t="s">
        <v>6446</v>
      </c>
      <c r="B6210" t="s">
        <v>5272</v>
      </c>
      <c r="C6210" t="s">
        <v>5273</v>
      </c>
      <c r="D6210" t="str">
        <f>HYPERLINK("http://service.sap.com/sap/support/notes/1783999","1783999")</f>
        <v>1783999</v>
      </c>
      <c r="E6210">
        <v>2</v>
      </c>
      <c r="F6210" t="s">
        <v>7618</v>
      </c>
    </row>
    <row r="6211" spans="1:6" x14ac:dyDescent="0.25">
      <c r="A6211" t="s">
        <v>6446</v>
      </c>
      <c r="B6211" t="s">
        <v>2031</v>
      </c>
      <c r="C6211" t="s">
        <v>2032</v>
      </c>
      <c r="D6211" t="str">
        <f>HYPERLINK("http://service.sap.com/sap/support/notes/1798597","1798597")</f>
        <v>1798597</v>
      </c>
      <c r="E6211">
        <v>2</v>
      </c>
      <c r="F6211" t="s">
        <v>7619</v>
      </c>
    </row>
    <row r="6212" spans="1:6" x14ac:dyDescent="0.25">
      <c r="A6212" t="s">
        <v>6446</v>
      </c>
      <c r="B6212" t="s">
        <v>2031</v>
      </c>
      <c r="C6212" t="s">
        <v>2032</v>
      </c>
      <c r="D6212" t="str">
        <f>HYPERLINK("http://service.sap.com/sap/support/notes/1799102","1799102")</f>
        <v>1799102</v>
      </c>
      <c r="E6212">
        <v>1</v>
      </c>
      <c r="F6212" t="s">
        <v>7620</v>
      </c>
    </row>
    <row r="6213" spans="1:6" x14ac:dyDescent="0.25">
      <c r="A6213" t="s">
        <v>6446</v>
      </c>
      <c r="B6213" t="s">
        <v>7621</v>
      </c>
      <c r="C6213" t="s">
        <v>7622</v>
      </c>
      <c r="D6213" t="str">
        <f>HYPERLINK("http://service.sap.com/sap/support/notes/1803053","1803053")</f>
        <v>1803053</v>
      </c>
      <c r="E6213">
        <v>1</v>
      </c>
      <c r="F6213" t="s">
        <v>7623</v>
      </c>
    </row>
    <row r="6214" spans="1:6" x14ac:dyDescent="0.25">
      <c r="A6214" t="s">
        <v>6446</v>
      </c>
      <c r="B6214" t="s">
        <v>2034</v>
      </c>
      <c r="C6214" t="s">
        <v>2035</v>
      </c>
      <c r="D6214" t="str">
        <f>HYPERLINK("http://service.sap.com/sap/support/notes/1797803","1797803")</f>
        <v>1797803</v>
      </c>
      <c r="E6214">
        <v>4</v>
      </c>
      <c r="F6214" t="s">
        <v>7624</v>
      </c>
    </row>
    <row r="6215" spans="1:6" x14ac:dyDescent="0.25">
      <c r="A6215" t="s">
        <v>6446</v>
      </c>
      <c r="B6215" t="s">
        <v>2034</v>
      </c>
      <c r="C6215" t="s">
        <v>2035</v>
      </c>
      <c r="D6215" t="str">
        <f>HYPERLINK("http://service.sap.com/sap/support/notes/1799356","1799356")</f>
        <v>1799356</v>
      </c>
      <c r="E6215">
        <v>2</v>
      </c>
      <c r="F6215" t="s">
        <v>7625</v>
      </c>
    </row>
    <row r="6216" spans="1:6" x14ac:dyDescent="0.25">
      <c r="A6216" t="s">
        <v>6446</v>
      </c>
      <c r="B6216" t="s">
        <v>2034</v>
      </c>
      <c r="C6216" t="s">
        <v>2035</v>
      </c>
      <c r="D6216" t="str">
        <f>HYPERLINK("http://service.sap.com/sap/support/notes/1807891","1807891")</f>
        <v>1807891</v>
      </c>
      <c r="E6216">
        <v>2</v>
      </c>
      <c r="F6216" t="s">
        <v>7626</v>
      </c>
    </row>
    <row r="6217" spans="1:6" x14ac:dyDescent="0.25">
      <c r="A6217" t="s">
        <v>6446</v>
      </c>
      <c r="B6217" t="s">
        <v>2034</v>
      </c>
      <c r="C6217" t="s">
        <v>2035</v>
      </c>
      <c r="D6217" t="str">
        <f>HYPERLINK("http://service.sap.com/sap/support/notes/1816410","1816410")</f>
        <v>1816410</v>
      </c>
      <c r="E6217">
        <v>1</v>
      </c>
      <c r="F6217" t="s">
        <v>7627</v>
      </c>
    </row>
    <row r="6218" spans="1:6" x14ac:dyDescent="0.25">
      <c r="A6218" t="s">
        <v>6446</v>
      </c>
      <c r="B6218" t="s">
        <v>2034</v>
      </c>
      <c r="C6218" t="s">
        <v>2035</v>
      </c>
      <c r="D6218" t="str">
        <f>HYPERLINK("http://service.sap.com/sap/support/notes/1818595","1818595")</f>
        <v>1818595</v>
      </c>
      <c r="E6218">
        <v>1</v>
      </c>
      <c r="F6218" t="s">
        <v>5284</v>
      </c>
    </row>
    <row r="6219" spans="1:6" x14ac:dyDescent="0.25">
      <c r="A6219" t="s">
        <v>6446</v>
      </c>
      <c r="B6219" t="s">
        <v>2034</v>
      </c>
      <c r="C6219" t="s">
        <v>2035</v>
      </c>
      <c r="D6219" t="str">
        <f>HYPERLINK("http://service.sap.com/sap/support/notes/1824773","1824773")</f>
        <v>1824773</v>
      </c>
      <c r="E6219">
        <v>2</v>
      </c>
      <c r="F6219" t="s">
        <v>7628</v>
      </c>
    </row>
    <row r="6220" spans="1:6" x14ac:dyDescent="0.25">
      <c r="A6220" t="s">
        <v>6446</v>
      </c>
      <c r="B6220" t="s">
        <v>2034</v>
      </c>
      <c r="C6220" t="s">
        <v>2035</v>
      </c>
      <c r="D6220" t="str">
        <f>HYPERLINK("http://service.sap.com/sap/support/notes/1826945","1826945")</f>
        <v>1826945</v>
      </c>
      <c r="E6220">
        <v>3</v>
      </c>
      <c r="F6220" t="s">
        <v>7629</v>
      </c>
    </row>
    <row r="6221" spans="1:6" x14ac:dyDescent="0.25">
      <c r="A6221" t="s">
        <v>6446</v>
      </c>
      <c r="B6221" t="s">
        <v>2034</v>
      </c>
      <c r="C6221" t="s">
        <v>2035</v>
      </c>
      <c r="D6221" t="str">
        <f>HYPERLINK("http://service.sap.com/sap/support/notes/1828756","1828756")</f>
        <v>1828756</v>
      </c>
      <c r="E6221">
        <v>2</v>
      </c>
      <c r="F6221" t="s">
        <v>7630</v>
      </c>
    </row>
    <row r="6222" spans="1:6" x14ac:dyDescent="0.25">
      <c r="A6222" t="s">
        <v>6446</v>
      </c>
      <c r="B6222" t="s">
        <v>2034</v>
      </c>
      <c r="C6222" t="s">
        <v>2035</v>
      </c>
      <c r="D6222" t="str">
        <f>HYPERLINK("http://service.sap.com/sap/support/notes/1830885","1830885")</f>
        <v>1830885</v>
      </c>
      <c r="E6222">
        <v>1</v>
      </c>
      <c r="F6222" t="s">
        <v>7631</v>
      </c>
    </row>
    <row r="6223" spans="1:6" x14ac:dyDescent="0.25">
      <c r="A6223" t="s">
        <v>6446</v>
      </c>
      <c r="B6223" t="s">
        <v>2034</v>
      </c>
      <c r="C6223" t="s">
        <v>2035</v>
      </c>
      <c r="D6223" t="str">
        <f>HYPERLINK("http://service.sap.com/sap/support/notes/1830888","1830888")</f>
        <v>1830888</v>
      </c>
      <c r="E6223">
        <v>1</v>
      </c>
      <c r="F6223" t="s">
        <v>7632</v>
      </c>
    </row>
    <row r="6224" spans="1:6" x14ac:dyDescent="0.25">
      <c r="A6224" t="s">
        <v>6446</v>
      </c>
      <c r="B6224" t="s">
        <v>2034</v>
      </c>
      <c r="C6224" t="s">
        <v>2035</v>
      </c>
      <c r="D6224" t="str">
        <f>HYPERLINK("http://service.sap.com/sap/support/notes/1830892","1830892")</f>
        <v>1830892</v>
      </c>
      <c r="E6224">
        <v>1</v>
      </c>
      <c r="F6224" t="s">
        <v>7633</v>
      </c>
    </row>
    <row r="6225" spans="1:6" x14ac:dyDescent="0.25">
      <c r="A6225" t="s">
        <v>6446</v>
      </c>
      <c r="B6225" t="s">
        <v>2034</v>
      </c>
      <c r="C6225" t="s">
        <v>2035</v>
      </c>
      <c r="D6225" t="str">
        <f>HYPERLINK("http://service.sap.com/sap/support/notes/1830965","1830965")</f>
        <v>1830965</v>
      </c>
      <c r="E6225">
        <v>1</v>
      </c>
      <c r="F6225" t="s">
        <v>7634</v>
      </c>
    </row>
    <row r="6226" spans="1:6" x14ac:dyDescent="0.25">
      <c r="A6226" t="s">
        <v>6446</v>
      </c>
      <c r="B6226" t="s">
        <v>2034</v>
      </c>
      <c r="C6226" t="s">
        <v>2035</v>
      </c>
      <c r="D6226" t="str">
        <f>HYPERLINK("http://service.sap.com/sap/support/notes/1831045","1831045")</f>
        <v>1831045</v>
      </c>
      <c r="E6226">
        <v>1</v>
      </c>
      <c r="F6226" t="s">
        <v>7635</v>
      </c>
    </row>
    <row r="6227" spans="1:6" x14ac:dyDescent="0.25">
      <c r="A6227" t="s">
        <v>6446</v>
      </c>
      <c r="B6227" t="s">
        <v>2034</v>
      </c>
      <c r="C6227" t="s">
        <v>2035</v>
      </c>
      <c r="D6227" t="str">
        <f>HYPERLINK("http://service.sap.com/sap/support/notes/1831077","1831077")</f>
        <v>1831077</v>
      </c>
      <c r="E6227">
        <v>1</v>
      </c>
      <c r="F6227" t="s">
        <v>7636</v>
      </c>
    </row>
    <row r="6228" spans="1:6" x14ac:dyDescent="0.25">
      <c r="A6228" t="s">
        <v>6446</v>
      </c>
      <c r="B6228" t="s">
        <v>7637</v>
      </c>
      <c r="C6228" t="s">
        <v>7638</v>
      </c>
      <c r="D6228" t="str">
        <f>HYPERLINK("http://service.sap.com/sap/support/notes/1798657","1798657")</f>
        <v>1798657</v>
      </c>
      <c r="E6228">
        <v>2</v>
      </c>
      <c r="F6228" t="s">
        <v>7639</v>
      </c>
    </row>
    <row r="6229" spans="1:6" x14ac:dyDescent="0.25">
      <c r="A6229" t="s">
        <v>6446</v>
      </c>
      <c r="B6229" t="s">
        <v>7640</v>
      </c>
      <c r="C6229" t="s">
        <v>7641</v>
      </c>
      <c r="D6229" t="str">
        <f>HYPERLINK("http://service.sap.com/sap/support/notes/1824523","1824523")</f>
        <v>1824523</v>
      </c>
      <c r="E6229">
        <v>4</v>
      </c>
      <c r="F6229" t="s">
        <v>7642</v>
      </c>
    </row>
    <row r="6230" spans="1:6" x14ac:dyDescent="0.25">
      <c r="A6230" t="s">
        <v>6446</v>
      </c>
      <c r="B6230" t="s">
        <v>2052</v>
      </c>
      <c r="C6230" t="s">
        <v>2053</v>
      </c>
      <c r="D6230" t="str">
        <f>HYPERLINK("http://service.sap.com/sap/support/notes/1799683","1799683")</f>
        <v>1799683</v>
      </c>
      <c r="E6230">
        <v>1</v>
      </c>
      <c r="F6230" t="s">
        <v>7643</v>
      </c>
    </row>
    <row r="6231" spans="1:6" x14ac:dyDescent="0.25">
      <c r="A6231" t="s">
        <v>6446</v>
      </c>
      <c r="B6231" t="s">
        <v>2052</v>
      </c>
      <c r="C6231" t="s">
        <v>2053</v>
      </c>
      <c r="D6231" t="str">
        <f>HYPERLINK("http://service.sap.com/sap/support/notes/1803587","1803587")</f>
        <v>1803587</v>
      </c>
      <c r="E6231">
        <v>4</v>
      </c>
      <c r="F6231" t="s">
        <v>7644</v>
      </c>
    </row>
    <row r="6232" spans="1:6" x14ac:dyDescent="0.25">
      <c r="A6232" t="s">
        <v>6446</v>
      </c>
      <c r="B6232" t="s">
        <v>2052</v>
      </c>
      <c r="C6232" t="s">
        <v>2053</v>
      </c>
      <c r="D6232" t="str">
        <f>HYPERLINK("http://service.sap.com/sap/support/notes/1811391","1811391")</f>
        <v>1811391</v>
      </c>
      <c r="E6232">
        <v>1</v>
      </c>
      <c r="F6232" t="s">
        <v>7645</v>
      </c>
    </row>
    <row r="6233" spans="1:6" x14ac:dyDescent="0.25">
      <c r="A6233" t="s">
        <v>6446</v>
      </c>
      <c r="B6233" t="s">
        <v>2052</v>
      </c>
      <c r="C6233" t="s">
        <v>2053</v>
      </c>
      <c r="D6233" t="str">
        <f>HYPERLINK("http://service.sap.com/sap/support/notes/1814733","1814733")</f>
        <v>1814733</v>
      </c>
      <c r="E6233">
        <v>1</v>
      </c>
      <c r="F6233" t="s">
        <v>7646</v>
      </c>
    </row>
    <row r="6234" spans="1:6" x14ac:dyDescent="0.25">
      <c r="A6234" t="s">
        <v>6446</v>
      </c>
      <c r="B6234" t="s">
        <v>2062</v>
      </c>
      <c r="C6234" t="s">
        <v>2063</v>
      </c>
      <c r="D6234" t="str">
        <f>HYPERLINK("http://service.sap.com/sap/support/notes/1342144","1342144")</f>
        <v>1342144</v>
      </c>
      <c r="E6234">
        <v>9</v>
      </c>
      <c r="F6234" t="s">
        <v>7647</v>
      </c>
    </row>
    <row r="6235" spans="1:6" x14ac:dyDescent="0.25">
      <c r="A6235" t="s">
        <v>6446</v>
      </c>
      <c r="B6235" t="s">
        <v>2062</v>
      </c>
      <c r="C6235" t="s">
        <v>2063</v>
      </c>
      <c r="D6235" t="str">
        <f>HYPERLINK("http://service.sap.com/sap/support/notes/1822836","1822836")</f>
        <v>1822836</v>
      </c>
      <c r="E6235">
        <v>1</v>
      </c>
      <c r="F6235" t="s">
        <v>7648</v>
      </c>
    </row>
    <row r="6236" spans="1:6" x14ac:dyDescent="0.25">
      <c r="A6236" t="s">
        <v>6446</v>
      </c>
      <c r="B6236" t="s">
        <v>2062</v>
      </c>
      <c r="C6236" t="s">
        <v>2063</v>
      </c>
      <c r="D6236" t="str">
        <f>HYPERLINK("http://service.sap.com/sap/support/notes/1826861","1826861")</f>
        <v>1826861</v>
      </c>
      <c r="E6236">
        <v>1</v>
      </c>
      <c r="F6236" t="s">
        <v>7649</v>
      </c>
    </row>
    <row r="6237" spans="1:6" x14ac:dyDescent="0.25">
      <c r="A6237" t="s">
        <v>6446</v>
      </c>
      <c r="B6237" t="s">
        <v>5298</v>
      </c>
      <c r="C6237" t="s">
        <v>5299</v>
      </c>
      <c r="D6237" t="str">
        <f>HYPERLINK("http://service.sap.com/sap/support/notes/1799019","1799019")</f>
        <v>1799019</v>
      </c>
      <c r="E6237">
        <v>2</v>
      </c>
      <c r="F6237" t="s">
        <v>7650</v>
      </c>
    </row>
    <row r="6238" spans="1:6" x14ac:dyDescent="0.25">
      <c r="A6238" t="s">
        <v>6446</v>
      </c>
      <c r="B6238" t="s">
        <v>2067</v>
      </c>
      <c r="C6238" t="s">
        <v>2068</v>
      </c>
      <c r="D6238" t="str">
        <f>HYPERLINK("http://service.sap.com/sap/support/notes/1560759","1560759")</f>
        <v>1560759</v>
      </c>
      <c r="E6238">
        <v>2</v>
      </c>
      <c r="F6238" t="s">
        <v>7651</v>
      </c>
    </row>
    <row r="6239" spans="1:6" x14ac:dyDescent="0.25">
      <c r="A6239" t="s">
        <v>6446</v>
      </c>
      <c r="B6239" t="s">
        <v>2067</v>
      </c>
      <c r="C6239" t="s">
        <v>2068</v>
      </c>
      <c r="D6239" t="str">
        <f>HYPERLINK("http://service.sap.com/sap/support/notes/1766772","1766772")</f>
        <v>1766772</v>
      </c>
      <c r="E6239">
        <v>2</v>
      </c>
      <c r="F6239" t="s">
        <v>7652</v>
      </c>
    </row>
    <row r="6240" spans="1:6" x14ac:dyDescent="0.25">
      <c r="A6240" t="s">
        <v>6446</v>
      </c>
      <c r="B6240" t="s">
        <v>2067</v>
      </c>
      <c r="C6240" t="s">
        <v>2068</v>
      </c>
      <c r="D6240" t="str">
        <f>HYPERLINK("http://service.sap.com/sap/support/notes/1780633","1780633")</f>
        <v>1780633</v>
      </c>
      <c r="E6240">
        <v>6</v>
      </c>
      <c r="F6240" t="s">
        <v>7653</v>
      </c>
    </row>
    <row r="6241" spans="1:6" x14ac:dyDescent="0.25">
      <c r="A6241" t="s">
        <v>6446</v>
      </c>
      <c r="B6241" t="s">
        <v>2067</v>
      </c>
      <c r="C6241" t="s">
        <v>2068</v>
      </c>
      <c r="D6241" t="str">
        <f>HYPERLINK("http://service.sap.com/sap/support/notes/1799869","1799869")</f>
        <v>1799869</v>
      </c>
      <c r="E6241">
        <v>1</v>
      </c>
      <c r="F6241" t="s">
        <v>7654</v>
      </c>
    </row>
    <row r="6242" spans="1:6" x14ac:dyDescent="0.25">
      <c r="A6242" t="s">
        <v>6446</v>
      </c>
      <c r="B6242" t="s">
        <v>2067</v>
      </c>
      <c r="C6242" t="s">
        <v>2068</v>
      </c>
      <c r="D6242" t="str">
        <f>HYPERLINK("http://service.sap.com/sap/support/notes/1799870","1799870")</f>
        <v>1799870</v>
      </c>
      <c r="E6242">
        <v>1</v>
      </c>
      <c r="F6242" t="s">
        <v>7654</v>
      </c>
    </row>
    <row r="6243" spans="1:6" x14ac:dyDescent="0.25">
      <c r="A6243" t="s">
        <v>6446</v>
      </c>
      <c r="B6243" t="s">
        <v>2067</v>
      </c>
      <c r="C6243" t="s">
        <v>2068</v>
      </c>
      <c r="D6243" t="str">
        <f>HYPERLINK("http://service.sap.com/sap/support/notes/1801479","1801479")</f>
        <v>1801479</v>
      </c>
      <c r="E6243">
        <v>2</v>
      </c>
      <c r="F6243" t="s">
        <v>7655</v>
      </c>
    </row>
    <row r="6244" spans="1:6" x14ac:dyDescent="0.25">
      <c r="A6244" t="s">
        <v>6446</v>
      </c>
      <c r="B6244" t="s">
        <v>2074</v>
      </c>
      <c r="C6244" t="s">
        <v>2075</v>
      </c>
      <c r="D6244" t="str">
        <f>HYPERLINK("http://service.sap.com/sap/support/notes/1788699","1788699")</f>
        <v>1788699</v>
      </c>
      <c r="E6244">
        <v>2</v>
      </c>
      <c r="F6244" t="s">
        <v>7656</v>
      </c>
    </row>
    <row r="6245" spans="1:6" x14ac:dyDescent="0.25">
      <c r="A6245" t="s">
        <v>6446</v>
      </c>
      <c r="B6245" t="s">
        <v>2074</v>
      </c>
      <c r="C6245" t="s">
        <v>2075</v>
      </c>
      <c r="D6245" t="str">
        <f>HYPERLINK("http://service.sap.com/sap/support/notes/1803639","1803639")</f>
        <v>1803639</v>
      </c>
      <c r="E6245">
        <v>1</v>
      </c>
      <c r="F6245" t="s">
        <v>7657</v>
      </c>
    </row>
    <row r="6246" spans="1:6" x14ac:dyDescent="0.25">
      <c r="A6246" t="s">
        <v>6446</v>
      </c>
      <c r="B6246" t="s">
        <v>2079</v>
      </c>
      <c r="C6246" t="s">
        <v>2080</v>
      </c>
      <c r="D6246" t="str">
        <f>HYPERLINK("http://service.sap.com/sap/support/notes/1768614","1768614")</f>
        <v>1768614</v>
      </c>
      <c r="E6246">
        <v>1</v>
      </c>
      <c r="F6246" t="s">
        <v>7658</v>
      </c>
    </row>
    <row r="6247" spans="1:6" x14ac:dyDescent="0.25">
      <c r="A6247" t="s">
        <v>6446</v>
      </c>
      <c r="B6247" t="s">
        <v>2079</v>
      </c>
      <c r="C6247" t="s">
        <v>2080</v>
      </c>
      <c r="D6247" t="str">
        <f>HYPERLINK("http://service.sap.com/sap/support/notes/1802848","1802848")</f>
        <v>1802848</v>
      </c>
      <c r="E6247">
        <v>2</v>
      </c>
      <c r="F6247" t="s">
        <v>7659</v>
      </c>
    </row>
    <row r="6248" spans="1:6" x14ac:dyDescent="0.25">
      <c r="A6248" t="s">
        <v>6446</v>
      </c>
      <c r="B6248" t="s">
        <v>2079</v>
      </c>
      <c r="C6248" t="s">
        <v>2080</v>
      </c>
      <c r="D6248" t="str">
        <f>HYPERLINK("http://service.sap.com/sap/support/notes/1817984","1817984")</f>
        <v>1817984</v>
      </c>
      <c r="E6248">
        <v>1</v>
      </c>
      <c r="F6248" t="s">
        <v>7660</v>
      </c>
    </row>
    <row r="6249" spans="1:6" x14ac:dyDescent="0.25">
      <c r="A6249" t="s">
        <v>6446</v>
      </c>
      <c r="B6249" t="s">
        <v>2082</v>
      </c>
      <c r="C6249" t="s">
        <v>2083</v>
      </c>
    </row>
    <row r="6250" spans="1:6" x14ac:dyDescent="0.25">
      <c r="A6250" t="s">
        <v>6446</v>
      </c>
      <c r="B6250" t="s">
        <v>2084</v>
      </c>
      <c r="C6250" t="s">
        <v>1643</v>
      </c>
      <c r="D6250" t="str">
        <f>HYPERLINK("http://service.sap.com/sap/support/notes/1791884","1791884")</f>
        <v>1791884</v>
      </c>
      <c r="E6250">
        <v>1</v>
      </c>
      <c r="F6250" t="s">
        <v>7661</v>
      </c>
    </row>
    <row r="6251" spans="1:6" x14ac:dyDescent="0.25">
      <c r="A6251" t="s">
        <v>6446</v>
      </c>
      <c r="B6251" t="s">
        <v>2086</v>
      </c>
      <c r="C6251" t="s">
        <v>2087</v>
      </c>
      <c r="D6251" t="str">
        <f>HYPERLINK("http://service.sap.com/sap/support/notes/1798718","1798718")</f>
        <v>1798718</v>
      </c>
      <c r="E6251">
        <v>3</v>
      </c>
      <c r="F6251" t="s">
        <v>7662</v>
      </c>
    </row>
    <row r="6252" spans="1:6" x14ac:dyDescent="0.25">
      <c r="A6252" t="s">
        <v>6446</v>
      </c>
      <c r="B6252" t="s">
        <v>2090</v>
      </c>
      <c r="C6252" t="s">
        <v>2091</v>
      </c>
      <c r="D6252" t="str">
        <f>HYPERLINK("http://service.sap.com/sap/support/notes/1629411","1629411")</f>
        <v>1629411</v>
      </c>
      <c r="E6252">
        <v>3</v>
      </c>
      <c r="F6252" t="s">
        <v>7663</v>
      </c>
    </row>
    <row r="6253" spans="1:6" x14ac:dyDescent="0.25">
      <c r="A6253" t="s">
        <v>6446</v>
      </c>
      <c r="B6253" t="s">
        <v>2090</v>
      </c>
      <c r="C6253" t="s">
        <v>2091</v>
      </c>
      <c r="D6253" t="str">
        <f>HYPERLINK("http://service.sap.com/sap/support/notes/1670557","1670557")</f>
        <v>1670557</v>
      </c>
      <c r="E6253">
        <v>3</v>
      </c>
      <c r="F6253" t="s">
        <v>7664</v>
      </c>
    </row>
    <row r="6254" spans="1:6" x14ac:dyDescent="0.25">
      <c r="A6254" t="s">
        <v>6446</v>
      </c>
      <c r="B6254" t="s">
        <v>2090</v>
      </c>
      <c r="C6254" t="s">
        <v>2091</v>
      </c>
      <c r="D6254" t="str">
        <f>HYPERLINK("http://service.sap.com/sap/support/notes/1799753","1799753")</f>
        <v>1799753</v>
      </c>
      <c r="E6254">
        <v>1</v>
      </c>
      <c r="F6254" t="s">
        <v>7665</v>
      </c>
    </row>
    <row r="6255" spans="1:6" x14ac:dyDescent="0.25">
      <c r="A6255" t="s">
        <v>6446</v>
      </c>
      <c r="B6255" t="s">
        <v>2090</v>
      </c>
      <c r="C6255" t="s">
        <v>2091</v>
      </c>
      <c r="D6255" t="str">
        <f>HYPERLINK("http://service.sap.com/sap/support/notes/1802594","1802594")</f>
        <v>1802594</v>
      </c>
      <c r="E6255">
        <v>3</v>
      </c>
      <c r="F6255" t="s">
        <v>7666</v>
      </c>
    </row>
    <row r="6256" spans="1:6" x14ac:dyDescent="0.25">
      <c r="A6256" t="s">
        <v>6446</v>
      </c>
      <c r="B6256" t="s">
        <v>2102</v>
      </c>
      <c r="C6256" t="s">
        <v>2103</v>
      </c>
    </row>
    <row r="6257" spans="1:6" x14ac:dyDescent="0.25">
      <c r="A6257" t="s">
        <v>6446</v>
      </c>
      <c r="B6257" t="s">
        <v>2104</v>
      </c>
      <c r="C6257" t="s">
        <v>2105</v>
      </c>
      <c r="D6257" t="str">
        <f>HYPERLINK("http://service.sap.com/sap/support/notes/1801128","1801128")</f>
        <v>1801128</v>
      </c>
      <c r="E6257">
        <v>1</v>
      </c>
      <c r="F6257" t="s">
        <v>7667</v>
      </c>
    </row>
    <row r="6258" spans="1:6" x14ac:dyDescent="0.25">
      <c r="A6258" t="s">
        <v>6446</v>
      </c>
      <c r="B6258" t="s">
        <v>2104</v>
      </c>
      <c r="C6258" t="s">
        <v>2105</v>
      </c>
      <c r="D6258" t="str">
        <f>HYPERLINK("http://service.sap.com/sap/support/notes/1823723","1823723")</f>
        <v>1823723</v>
      </c>
      <c r="E6258">
        <v>1</v>
      </c>
      <c r="F6258" t="s">
        <v>7668</v>
      </c>
    </row>
    <row r="6259" spans="1:6" x14ac:dyDescent="0.25">
      <c r="A6259" t="s">
        <v>6446</v>
      </c>
      <c r="B6259" t="s">
        <v>2108</v>
      </c>
      <c r="C6259" t="s">
        <v>2109</v>
      </c>
    </row>
    <row r="6260" spans="1:6" x14ac:dyDescent="0.25">
      <c r="A6260" t="s">
        <v>6446</v>
      </c>
      <c r="B6260" t="s">
        <v>2110</v>
      </c>
      <c r="C6260" t="s">
        <v>1669</v>
      </c>
      <c r="D6260" t="str">
        <f>HYPERLINK("http://service.sap.com/sap/support/notes/1481844","1481844")</f>
        <v>1481844</v>
      </c>
      <c r="E6260">
        <v>2</v>
      </c>
      <c r="F6260" t="s">
        <v>7669</v>
      </c>
    </row>
    <row r="6261" spans="1:6" x14ac:dyDescent="0.25">
      <c r="A6261" t="s">
        <v>6446</v>
      </c>
      <c r="B6261" t="s">
        <v>2110</v>
      </c>
      <c r="C6261" t="s">
        <v>1669</v>
      </c>
      <c r="D6261" t="str">
        <f>HYPERLINK("http://service.sap.com/sap/support/notes/1772544","1772544")</f>
        <v>1772544</v>
      </c>
      <c r="E6261">
        <v>2</v>
      </c>
      <c r="F6261" t="s">
        <v>7670</v>
      </c>
    </row>
    <row r="6262" spans="1:6" x14ac:dyDescent="0.25">
      <c r="A6262" t="s">
        <v>6446</v>
      </c>
      <c r="B6262" t="s">
        <v>2110</v>
      </c>
      <c r="C6262" t="s">
        <v>1669</v>
      </c>
      <c r="D6262" t="str">
        <f>HYPERLINK("http://service.sap.com/sap/support/notes/1786030","1786030")</f>
        <v>1786030</v>
      </c>
      <c r="E6262">
        <v>1</v>
      </c>
      <c r="F6262" t="s">
        <v>7671</v>
      </c>
    </row>
    <row r="6263" spans="1:6" x14ac:dyDescent="0.25">
      <c r="A6263" t="s">
        <v>6446</v>
      </c>
      <c r="B6263" t="s">
        <v>2110</v>
      </c>
      <c r="C6263" t="s">
        <v>1669</v>
      </c>
      <c r="D6263" t="str">
        <f>HYPERLINK("http://service.sap.com/sap/support/notes/1789778","1789778")</f>
        <v>1789778</v>
      </c>
      <c r="E6263">
        <v>2</v>
      </c>
      <c r="F6263" t="s">
        <v>7672</v>
      </c>
    </row>
    <row r="6264" spans="1:6" x14ac:dyDescent="0.25">
      <c r="A6264" t="s">
        <v>6446</v>
      </c>
      <c r="B6264" t="s">
        <v>2110</v>
      </c>
      <c r="C6264" t="s">
        <v>1669</v>
      </c>
      <c r="D6264" t="str">
        <f>HYPERLINK("http://service.sap.com/sap/support/notes/1790720","1790720")</f>
        <v>1790720</v>
      </c>
      <c r="E6264">
        <v>2</v>
      </c>
      <c r="F6264" t="s">
        <v>7673</v>
      </c>
    </row>
    <row r="6265" spans="1:6" x14ac:dyDescent="0.25">
      <c r="A6265" t="s">
        <v>6446</v>
      </c>
      <c r="B6265" t="s">
        <v>2110</v>
      </c>
      <c r="C6265" t="s">
        <v>1669</v>
      </c>
      <c r="D6265" t="str">
        <f>HYPERLINK("http://service.sap.com/sap/support/notes/1797021","1797021")</f>
        <v>1797021</v>
      </c>
      <c r="E6265">
        <v>2</v>
      </c>
      <c r="F6265" t="s">
        <v>7674</v>
      </c>
    </row>
    <row r="6266" spans="1:6" x14ac:dyDescent="0.25">
      <c r="A6266" t="s">
        <v>6446</v>
      </c>
      <c r="B6266" t="s">
        <v>2110</v>
      </c>
      <c r="C6266" t="s">
        <v>1669</v>
      </c>
      <c r="D6266" t="str">
        <f>HYPERLINK("http://service.sap.com/sap/support/notes/1799259","1799259")</f>
        <v>1799259</v>
      </c>
      <c r="E6266">
        <v>1</v>
      </c>
      <c r="F6266" t="s">
        <v>7675</v>
      </c>
    </row>
    <row r="6267" spans="1:6" x14ac:dyDescent="0.25">
      <c r="A6267" t="s">
        <v>6446</v>
      </c>
      <c r="B6267" t="s">
        <v>2110</v>
      </c>
      <c r="C6267" t="s">
        <v>1669</v>
      </c>
      <c r="D6267" t="str">
        <f>HYPERLINK("http://service.sap.com/sap/support/notes/1806814","1806814")</f>
        <v>1806814</v>
      </c>
    </row>
    <row r="6268" spans="1:6" x14ac:dyDescent="0.25">
      <c r="A6268" t="s">
        <v>6446</v>
      </c>
      <c r="B6268" t="s">
        <v>2110</v>
      </c>
      <c r="C6268" t="s">
        <v>1669</v>
      </c>
      <c r="D6268" t="str">
        <f>HYPERLINK("http://service.sap.com/sap/support/notes/1811951","1811951")</f>
        <v>1811951</v>
      </c>
      <c r="E6268">
        <v>1</v>
      </c>
      <c r="F6268" t="s">
        <v>7676</v>
      </c>
    </row>
    <row r="6269" spans="1:6" x14ac:dyDescent="0.25">
      <c r="A6269" t="s">
        <v>6446</v>
      </c>
      <c r="B6269" t="s">
        <v>2110</v>
      </c>
      <c r="C6269" t="s">
        <v>1669</v>
      </c>
      <c r="D6269" t="str">
        <f>HYPERLINK("http://service.sap.com/sap/support/notes/1821385","1821385")</f>
        <v>1821385</v>
      </c>
      <c r="E6269">
        <v>3</v>
      </c>
      <c r="F6269" t="s">
        <v>7677</v>
      </c>
    </row>
    <row r="6270" spans="1:6" x14ac:dyDescent="0.25">
      <c r="A6270" t="s">
        <v>6446</v>
      </c>
      <c r="B6270" t="s">
        <v>2140</v>
      </c>
      <c r="C6270" t="s">
        <v>2141</v>
      </c>
      <c r="D6270" t="str">
        <f>HYPERLINK("http://service.sap.com/sap/support/notes/1787417","1787417")</f>
        <v>1787417</v>
      </c>
      <c r="E6270">
        <v>1</v>
      </c>
      <c r="F6270" t="s">
        <v>7678</v>
      </c>
    </row>
    <row r="6271" spans="1:6" x14ac:dyDescent="0.25">
      <c r="A6271" t="s">
        <v>6446</v>
      </c>
      <c r="B6271" t="s">
        <v>2140</v>
      </c>
      <c r="C6271" t="s">
        <v>2141</v>
      </c>
      <c r="D6271" t="str">
        <f>HYPERLINK("http://service.sap.com/sap/support/notes/1810713","1810713")</f>
        <v>1810713</v>
      </c>
      <c r="E6271">
        <v>2</v>
      </c>
      <c r="F6271" t="s">
        <v>7679</v>
      </c>
    </row>
    <row r="6272" spans="1:6" x14ac:dyDescent="0.25">
      <c r="A6272" t="s">
        <v>6446</v>
      </c>
      <c r="B6272" t="s">
        <v>2147</v>
      </c>
      <c r="C6272" t="s">
        <v>2148</v>
      </c>
      <c r="D6272" t="str">
        <f>HYPERLINK("http://service.sap.com/sap/support/notes/1812880","1812880")</f>
        <v>1812880</v>
      </c>
      <c r="E6272">
        <v>1</v>
      </c>
      <c r="F6272" t="s">
        <v>7680</v>
      </c>
    </row>
    <row r="6273" spans="1:6" x14ac:dyDescent="0.25">
      <c r="A6273" t="s">
        <v>6446</v>
      </c>
      <c r="B6273" t="s">
        <v>2152</v>
      </c>
      <c r="C6273" t="s">
        <v>2153</v>
      </c>
      <c r="D6273" t="str">
        <f>HYPERLINK("http://service.sap.com/sap/support/notes/1800392","1800392")</f>
        <v>1800392</v>
      </c>
      <c r="E6273">
        <v>1</v>
      </c>
      <c r="F6273" t="s">
        <v>7681</v>
      </c>
    </row>
    <row r="6274" spans="1:6" x14ac:dyDescent="0.25">
      <c r="A6274" t="s">
        <v>6446</v>
      </c>
      <c r="B6274" t="s">
        <v>2160</v>
      </c>
      <c r="C6274" t="s">
        <v>2161</v>
      </c>
      <c r="D6274" t="str">
        <f>HYPERLINK("http://service.sap.com/sap/support/notes/1810427","1810427")</f>
        <v>1810427</v>
      </c>
      <c r="E6274">
        <v>1</v>
      </c>
      <c r="F6274" t="s">
        <v>7682</v>
      </c>
    </row>
    <row r="6275" spans="1:6" x14ac:dyDescent="0.25">
      <c r="A6275" t="s">
        <v>6446</v>
      </c>
      <c r="B6275" t="s">
        <v>63</v>
      </c>
      <c r="C6275" t="s">
        <v>2171</v>
      </c>
      <c r="D6275" t="str">
        <f>HYPERLINK("http://service.sap.com/sap/support/notes/1805832","1805832")</f>
        <v>1805832</v>
      </c>
      <c r="E6275">
        <v>2</v>
      </c>
      <c r="F6275" t="s">
        <v>7683</v>
      </c>
    </row>
    <row r="6276" spans="1:6" x14ac:dyDescent="0.25">
      <c r="A6276" t="s">
        <v>6446</v>
      </c>
      <c r="B6276" t="s">
        <v>63</v>
      </c>
      <c r="C6276" t="s">
        <v>2171</v>
      </c>
      <c r="D6276" t="str">
        <f>HYPERLINK("http://service.sap.com/sap/support/notes/1808298","1808298")</f>
        <v>1808298</v>
      </c>
      <c r="E6276">
        <v>2</v>
      </c>
      <c r="F6276" t="s">
        <v>7684</v>
      </c>
    </row>
    <row r="6277" spans="1:6" x14ac:dyDescent="0.25">
      <c r="A6277" t="s">
        <v>6446</v>
      </c>
      <c r="B6277" t="s">
        <v>63</v>
      </c>
      <c r="C6277" t="s">
        <v>2171</v>
      </c>
      <c r="D6277" t="str">
        <f>HYPERLINK("http://service.sap.com/sap/support/notes/1808839","1808839")</f>
        <v>1808839</v>
      </c>
      <c r="E6277">
        <v>2</v>
      </c>
      <c r="F6277" t="s">
        <v>7685</v>
      </c>
    </row>
    <row r="6278" spans="1:6" x14ac:dyDescent="0.25">
      <c r="A6278" t="s">
        <v>6446</v>
      </c>
      <c r="B6278" t="s">
        <v>63</v>
      </c>
      <c r="C6278" t="s">
        <v>2171</v>
      </c>
      <c r="D6278" t="str">
        <f>HYPERLINK("http://service.sap.com/sap/support/notes/1809037","1809037")</f>
        <v>1809037</v>
      </c>
      <c r="E6278">
        <v>4</v>
      </c>
      <c r="F6278" t="s">
        <v>7686</v>
      </c>
    </row>
    <row r="6279" spans="1:6" x14ac:dyDescent="0.25">
      <c r="A6279" t="s">
        <v>6446</v>
      </c>
      <c r="B6279" t="s">
        <v>63</v>
      </c>
      <c r="C6279" t="s">
        <v>2171</v>
      </c>
      <c r="D6279" t="str">
        <f>HYPERLINK("http://service.sap.com/sap/support/notes/1809336","1809336")</f>
        <v>1809336</v>
      </c>
      <c r="E6279">
        <v>1</v>
      </c>
      <c r="F6279" t="s">
        <v>266</v>
      </c>
    </row>
    <row r="6280" spans="1:6" x14ac:dyDescent="0.25">
      <c r="A6280" t="s">
        <v>6446</v>
      </c>
      <c r="B6280" t="s">
        <v>63</v>
      </c>
      <c r="C6280" t="s">
        <v>2171</v>
      </c>
      <c r="D6280" t="str">
        <f>HYPERLINK("http://service.sap.com/sap/support/notes/1809598","1809598")</f>
        <v>1809598</v>
      </c>
      <c r="E6280">
        <v>3</v>
      </c>
      <c r="F6280" t="s">
        <v>7687</v>
      </c>
    </row>
    <row r="6281" spans="1:6" x14ac:dyDescent="0.25">
      <c r="A6281" t="s">
        <v>6446</v>
      </c>
      <c r="B6281" t="s">
        <v>63</v>
      </c>
      <c r="C6281" t="s">
        <v>2171</v>
      </c>
      <c r="D6281" t="str">
        <f>HYPERLINK("http://service.sap.com/sap/support/notes/1810953","1810953")</f>
        <v>1810953</v>
      </c>
      <c r="E6281">
        <v>1</v>
      </c>
      <c r="F6281" t="s">
        <v>7688</v>
      </c>
    </row>
    <row r="6282" spans="1:6" x14ac:dyDescent="0.25">
      <c r="A6282" t="s">
        <v>6446</v>
      </c>
      <c r="B6282" t="s">
        <v>63</v>
      </c>
      <c r="C6282" t="s">
        <v>2171</v>
      </c>
      <c r="D6282" t="str">
        <f>HYPERLINK("http://service.sap.com/sap/support/notes/1812269","1812269")</f>
        <v>1812269</v>
      </c>
    </row>
    <row r="6283" spans="1:6" x14ac:dyDescent="0.25">
      <c r="A6283" t="s">
        <v>6446</v>
      </c>
      <c r="B6283" t="s">
        <v>63</v>
      </c>
      <c r="C6283" t="s">
        <v>2171</v>
      </c>
      <c r="D6283" t="str">
        <f>HYPERLINK("http://service.sap.com/sap/support/notes/1813078","1813078")</f>
        <v>1813078</v>
      </c>
      <c r="E6283">
        <v>3</v>
      </c>
      <c r="F6283" t="s">
        <v>7689</v>
      </c>
    </row>
    <row r="6284" spans="1:6" x14ac:dyDescent="0.25">
      <c r="A6284" t="s">
        <v>6446</v>
      </c>
      <c r="B6284" t="s">
        <v>63</v>
      </c>
      <c r="C6284" t="s">
        <v>2171</v>
      </c>
      <c r="D6284" t="str">
        <f>HYPERLINK("http://service.sap.com/sap/support/notes/1814789","1814789")</f>
        <v>1814789</v>
      </c>
      <c r="E6284">
        <v>2</v>
      </c>
      <c r="F6284" t="s">
        <v>7690</v>
      </c>
    </row>
    <row r="6285" spans="1:6" x14ac:dyDescent="0.25">
      <c r="A6285" t="s">
        <v>6446</v>
      </c>
      <c r="B6285" t="s">
        <v>63</v>
      </c>
      <c r="C6285" t="s">
        <v>2171</v>
      </c>
      <c r="D6285" t="str">
        <f>HYPERLINK("http://service.sap.com/sap/support/notes/1823730","1823730")</f>
        <v>1823730</v>
      </c>
      <c r="E6285">
        <v>3</v>
      </c>
      <c r="F6285" t="s">
        <v>7691</v>
      </c>
    </row>
    <row r="6286" spans="1:6" x14ac:dyDescent="0.25">
      <c r="A6286" t="s">
        <v>6446</v>
      </c>
      <c r="B6286" t="s">
        <v>63</v>
      </c>
      <c r="C6286" t="s">
        <v>2171</v>
      </c>
      <c r="D6286" t="str">
        <f>HYPERLINK("http://service.sap.com/sap/support/notes/1827348","1827348")</f>
        <v>1827348</v>
      </c>
      <c r="E6286">
        <v>2</v>
      </c>
      <c r="F6286" t="s">
        <v>7692</v>
      </c>
    </row>
    <row r="6287" spans="1:6" x14ac:dyDescent="0.25">
      <c r="A6287" t="s">
        <v>6446</v>
      </c>
      <c r="B6287" t="s">
        <v>63</v>
      </c>
      <c r="C6287" t="s">
        <v>2171</v>
      </c>
      <c r="D6287" t="str">
        <f>HYPERLINK("http://service.sap.com/sap/support/notes/1828133","1828133")</f>
        <v>1828133</v>
      </c>
      <c r="E6287">
        <v>1</v>
      </c>
      <c r="F6287" t="s">
        <v>7693</v>
      </c>
    </row>
    <row r="6288" spans="1:6" x14ac:dyDescent="0.25">
      <c r="A6288" t="s">
        <v>6446</v>
      </c>
      <c r="B6288" t="s">
        <v>2184</v>
      </c>
      <c r="C6288" t="s">
        <v>2185</v>
      </c>
      <c r="D6288" t="str">
        <f>HYPERLINK("http://service.sap.com/sap/support/notes/1812570","1812570")</f>
        <v>1812570</v>
      </c>
      <c r="E6288">
        <v>3</v>
      </c>
      <c r="F6288" t="s">
        <v>7694</v>
      </c>
    </row>
    <row r="6289" spans="1:6" x14ac:dyDescent="0.25">
      <c r="A6289" t="s">
        <v>6446</v>
      </c>
      <c r="B6289" t="s">
        <v>2184</v>
      </c>
      <c r="C6289" t="s">
        <v>2185</v>
      </c>
      <c r="D6289" t="str">
        <f>HYPERLINK("http://service.sap.com/sap/support/notes/1813060","1813060")</f>
        <v>1813060</v>
      </c>
      <c r="E6289">
        <v>3</v>
      </c>
      <c r="F6289" t="s">
        <v>7695</v>
      </c>
    </row>
    <row r="6290" spans="1:6" x14ac:dyDescent="0.25">
      <c r="A6290" t="s">
        <v>6446</v>
      </c>
      <c r="B6290" t="s">
        <v>2184</v>
      </c>
      <c r="C6290" t="s">
        <v>2185</v>
      </c>
      <c r="D6290" t="str">
        <f>HYPERLINK("http://service.sap.com/sap/support/notes/1813912","1813912")</f>
        <v>1813912</v>
      </c>
      <c r="E6290">
        <v>2</v>
      </c>
      <c r="F6290" t="s">
        <v>7696</v>
      </c>
    </row>
    <row r="6291" spans="1:6" x14ac:dyDescent="0.25">
      <c r="A6291" t="s">
        <v>6446</v>
      </c>
      <c r="B6291" t="s">
        <v>2184</v>
      </c>
      <c r="C6291" t="s">
        <v>2185</v>
      </c>
      <c r="D6291" t="str">
        <f>HYPERLINK("http://service.sap.com/sap/support/notes/1817884","1817884")</f>
        <v>1817884</v>
      </c>
      <c r="E6291">
        <v>1</v>
      </c>
      <c r="F6291" t="s">
        <v>7697</v>
      </c>
    </row>
    <row r="6292" spans="1:6" x14ac:dyDescent="0.25">
      <c r="A6292" t="s">
        <v>6446</v>
      </c>
      <c r="B6292" t="s">
        <v>2184</v>
      </c>
      <c r="C6292" t="s">
        <v>2185</v>
      </c>
      <c r="D6292" t="str">
        <f>HYPERLINK("http://service.sap.com/sap/support/notes/1830997","1830997")</f>
        <v>1830997</v>
      </c>
    </row>
    <row r="6293" spans="1:6" x14ac:dyDescent="0.25">
      <c r="A6293" t="s">
        <v>6446</v>
      </c>
      <c r="B6293" t="s">
        <v>7698</v>
      </c>
      <c r="C6293" t="s">
        <v>7699</v>
      </c>
      <c r="D6293" t="str">
        <f>HYPERLINK("http://service.sap.com/sap/support/notes/1817516","1817516")</f>
        <v>1817516</v>
      </c>
      <c r="E6293">
        <v>2</v>
      </c>
      <c r="F6293" t="s">
        <v>7700</v>
      </c>
    </row>
    <row r="6294" spans="1:6" x14ac:dyDescent="0.25">
      <c r="A6294" t="s">
        <v>6446</v>
      </c>
      <c r="B6294" t="s">
        <v>7698</v>
      </c>
      <c r="C6294" t="s">
        <v>7699</v>
      </c>
      <c r="D6294" t="str">
        <f>HYPERLINK("http://service.sap.com/sap/support/notes/1822484","1822484")</f>
        <v>1822484</v>
      </c>
      <c r="E6294">
        <v>2</v>
      </c>
      <c r="F6294" t="s">
        <v>7701</v>
      </c>
    </row>
    <row r="6295" spans="1:6" x14ac:dyDescent="0.25">
      <c r="A6295" t="s">
        <v>6446</v>
      </c>
      <c r="B6295" t="s">
        <v>7702</v>
      </c>
      <c r="C6295" t="s">
        <v>7703</v>
      </c>
      <c r="D6295" t="str">
        <f>HYPERLINK("http://service.sap.com/sap/support/notes/1816741","1816741")</f>
        <v>1816741</v>
      </c>
    </row>
    <row r="6296" spans="1:6" x14ac:dyDescent="0.25">
      <c r="A6296" t="s">
        <v>6446</v>
      </c>
      <c r="B6296" t="s">
        <v>7702</v>
      </c>
      <c r="C6296" t="s">
        <v>7703</v>
      </c>
      <c r="D6296" t="str">
        <f>HYPERLINK("http://service.sap.com/sap/support/notes/1820167","1820167")</f>
        <v>1820167</v>
      </c>
      <c r="E6296">
        <v>2</v>
      </c>
      <c r="F6296" t="s">
        <v>7704</v>
      </c>
    </row>
    <row r="6297" spans="1:6" x14ac:dyDescent="0.25">
      <c r="A6297" t="s">
        <v>6446</v>
      </c>
      <c r="B6297" t="s">
        <v>7705</v>
      </c>
      <c r="C6297" t="s">
        <v>7706</v>
      </c>
      <c r="D6297" t="str">
        <f>HYPERLINK("http://service.sap.com/sap/support/notes/1797917","1797917")</f>
        <v>1797917</v>
      </c>
      <c r="E6297">
        <v>2</v>
      </c>
      <c r="F6297" t="s">
        <v>7707</v>
      </c>
    </row>
    <row r="6298" spans="1:6" x14ac:dyDescent="0.25">
      <c r="A6298" t="s">
        <v>6446</v>
      </c>
      <c r="B6298" t="s">
        <v>7705</v>
      </c>
      <c r="C6298" t="s">
        <v>7706</v>
      </c>
      <c r="D6298" t="str">
        <f>HYPERLINK("http://service.sap.com/sap/support/notes/1810111","1810111")</f>
        <v>1810111</v>
      </c>
      <c r="E6298">
        <v>2</v>
      </c>
      <c r="F6298" t="s">
        <v>7708</v>
      </c>
    </row>
    <row r="6299" spans="1:6" x14ac:dyDescent="0.25">
      <c r="A6299" t="s">
        <v>6446</v>
      </c>
      <c r="B6299" t="s">
        <v>5359</v>
      </c>
      <c r="C6299" t="s">
        <v>5360</v>
      </c>
      <c r="D6299" t="str">
        <f>HYPERLINK("http://service.sap.com/sap/support/notes/1796106","1796106")</f>
        <v>1796106</v>
      </c>
      <c r="E6299">
        <v>2</v>
      </c>
      <c r="F6299" t="s">
        <v>7709</v>
      </c>
    </row>
    <row r="6300" spans="1:6" x14ac:dyDescent="0.25">
      <c r="A6300" t="s">
        <v>6446</v>
      </c>
      <c r="B6300" t="s">
        <v>5359</v>
      </c>
      <c r="C6300" t="s">
        <v>5360</v>
      </c>
      <c r="D6300" t="str">
        <f>HYPERLINK("http://service.sap.com/sap/support/notes/1819247","1819247")</f>
        <v>1819247</v>
      </c>
      <c r="E6300">
        <v>1</v>
      </c>
      <c r="F6300" t="s">
        <v>7710</v>
      </c>
    </row>
    <row r="6301" spans="1:6" x14ac:dyDescent="0.25">
      <c r="A6301" t="s">
        <v>6446</v>
      </c>
      <c r="B6301" t="s">
        <v>2197</v>
      </c>
      <c r="C6301" t="s">
        <v>2198</v>
      </c>
    </row>
    <row r="6302" spans="1:6" x14ac:dyDescent="0.25">
      <c r="A6302" t="s">
        <v>6446</v>
      </c>
      <c r="B6302" t="s">
        <v>7711</v>
      </c>
      <c r="C6302" t="s">
        <v>7712</v>
      </c>
    </row>
    <row r="6303" spans="1:6" x14ac:dyDescent="0.25">
      <c r="A6303" t="s">
        <v>6446</v>
      </c>
      <c r="B6303" t="s">
        <v>7713</v>
      </c>
      <c r="C6303" t="s">
        <v>3131</v>
      </c>
      <c r="D6303" t="str">
        <f>HYPERLINK("http://service.sap.com/sap/support/notes/1802678","1802678")</f>
        <v>1802678</v>
      </c>
      <c r="E6303">
        <v>1</v>
      </c>
      <c r="F6303" t="s">
        <v>7714</v>
      </c>
    </row>
    <row r="6304" spans="1:6" x14ac:dyDescent="0.25">
      <c r="A6304" t="s">
        <v>6446</v>
      </c>
      <c r="B6304" t="s">
        <v>2203</v>
      </c>
      <c r="C6304" t="s">
        <v>218</v>
      </c>
    </row>
    <row r="6305" spans="1:6" x14ac:dyDescent="0.25">
      <c r="A6305" t="s">
        <v>6446</v>
      </c>
      <c r="B6305" t="s">
        <v>2204</v>
      </c>
      <c r="C6305" t="s">
        <v>2205</v>
      </c>
    </row>
    <row r="6306" spans="1:6" x14ac:dyDescent="0.25">
      <c r="A6306" t="s">
        <v>6446</v>
      </c>
      <c r="B6306" t="s">
        <v>2206</v>
      </c>
      <c r="C6306" t="s">
        <v>2207</v>
      </c>
      <c r="D6306" t="str">
        <f>HYPERLINK("http://service.sap.com/sap/support/notes/1796310","1796310")</f>
        <v>1796310</v>
      </c>
      <c r="E6306">
        <v>1</v>
      </c>
      <c r="F6306" t="s">
        <v>7715</v>
      </c>
    </row>
    <row r="6307" spans="1:6" x14ac:dyDescent="0.25">
      <c r="A6307" t="s">
        <v>6446</v>
      </c>
      <c r="B6307" t="s">
        <v>2206</v>
      </c>
      <c r="C6307" t="s">
        <v>2207</v>
      </c>
      <c r="D6307" t="str">
        <f>HYPERLINK("http://service.sap.com/sap/support/notes/1802870","1802870")</f>
        <v>1802870</v>
      </c>
      <c r="E6307">
        <v>8</v>
      </c>
      <c r="F6307" t="s">
        <v>7716</v>
      </c>
    </row>
    <row r="6308" spans="1:6" x14ac:dyDescent="0.25">
      <c r="A6308" t="s">
        <v>6446</v>
      </c>
      <c r="B6308" t="s">
        <v>2206</v>
      </c>
      <c r="C6308" t="s">
        <v>2207</v>
      </c>
      <c r="D6308" t="str">
        <f>HYPERLINK("http://service.sap.com/sap/support/notes/1806079","1806079")</f>
        <v>1806079</v>
      </c>
      <c r="E6308">
        <v>3</v>
      </c>
      <c r="F6308" t="s">
        <v>7717</v>
      </c>
    </row>
    <row r="6309" spans="1:6" x14ac:dyDescent="0.25">
      <c r="A6309" t="s">
        <v>6446</v>
      </c>
      <c r="B6309" t="s">
        <v>2209</v>
      </c>
      <c r="C6309" t="s">
        <v>1635</v>
      </c>
    </row>
    <row r="6310" spans="1:6" x14ac:dyDescent="0.25">
      <c r="A6310" t="s">
        <v>6446</v>
      </c>
      <c r="B6310" t="s">
        <v>2210</v>
      </c>
      <c r="C6310" t="s">
        <v>151</v>
      </c>
      <c r="D6310" t="str">
        <f>HYPERLINK("http://service.sap.com/sap/support/notes/1811107","1811107")</f>
        <v>1811107</v>
      </c>
      <c r="E6310">
        <v>1</v>
      </c>
      <c r="F6310" t="s">
        <v>7718</v>
      </c>
    </row>
    <row r="6311" spans="1:6" x14ac:dyDescent="0.25">
      <c r="A6311" t="s">
        <v>6446</v>
      </c>
      <c r="B6311" t="s">
        <v>7719</v>
      </c>
      <c r="C6311" t="s">
        <v>7720</v>
      </c>
      <c r="D6311" t="str">
        <f>HYPERLINK("http://service.sap.com/sap/support/notes/949014","949014")</f>
        <v>949014</v>
      </c>
      <c r="E6311">
        <v>7</v>
      </c>
      <c r="F6311" t="s">
        <v>7721</v>
      </c>
    </row>
    <row r="6312" spans="1:6" x14ac:dyDescent="0.25">
      <c r="A6312" t="s">
        <v>6446</v>
      </c>
      <c r="B6312" t="s">
        <v>2214</v>
      </c>
      <c r="C6312" t="s">
        <v>2215</v>
      </c>
      <c r="D6312" t="str">
        <f>HYPERLINK("http://service.sap.com/sap/support/notes/1826844","1826844")</f>
        <v>1826844</v>
      </c>
      <c r="E6312">
        <v>2</v>
      </c>
      <c r="F6312" t="s">
        <v>7722</v>
      </c>
    </row>
    <row r="6313" spans="1:6" x14ac:dyDescent="0.25">
      <c r="A6313" t="s">
        <v>6446</v>
      </c>
      <c r="B6313" t="s">
        <v>2217</v>
      </c>
      <c r="C6313" t="s">
        <v>2218</v>
      </c>
      <c r="D6313" t="str">
        <f>HYPERLINK("http://service.sap.com/sap/support/notes/1826818","1826818")</f>
        <v>1826818</v>
      </c>
      <c r="E6313">
        <v>1</v>
      </c>
      <c r="F6313" t="s">
        <v>7723</v>
      </c>
    </row>
    <row r="6314" spans="1:6" x14ac:dyDescent="0.25">
      <c r="A6314" t="s">
        <v>6446</v>
      </c>
      <c r="B6314" t="s">
        <v>2222</v>
      </c>
      <c r="C6314" t="s">
        <v>2223</v>
      </c>
      <c r="D6314" t="str">
        <f>HYPERLINK("http://service.sap.com/sap/support/notes/1628510","1628510")</f>
        <v>1628510</v>
      </c>
      <c r="E6314">
        <v>5</v>
      </c>
      <c r="F6314" t="s">
        <v>7724</v>
      </c>
    </row>
    <row r="6315" spans="1:6" x14ac:dyDescent="0.25">
      <c r="A6315" t="s">
        <v>6446</v>
      </c>
      <c r="B6315" t="s">
        <v>2222</v>
      </c>
      <c r="C6315" t="s">
        <v>2223</v>
      </c>
      <c r="D6315" t="str">
        <f>HYPERLINK("http://service.sap.com/sap/support/notes/1813302","1813302")</f>
        <v>1813302</v>
      </c>
      <c r="E6315">
        <v>3</v>
      </c>
      <c r="F6315" t="s">
        <v>7725</v>
      </c>
    </row>
    <row r="6316" spans="1:6" x14ac:dyDescent="0.25">
      <c r="A6316" t="s">
        <v>6446</v>
      </c>
      <c r="B6316" t="s">
        <v>2222</v>
      </c>
      <c r="C6316" t="s">
        <v>2223</v>
      </c>
      <c r="D6316" t="str">
        <f>HYPERLINK("http://service.sap.com/sap/support/notes/1827484","1827484")</f>
        <v>1827484</v>
      </c>
      <c r="E6316">
        <v>2</v>
      </c>
      <c r="F6316" t="s">
        <v>7726</v>
      </c>
    </row>
    <row r="6317" spans="1:6" x14ac:dyDescent="0.25">
      <c r="A6317" t="s">
        <v>6446</v>
      </c>
      <c r="B6317" t="s">
        <v>2222</v>
      </c>
      <c r="C6317" t="s">
        <v>2223</v>
      </c>
      <c r="D6317" t="str">
        <f>HYPERLINK("http://service.sap.com/sap/support/notes/1828700","1828700")</f>
        <v>1828700</v>
      </c>
      <c r="E6317">
        <v>2</v>
      </c>
      <c r="F6317" t="s">
        <v>7727</v>
      </c>
    </row>
    <row r="6318" spans="1:6" x14ac:dyDescent="0.25">
      <c r="A6318" t="s">
        <v>6446</v>
      </c>
      <c r="B6318" t="s">
        <v>7728</v>
      </c>
      <c r="C6318" t="s">
        <v>7729</v>
      </c>
      <c r="D6318" t="str">
        <f>HYPERLINK("http://service.sap.com/sap/support/notes/1810626","1810626")</f>
        <v>1810626</v>
      </c>
      <c r="E6318">
        <v>1</v>
      </c>
      <c r="F6318" t="s">
        <v>7730</v>
      </c>
    </row>
    <row r="6319" spans="1:6" x14ac:dyDescent="0.25">
      <c r="A6319" t="s">
        <v>6446</v>
      </c>
      <c r="B6319" t="s">
        <v>7731</v>
      </c>
      <c r="C6319" t="s">
        <v>7732</v>
      </c>
      <c r="D6319" t="str">
        <f>HYPERLINK("http://service.sap.com/sap/support/notes/1814908","1814908")</f>
        <v>1814908</v>
      </c>
      <c r="E6319">
        <v>1</v>
      </c>
      <c r="F6319" t="s">
        <v>7733</v>
      </c>
    </row>
    <row r="6320" spans="1:6" x14ac:dyDescent="0.25">
      <c r="A6320" t="s">
        <v>6446</v>
      </c>
      <c r="B6320" t="s">
        <v>2226</v>
      </c>
      <c r="C6320" t="s">
        <v>2227</v>
      </c>
      <c r="D6320" t="str">
        <f>HYPERLINK("http://service.sap.com/sap/support/notes/1831522","1831522")</f>
        <v>1831522</v>
      </c>
      <c r="E6320">
        <v>2</v>
      </c>
      <c r="F6320" t="s">
        <v>7734</v>
      </c>
    </row>
    <row r="6321" spans="1:6" x14ac:dyDescent="0.25">
      <c r="A6321" t="s">
        <v>6446</v>
      </c>
      <c r="B6321" t="s">
        <v>5381</v>
      </c>
      <c r="C6321" t="s">
        <v>5382</v>
      </c>
      <c r="D6321" t="str">
        <f>HYPERLINK("http://service.sap.com/sap/support/notes/1800116","1800116")</f>
        <v>1800116</v>
      </c>
      <c r="E6321">
        <v>1</v>
      </c>
      <c r="F6321" t="s">
        <v>7735</v>
      </c>
    </row>
    <row r="6322" spans="1:6" x14ac:dyDescent="0.25">
      <c r="A6322" t="s">
        <v>6446</v>
      </c>
      <c r="B6322" t="s">
        <v>5381</v>
      </c>
      <c r="C6322" t="s">
        <v>5382</v>
      </c>
      <c r="D6322" t="str">
        <f>HYPERLINK("http://service.sap.com/sap/support/notes/1818059","1818059")</f>
        <v>1818059</v>
      </c>
      <c r="E6322">
        <v>1</v>
      </c>
      <c r="F6322" t="s">
        <v>7736</v>
      </c>
    </row>
    <row r="6323" spans="1:6" x14ac:dyDescent="0.25">
      <c r="A6323" t="s">
        <v>6446</v>
      </c>
      <c r="B6323" t="s">
        <v>2235</v>
      </c>
      <c r="C6323" t="s">
        <v>2236</v>
      </c>
      <c r="D6323" t="str">
        <f>HYPERLINK("http://service.sap.com/sap/support/notes/1761631","1761631")</f>
        <v>1761631</v>
      </c>
      <c r="E6323">
        <v>2</v>
      </c>
      <c r="F6323" t="s">
        <v>7737</v>
      </c>
    </row>
    <row r="6324" spans="1:6" x14ac:dyDescent="0.25">
      <c r="A6324" t="s">
        <v>6446</v>
      </c>
      <c r="B6324" t="s">
        <v>2243</v>
      </c>
      <c r="C6324" t="s">
        <v>2244</v>
      </c>
      <c r="D6324" t="str">
        <f>HYPERLINK("http://service.sap.com/sap/support/notes/1799622","1799622")</f>
        <v>1799622</v>
      </c>
      <c r="E6324">
        <v>1</v>
      </c>
      <c r="F6324" t="s">
        <v>7738</v>
      </c>
    </row>
    <row r="6325" spans="1:6" x14ac:dyDescent="0.25">
      <c r="A6325" t="s">
        <v>6446</v>
      </c>
      <c r="B6325" t="s">
        <v>2243</v>
      </c>
      <c r="C6325" t="s">
        <v>2244</v>
      </c>
      <c r="D6325" t="str">
        <f>HYPERLINK("http://service.sap.com/sap/support/notes/1800334","1800334")</f>
        <v>1800334</v>
      </c>
      <c r="E6325">
        <v>1</v>
      </c>
      <c r="F6325" t="s">
        <v>7739</v>
      </c>
    </row>
    <row r="6326" spans="1:6" x14ac:dyDescent="0.25">
      <c r="A6326" t="s">
        <v>6446</v>
      </c>
      <c r="B6326" t="s">
        <v>2243</v>
      </c>
      <c r="C6326" t="s">
        <v>2244</v>
      </c>
      <c r="D6326" t="str">
        <f>HYPERLINK("http://service.sap.com/sap/support/notes/1810419","1810419")</f>
        <v>1810419</v>
      </c>
      <c r="E6326">
        <v>1</v>
      </c>
      <c r="F6326" t="s">
        <v>7740</v>
      </c>
    </row>
    <row r="6327" spans="1:6" x14ac:dyDescent="0.25">
      <c r="A6327" t="s">
        <v>6446</v>
      </c>
      <c r="B6327" t="s">
        <v>2243</v>
      </c>
      <c r="C6327" t="s">
        <v>2244</v>
      </c>
      <c r="D6327" t="str">
        <f>HYPERLINK("http://service.sap.com/sap/support/notes/1821786","1821786")</f>
        <v>1821786</v>
      </c>
      <c r="E6327">
        <v>1</v>
      </c>
      <c r="F6327" t="s">
        <v>7741</v>
      </c>
    </row>
    <row r="6328" spans="1:6" x14ac:dyDescent="0.25">
      <c r="A6328" t="s">
        <v>6446</v>
      </c>
      <c r="B6328" t="s">
        <v>2243</v>
      </c>
      <c r="C6328" t="s">
        <v>2244</v>
      </c>
      <c r="D6328" t="str">
        <f>HYPERLINK("http://service.sap.com/sap/support/notes/1822659","1822659")</f>
        <v>1822659</v>
      </c>
      <c r="E6328">
        <v>1</v>
      </c>
      <c r="F6328" t="s">
        <v>7742</v>
      </c>
    </row>
    <row r="6329" spans="1:6" x14ac:dyDescent="0.25">
      <c r="A6329" t="s">
        <v>6446</v>
      </c>
      <c r="B6329" t="s">
        <v>2243</v>
      </c>
      <c r="C6329" t="s">
        <v>2244</v>
      </c>
      <c r="D6329" t="str">
        <f>HYPERLINK("http://service.sap.com/sap/support/notes/1834953","1834953")</f>
        <v>1834953</v>
      </c>
      <c r="E6329">
        <v>1</v>
      </c>
      <c r="F6329" t="s">
        <v>7743</v>
      </c>
    </row>
    <row r="6330" spans="1:6" x14ac:dyDescent="0.25">
      <c r="A6330" t="s">
        <v>6446</v>
      </c>
      <c r="B6330" t="s">
        <v>2248</v>
      </c>
      <c r="C6330" t="s">
        <v>2249</v>
      </c>
      <c r="D6330" t="str">
        <f>HYPERLINK("http://service.sap.com/sap/support/notes/1683957","1683957")</f>
        <v>1683957</v>
      </c>
      <c r="E6330">
        <v>7</v>
      </c>
      <c r="F6330" t="s">
        <v>7744</v>
      </c>
    </row>
    <row r="6331" spans="1:6" x14ac:dyDescent="0.25">
      <c r="A6331" t="s">
        <v>6446</v>
      </c>
      <c r="B6331" t="s">
        <v>2248</v>
      </c>
      <c r="C6331" t="s">
        <v>2249</v>
      </c>
      <c r="D6331" t="str">
        <f>HYPERLINK("http://service.sap.com/sap/support/notes/1812266","1812266")</f>
        <v>1812266</v>
      </c>
      <c r="E6331">
        <v>1</v>
      </c>
      <c r="F6331" t="s">
        <v>7745</v>
      </c>
    </row>
    <row r="6332" spans="1:6" x14ac:dyDescent="0.25">
      <c r="A6332" t="s">
        <v>6446</v>
      </c>
      <c r="B6332" t="s">
        <v>7746</v>
      </c>
      <c r="C6332" t="s">
        <v>7747</v>
      </c>
      <c r="D6332" t="str">
        <f>HYPERLINK("http://service.sap.com/sap/support/notes/1743946","1743946")</f>
        <v>1743946</v>
      </c>
      <c r="E6332">
        <v>3</v>
      </c>
      <c r="F6332" t="s">
        <v>7748</v>
      </c>
    </row>
    <row r="6333" spans="1:6" x14ac:dyDescent="0.25">
      <c r="A6333" t="s">
        <v>6446</v>
      </c>
      <c r="B6333" t="s">
        <v>2258</v>
      </c>
      <c r="C6333" t="s">
        <v>7749</v>
      </c>
      <c r="D6333" t="str">
        <f>HYPERLINK("http://service.sap.com/sap/support/notes/1797312","1797312")</f>
        <v>1797312</v>
      </c>
      <c r="E6333">
        <v>1</v>
      </c>
      <c r="F6333" t="s">
        <v>7750</v>
      </c>
    </row>
    <row r="6334" spans="1:6" x14ac:dyDescent="0.25">
      <c r="A6334" t="s">
        <v>6446</v>
      </c>
      <c r="B6334" t="s">
        <v>2263</v>
      </c>
      <c r="C6334" t="s">
        <v>1537</v>
      </c>
      <c r="D6334" t="str">
        <f>HYPERLINK("http://service.sap.com/sap/support/notes/1802220","1802220")</f>
        <v>1802220</v>
      </c>
      <c r="E6334">
        <v>1</v>
      </c>
      <c r="F6334" t="s">
        <v>7751</v>
      </c>
    </row>
    <row r="6335" spans="1:6" x14ac:dyDescent="0.25">
      <c r="A6335" t="s">
        <v>6446</v>
      </c>
      <c r="B6335" t="s">
        <v>2264</v>
      </c>
      <c r="C6335" t="s">
        <v>2265</v>
      </c>
      <c r="D6335" t="str">
        <f>HYPERLINK("http://service.sap.com/sap/support/notes/1657914","1657914")</f>
        <v>1657914</v>
      </c>
      <c r="E6335">
        <v>1</v>
      </c>
      <c r="F6335" t="s">
        <v>7752</v>
      </c>
    </row>
    <row r="6336" spans="1:6" x14ac:dyDescent="0.25">
      <c r="A6336" t="s">
        <v>6446</v>
      </c>
      <c r="B6336" t="s">
        <v>2264</v>
      </c>
      <c r="C6336" t="s">
        <v>2265</v>
      </c>
      <c r="D6336" t="str">
        <f>HYPERLINK("http://service.sap.com/sap/support/notes/1752680","1752680")</f>
        <v>1752680</v>
      </c>
      <c r="E6336">
        <v>3</v>
      </c>
      <c r="F6336" t="s">
        <v>7753</v>
      </c>
    </row>
    <row r="6337" spans="1:6" x14ac:dyDescent="0.25">
      <c r="A6337" t="s">
        <v>6446</v>
      </c>
      <c r="B6337" t="s">
        <v>2264</v>
      </c>
      <c r="C6337" t="s">
        <v>2265</v>
      </c>
      <c r="D6337" t="str">
        <f>HYPERLINK("http://service.sap.com/sap/support/notes/1816212","1816212")</f>
        <v>1816212</v>
      </c>
      <c r="E6337">
        <v>1</v>
      </c>
      <c r="F6337" t="s">
        <v>7754</v>
      </c>
    </row>
    <row r="6338" spans="1:6" x14ac:dyDescent="0.25">
      <c r="A6338" t="s">
        <v>6446</v>
      </c>
      <c r="B6338" t="s">
        <v>2264</v>
      </c>
      <c r="C6338" t="s">
        <v>2265</v>
      </c>
      <c r="D6338" t="str">
        <f>HYPERLINK("http://service.sap.com/sap/support/notes/1816746","1816746")</f>
        <v>1816746</v>
      </c>
      <c r="E6338">
        <v>1</v>
      </c>
      <c r="F6338" t="s">
        <v>7755</v>
      </c>
    </row>
    <row r="6339" spans="1:6" x14ac:dyDescent="0.25">
      <c r="A6339" t="s">
        <v>6446</v>
      </c>
      <c r="B6339" t="s">
        <v>2264</v>
      </c>
      <c r="C6339" t="s">
        <v>2265</v>
      </c>
      <c r="D6339" t="str">
        <f>HYPERLINK("http://service.sap.com/sap/support/notes/1816880","1816880")</f>
        <v>1816880</v>
      </c>
      <c r="E6339">
        <v>1</v>
      </c>
      <c r="F6339" t="s">
        <v>7756</v>
      </c>
    </row>
    <row r="6340" spans="1:6" x14ac:dyDescent="0.25">
      <c r="A6340" t="s">
        <v>6446</v>
      </c>
      <c r="B6340" t="s">
        <v>2264</v>
      </c>
      <c r="C6340" t="s">
        <v>2265</v>
      </c>
      <c r="D6340" t="str">
        <f>HYPERLINK("http://service.sap.com/sap/support/notes/1823938","1823938")</f>
        <v>1823938</v>
      </c>
      <c r="E6340">
        <v>2</v>
      </c>
      <c r="F6340" t="s">
        <v>7757</v>
      </c>
    </row>
    <row r="6341" spans="1:6" x14ac:dyDescent="0.25">
      <c r="A6341" t="s">
        <v>6446</v>
      </c>
      <c r="B6341" t="s">
        <v>2270</v>
      </c>
      <c r="C6341" t="s">
        <v>2265</v>
      </c>
      <c r="D6341" t="str">
        <f>HYPERLINK("http://service.sap.com/sap/support/notes/1805042","1805042")</f>
        <v>1805042</v>
      </c>
      <c r="E6341">
        <v>1</v>
      </c>
      <c r="F6341" t="s">
        <v>7758</v>
      </c>
    </row>
    <row r="6342" spans="1:6" x14ac:dyDescent="0.25">
      <c r="A6342" t="s">
        <v>6446</v>
      </c>
      <c r="B6342" t="s">
        <v>2270</v>
      </c>
      <c r="C6342" t="s">
        <v>2265</v>
      </c>
      <c r="D6342" t="str">
        <f>HYPERLINK("http://service.sap.com/sap/support/notes/1821486","1821486")</f>
        <v>1821486</v>
      </c>
      <c r="E6342">
        <v>1</v>
      </c>
      <c r="F6342" t="s">
        <v>7759</v>
      </c>
    </row>
    <row r="6343" spans="1:6" x14ac:dyDescent="0.25">
      <c r="A6343" t="s">
        <v>6446</v>
      </c>
      <c r="B6343" t="s">
        <v>2276</v>
      </c>
      <c r="C6343" t="s">
        <v>2277</v>
      </c>
      <c r="D6343" t="str">
        <f>HYPERLINK("http://service.sap.com/sap/support/notes/1801042","1801042")</f>
        <v>1801042</v>
      </c>
      <c r="E6343">
        <v>3</v>
      </c>
      <c r="F6343" t="s">
        <v>7760</v>
      </c>
    </row>
    <row r="6344" spans="1:6" x14ac:dyDescent="0.25">
      <c r="A6344" t="s">
        <v>6446</v>
      </c>
      <c r="B6344" t="s">
        <v>2276</v>
      </c>
      <c r="C6344" t="s">
        <v>2277</v>
      </c>
      <c r="D6344" t="str">
        <f>HYPERLINK("http://service.sap.com/sap/support/notes/1803797","1803797")</f>
        <v>1803797</v>
      </c>
      <c r="E6344">
        <v>2</v>
      </c>
      <c r="F6344" t="s">
        <v>7761</v>
      </c>
    </row>
    <row r="6345" spans="1:6" x14ac:dyDescent="0.25">
      <c r="A6345" t="s">
        <v>6446</v>
      </c>
      <c r="B6345" t="s">
        <v>2276</v>
      </c>
      <c r="C6345" t="s">
        <v>2277</v>
      </c>
      <c r="D6345" t="str">
        <f>HYPERLINK("http://service.sap.com/sap/support/notes/1813844","1813844")</f>
        <v>1813844</v>
      </c>
      <c r="E6345">
        <v>1</v>
      </c>
      <c r="F6345" t="s">
        <v>7762</v>
      </c>
    </row>
    <row r="6346" spans="1:6" x14ac:dyDescent="0.25">
      <c r="A6346" t="s">
        <v>6446</v>
      </c>
      <c r="B6346" t="s">
        <v>2279</v>
      </c>
      <c r="C6346" t="s">
        <v>2280</v>
      </c>
    </row>
    <row r="6347" spans="1:6" x14ac:dyDescent="0.25">
      <c r="A6347" t="s">
        <v>6446</v>
      </c>
      <c r="B6347" t="s">
        <v>2281</v>
      </c>
      <c r="C6347" t="s">
        <v>2282</v>
      </c>
      <c r="D6347" t="str">
        <f>HYPERLINK("http://service.sap.com/sap/support/notes/1807798","1807798")</f>
        <v>1807798</v>
      </c>
      <c r="E6347">
        <v>1</v>
      </c>
      <c r="F6347" t="s">
        <v>7763</v>
      </c>
    </row>
    <row r="6348" spans="1:6" x14ac:dyDescent="0.25">
      <c r="A6348" t="s">
        <v>6446</v>
      </c>
      <c r="B6348" t="s">
        <v>5410</v>
      </c>
      <c r="C6348" t="s">
        <v>5411</v>
      </c>
      <c r="D6348" t="str">
        <f>HYPERLINK("http://service.sap.com/sap/support/notes/1807360","1807360")</f>
        <v>1807360</v>
      </c>
      <c r="E6348">
        <v>2</v>
      </c>
      <c r="F6348" t="s">
        <v>7764</v>
      </c>
    </row>
    <row r="6349" spans="1:6" x14ac:dyDescent="0.25">
      <c r="A6349" t="s">
        <v>6446</v>
      </c>
      <c r="B6349" t="s">
        <v>5413</v>
      </c>
      <c r="C6349" t="s">
        <v>2280</v>
      </c>
      <c r="D6349" t="str">
        <f>HYPERLINK("http://service.sap.com/sap/support/notes/1796165","1796165")</f>
        <v>1796165</v>
      </c>
      <c r="E6349">
        <v>1</v>
      </c>
      <c r="F6349" t="s">
        <v>7765</v>
      </c>
    </row>
    <row r="6350" spans="1:6" x14ac:dyDescent="0.25">
      <c r="A6350" t="s">
        <v>6446</v>
      </c>
      <c r="B6350" t="s">
        <v>5413</v>
      </c>
      <c r="C6350" t="s">
        <v>2280</v>
      </c>
      <c r="D6350" t="str">
        <f>HYPERLINK("http://service.sap.com/sap/support/notes/1821361","1821361")</f>
        <v>1821361</v>
      </c>
      <c r="E6350">
        <v>1</v>
      </c>
      <c r="F6350" t="s">
        <v>7766</v>
      </c>
    </row>
    <row r="6351" spans="1:6" x14ac:dyDescent="0.25">
      <c r="A6351" t="s">
        <v>6446</v>
      </c>
      <c r="B6351" t="s">
        <v>5413</v>
      </c>
      <c r="C6351" t="s">
        <v>2280</v>
      </c>
      <c r="D6351" t="str">
        <f>HYPERLINK("http://service.sap.com/sap/support/notes/1823072","1823072")</f>
        <v>1823072</v>
      </c>
      <c r="E6351">
        <v>1</v>
      </c>
      <c r="F6351" t="s">
        <v>7767</v>
      </c>
    </row>
    <row r="6352" spans="1:6" x14ac:dyDescent="0.25">
      <c r="A6352" t="s">
        <v>6446</v>
      </c>
      <c r="B6352" t="s">
        <v>2292</v>
      </c>
      <c r="C6352" t="s">
        <v>2293</v>
      </c>
    </row>
    <row r="6353" spans="1:6" x14ac:dyDescent="0.25">
      <c r="A6353" t="s">
        <v>6446</v>
      </c>
      <c r="B6353" t="s">
        <v>5415</v>
      </c>
      <c r="C6353" t="s">
        <v>2293</v>
      </c>
      <c r="D6353" t="str">
        <f>HYPERLINK("http://service.sap.com/sap/support/notes/1815262","1815262")</f>
        <v>1815262</v>
      </c>
      <c r="E6353">
        <v>2</v>
      </c>
      <c r="F6353" t="s">
        <v>7768</v>
      </c>
    </row>
    <row r="6354" spans="1:6" x14ac:dyDescent="0.25">
      <c r="A6354" t="s">
        <v>6446</v>
      </c>
      <c r="B6354" t="s">
        <v>5415</v>
      </c>
      <c r="C6354" t="s">
        <v>2293</v>
      </c>
      <c r="D6354" t="str">
        <f>HYPERLINK("http://service.sap.com/sap/support/notes/1825005","1825005")</f>
        <v>1825005</v>
      </c>
      <c r="E6354">
        <v>1</v>
      </c>
      <c r="F6354" t="s">
        <v>7769</v>
      </c>
    </row>
    <row r="6355" spans="1:6" x14ac:dyDescent="0.25">
      <c r="A6355" t="s">
        <v>6446</v>
      </c>
      <c r="B6355" t="s">
        <v>2297</v>
      </c>
      <c r="C6355" t="s">
        <v>7770</v>
      </c>
      <c r="D6355" t="str">
        <f>HYPERLINK("http://service.sap.com/sap/support/notes/1817033","1817033")</f>
        <v>1817033</v>
      </c>
      <c r="E6355">
        <v>2</v>
      </c>
      <c r="F6355" t="s">
        <v>7771</v>
      </c>
    </row>
    <row r="6356" spans="1:6" x14ac:dyDescent="0.25">
      <c r="A6356" t="s">
        <v>6446</v>
      </c>
      <c r="B6356" t="s">
        <v>2299</v>
      </c>
      <c r="C6356" t="s">
        <v>2300</v>
      </c>
      <c r="D6356" t="str">
        <f>HYPERLINK("http://service.sap.com/sap/support/notes/1802928","1802928")</f>
        <v>1802928</v>
      </c>
      <c r="E6356">
        <v>3</v>
      </c>
      <c r="F6356" t="s">
        <v>7772</v>
      </c>
    </row>
    <row r="6357" spans="1:6" x14ac:dyDescent="0.25">
      <c r="A6357" t="s">
        <v>6446</v>
      </c>
      <c r="B6357" t="s">
        <v>2299</v>
      </c>
      <c r="C6357" t="s">
        <v>2300</v>
      </c>
      <c r="D6357" t="str">
        <f>HYPERLINK("http://service.sap.com/sap/support/notes/1803339","1803339")</f>
        <v>1803339</v>
      </c>
      <c r="E6357">
        <v>4</v>
      </c>
      <c r="F6357" t="s">
        <v>7773</v>
      </c>
    </row>
    <row r="6358" spans="1:6" x14ac:dyDescent="0.25">
      <c r="A6358" t="s">
        <v>6446</v>
      </c>
      <c r="B6358" t="s">
        <v>2299</v>
      </c>
      <c r="C6358" t="s">
        <v>2300</v>
      </c>
      <c r="D6358" t="str">
        <f>HYPERLINK("http://service.sap.com/sap/support/notes/1808232","1808232")</f>
        <v>1808232</v>
      </c>
      <c r="E6358">
        <v>1</v>
      </c>
      <c r="F6358" t="s">
        <v>7774</v>
      </c>
    </row>
    <row r="6359" spans="1:6" x14ac:dyDescent="0.25">
      <c r="A6359" t="s">
        <v>6446</v>
      </c>
      <c r="B6359" t="s">
        <v>2299</v>
      </c>
      <c r="C6359" t="s">
        <v>2300</v>
      </c>
      <c r="D6359" t="str">
        <f>HYPERLINK("http://service.sap.com/sap/support/notes/1812002","1812002")</f>
        <v>1812002</v>
      </c>
      <c r="E6359">
        <v>3</v>
      </c>
      <c r="F6359" t="s">
        <v>7775</v>
      </c>
    </row>
    <row r="6360" spans="1:6" x14ac:dyDescent="0.25">
      <c r="A6360" t="s">
        <v>6446</v>
      </c>
      <c r="B6360" t="s">
        <v>2299</v>
      </c>
      <c r="C6360" t="s">
        <v>2300</v>
      </c>
      <c r="D6360" t="str">
        <f>HYPERLINK("http://service.sap.com/sap/support/notes/1814532","1814532")</f>
        <v>1814532</v>
      </c>
      <c r="E6360">
        <v>2</v>
      </c>
      <c r="F6360" t="s">
        <v>7776</v>
      </c>
    </row>
    <row r="6361" spans="1:6" x14ac:dyDescent="0.25">
      <c r="A6361" t="s">
        <v>6446</v>
      </c>
      <c r="B6361" t="s">
        <v>2299</v>
      </c>
      <c r="C6361" t="s">
        <v>2300</v>
      </c>
      <c r="D6361" t="str">
        <f>HYPERLINK("http://service.sap.com/sap/support/notes/1822547","1822547")</f>
        <v>1822547</v>
      </c>
      <c r="E6361">
        <v>1</v>
      </c>
      <c r="F6361" t="s">
        <v>7777</v>
      </c>
    </row>
    <row r="6362" spans="1:6" x14ac:dyDescent="0.25">
      <c r="A6362" t="s">
        <v>6446</v>
      </c>
      <c r="B6362" t="s">
        <v>2299</v>
      </c>
      <c r="C6362" t="s">
        <v>2300</v>
      </c>
      <c r="D6362" t="str">
        <f>HYPERLINK("http://service.sap.com/sap/support/notes/1827987","1827987")</f>
        <v>1827987</v>
      </c>
      <c r="E6362">
        <v>1</v>
      </c>
      <c r="F6362" t="s">
        <v>7778</v>
      </c>
    </row>
    <row r="6363" spans="1:6" x14ac:dyDescent="0.25">
      <c r="A6363" t="s">
        <v>6446</v>
      </c>
      <c r="B6363" t="s">
        <v>2305</v>
      </c>
      <c r="C6363" t="s">
        <v>2306</v>
      </c>
      <c r="D6363" t="str">
        <f>HYPERLINK("http://service.sap.com/sap/support/notes/1786618","1786618")</f>
        <v>1786618</v>
      </c>
      <c r="E6363">
        <v>1</v>
      </c>
      <c r="F6363" t="s">
        <v>7779</v>
      </c>
    </row>
    <row r="6364" spans="1:6" x14ac:dyDescent="0.25">
      <c r="A6364" t="s">
        <v>6446</v>
      </c>
      <c r="B6364" t="s">
        <v>2305</v>
      </c>
      <c r="C6364" t="s">
        <v>2306</v>
      </c>
      <c r="D6364" t="str">
        <f>HYPERLINK("http://service.sap.com/sap/support/notes/1800739","1800739")</f>
        <v>1800739</v>
      </c>
      <c r="E6364">
        <v>1</v>
      </c>
      <c r="F6364" t="s">
        <v>7780</v>
      </c>
    </row>
    <row r="6365" spans="1:6" x14ac:dyDescent="0.25">
      <c r="A6365" t="s">
        <v>6446</v>
      </c>
      <c r="B6365" t="s">
        <v>2305</v>
      </c>
      <c r="C6365" t="s">
        <v>2306</v>
      </c>
      <c r="D6365" t="str">
        <f>HYPERLINK("http://service.sap.com/sap/support/notes/1810488","1810488")</f>
        <v>1810488</v>
      </c>
      <c r="E6365">
        <v>1</v>
      </c>
      <c r="F6365" t="s">
        <v>7781</v>
      </c>
    </row>
    <row r="6366" spans="1:6" x14ac:dyDescent="0.25">
      <c r="A6366" t="s">
        <v>6446</v>
      </c>
      <c r="B6366" t="s">
        <v>2305</v>
      </c>
      <c r="C6366" t="s">
        <v>2306</v>
      </c>
      <c r="D6366" t="str">
        <f>HYPERLINK("http://service.sap.com/sap/support/notes/1810560","1810560")</f>
        <v>1810560</v>
      </c>
      <c r="E6366">
        <v>2</v>
      </c>
      <c r="F6366" t="s">
        <v>7782</v>
      </c>
    </row>
    <row r="6367" spans="1:6" x14ac:dyDescent="0.25">
      <c r="A6367" t="s">
        <v>6446</v>
      </c>
      <c r="B6367" t="s">
        <v>2305</v>
      </c>
      <c r="C6367" t="s">
        <v>2306</v>
      </c>
      <c r="D6367" t="str">
        <f>HYPERLINK("http://service.sap.com/sap/support/notes/1813792","1813792")</f>
        <v>1813792</v>
      </c>
      <c r="E6367">
        <v>1</v>
      </c>
      <c r="F6367" t="s">
        <v>7783</v>
      </c>
    </row>
    <row r="6368" spans="1:6" x14ac:dyDescent="0.25">
      <c r="A6368" t="s">
        <v>6446</v>
      </c>
      <c r="B6368" t="s">
        <v>2305</v>
      </c>
      <c r="C6368" t="s">
        <v>2306</v>
      </c>
      <c r="D6368" t="str">
        <f>HYPERLINK("http://service.sap.com/sap/support/notes/1816805","1816805")</f>
        <v>1816805</v>
      </c>
      <c r="E6368">
        <v>1</v>
      </c>
      <c r="F6368" t="s">
        <v>7784</v>
      </c>
    </row>
    <row r="6369" spans="1:6" x14ac:dyDescent="0.25">
      <c r="A6369" t="s">
        <v>6446</v>
      </c>
      <c r="B6369" t="s">
        <v>2305</v>
      </c>
      <c r="C6369" t="s">
        <v>2306</v>
      </c>
      <c r="D6369" t="str">
        <f>HYPERLINK("http://service.sap.com/sap/support/notes/1826958","1826958")</f>
        <v>1826958</v>
      </c>
      <c r="E6369">
        <v>1</v>
      </c>
      <c r="F6369" t="s">
        <v>7785</v>
      </c>
    </row>
    <row r="6370" spans="1:6" x14ac:dyDescent="0.25">
      <c r="A6370" t="s">
        <v>6446</v>
      </c>
      <c r="B6370" t="s">
        <v>2320</v>
      </c>
      <c r="C6370" t="s">
        <v>2321</v>
      </c>
    </row>
    <row r="6371" spans="1:6" x14ac:dyDescent="0.25">
      <c r="A6371" t="s">
        <v>6446</v>
      </c>
      <c r="B6371" t="s">
        <v>7786</v>
      </c>
      <c r="C6371" t="s">
        <v>7787</v>
      </c>
    </row>
    <row r="6372" spans="1:6" x14ac:dyDescent="0.25">
      <c r="A6372" t="s">
        <v>6446</v>
      </c>
      <c r="B6372" t="s">
        <v>7788</v>
      </c>
      <c r="C6372" t="s">
        <v>7789</v>
      </c>
      <c r="D6372" t="str">
        <f>HYPERLINK("http://service.sap.com/sap/support/notes/1779390","1779390")</f>
        <v>1779390</v>
      </c>
      <c r="E6372">
        <v>2</v>
      </c>
      <c r="F6372" t="s">
        <v>7790</v>
      </c>
    </row>
    <row r="6373" spans="1:6" x14ac:dyDescent="0.25">
      <c r="A6373" t="s">
        <v>6446</v>
      </c>
      <c r="B6373" t="s">
        <v>2322</v>
      </c>
      <c r="C6373" t="s">
        <v>2323</v>
      </c>
      <c r="D6373" t="str">
        <f>HYPERLINK("http://service.sap.com/sap/support/notes/1717123","1717123")</f>
        <v>1717123</v>
      </c>
      <c r="E6373">
        <v>7</v>
      </c>
      <c r="F6373" t="s">
        <v>7791</v>
      </c>
    </row>
    <row r="6374" spans="1:6" x14ac:dyDescent="0.25">
      <c r="A6374" t="s">
        <v>6446</v>
      </c>
      <c r="B6374" t="s">
        <v>2322</v>
      </c>
      <c r="C6374" t="s">
        <v>2323</v>
      </c>
      <c r="D6374" t="str">
        <f>HYPERLINK("http://service.sap.com/sap/support/notes/1731260","1731260")</f>
        <v>1731260</v>
      </c>
      <c r="E6374">
        <v>4</v>
      </c>
      <c r="F6374" t="s">
        <v>7792</v>
      </c>
    </row>
    <row r="6375" spans="1:6" x14ac:dyDescent="0.25">
      <c r="A6375" t="s">
        <v>6446</v>
      </c>
      <c r="B6375" t="s">
        <v>2322</v>
      </c>
      <c r="C6375" t="s">
        <v>2323</v>
      </c>
      <c r="D6375" t="str">
        <f>HYPERLINK("http://service.sap.com/sap/support/notes/1810950","1810950")</f>
        <v>1810950</v>
      </c>
      <c r="E6375">
        <v>2</v>
      </c>
      <c r="F6375" t="s">
        <v>7793</v>
      </c>
    </row>
    <row r="6376" spans="1:6" x14ac:dyDescent="0.25">
      <c r="A6376" t="s">
        <v>6446</v>
      </c>
      <c r="B6376" t="s">
        <v>2322</v>
      </c>
      <c r="C6376" t="s">
        <v>2323</v>
      </c>
      <c r="D6376" t="str">
        <f>HYPERLINK("http://service.sap.com/sap/support/notes/1813157","1813157")</f>
        <v>1813157</v>
      </c>
      <c r="E6376">
        <v>1</v>
      </c>
      <c r="F6376" t="s">
        <v>7794</v>
      </c>
    </row>
    <row r="6377" spans="1:6" x14ac:dyDescent="0.25">
      <c r="A6377" t="s">
        <v>6446</v>
      </c>
      <c r="B6377" t="s">
        <v>2322</v>
      </c>
      <c r="C6377" t="s">
        <v>2323</v>
      </c>
      <c r="D6377" t="str">
        <f>HYPERLINK("http://service.sap.com/sap/support/notes/1813814","1813814")</f>
        <v>1813814</v>
      </c>
      <c r="E6377">
        <v>1</v>
      </c>
      <c r="F6377" t="s">
        <v>7795</v>
      </c>
    </row>
    <row r="6378" spans="1:6" x14ac:dyDescent="0.25">
      <c r="A6378" t="s">
        <v>6446</v>
      </c>
      <c r="B6378" t="s">
        <v>2327</v>
      </c>
      <c r="C6378" t="s">
        <v>151</v>
      </c>
      <c r="D6378" t="str">
        <f>HYPERLINK("http://service.sap.com/sap/support/notes/1821910","1821910")</f>
        <v>1821910</v>
      </c>
      <c r="E6378">
        <v>1</v>
      </c>
      <c r="F6378" t="s">
        <v>7796</v>
      </c>
    </row>
    <row r="6379" spans="1:6" x14ac:dyDescent="0.25">
      <c r="A6379" t="s">
        <v>6446</v>
      </c>
      <c r="B6379" t="s">
        <v>5433</v>
      </c>
      <c r="C6379" t="s">
        <v>5434</v>
      </c>
      <c r="D6379" t="str">
        <f>HYPERLINK("http://service.sap.com/sap/support/notes/1794846","1794846")</f>
        <v>1794846</v>
      </c>
      <c r="E6379">
        <v>3</v>
      </c>
      <c r="F6379" t="s">
        <v>7797</v>
      </c>
    </row>
    <row r="6380" spans="1:6" x14ac:dyDescent="0.25">
      <c r="A6380" t="s">
        <v>6446</v>
      </c>
      <c r="B6380" t="s">
        <v>2331</v>
      </c>
      <c r="C6380" t="s">
        <v>1784</v>
      </c>
    </row>
    <row r="6381" spans="1:6" x14ac:dyDescent="0.25">
      <c r="A6381" t="s">
        <v>6446</v>
      </c>
      <c r="B6381" t="s">
        <v>7798</v>
      </c>
      <c r="C6381" t="s">
        <v>7799</v>
      </c>
      <c r="D6381" t="str">
        <f>HYPERLINK("http://service.sap.com/sap/support/notes/1805981","1805981")</f>
        <v>1805981</v>
      </c>
      <c r="E6381">
        <v>1</v>
      </c>
      <c r="F6381" t="s">
        <v>7800</v>
      </c>
    </row>
    <row r="6382" spans="1:6" x14ac:dyDescent="0.25">
      <c r="A6382" t="s">
        <v>6446</v>
      </c>
      <c r="B6382" t="s">
        <v>2332</v>
      </c>
      <c r="C6382" t="s">
        <v>2333</v>
      </c>
      <c r="D6382" t="str">
        <f>HYPERLINK("http://service.sap.com/sap/support/notes/1790973","1790973")</f>
        <v>1790973</v>
      </c>
      <c r="E6382">
        <v>3</v>
      </c>
      <c r="F6382" t="s">
        <v>7801</v>
      </c>
    </row>
    <row r="6383" spans="1:6" x14ac:dyDescent="0.25">
      <c r="A6383" t="s">
        <v>6446</v>
      </c>
      <c r="B6383" t="s">
        <v>2340</v>
      </c>
      <c r="C6383" t="s">
        <v>2341</v>
      </c>
      <c r="D6383" t="str">
        <f>HYPERLINK("http://service.sap.com/sap/support/notes/1642097","1642097")</f>
        <v>1642097</v>
      </c>
      <c r="E6383">
        <v>5</v>
      </c>
      <c r="F6383" t="s">
        <v>7802</v>
      </c>
    </row>
    <row r="6384" spans="1:6" x14ac:dyDescent="0.25">
      <c r="A6384" t="s">
        <v>6446</v>
      </c>
      <c r="B6384" t="s">
        <v>2340</v>
      </c>
      <c r="C6384" t="s">
        <v>2341</v>
      </c>
      <c r="D6384" t="str">
        <f>HYPERLINK("http://service.sap.com/sap/support/notes/1770198","1770198")</f>
        <v>1770198</v>
      </c>
      <c r="E6384">
        <v>3</v>
      </c>
      <c r="F6384" t="s">
        <v>7803</v>
      </c>
    </row>
    <row r="6385" spans="1:6" x14ac:dyDescent="0.25">
      <c r="A6385" t="s">
        <v>6446</v>
      </c>
      <c r="B6385" t="s">
        <v>2347</v>
      </c>
      <c r="C6385" t="s">
        <v>2348</v>
      </c>
      <c r="D6385" t="str">
        <f>HYPERLINK("http://service.sap.com/sap/support/notes/1796950","1796950")</f>
        <v>1796950</v>
      </c>
      <c r="E6385">
        <v>2</v>
      </c>
      <c r="F6385" t="s">
        <v>7804</v>
      </c>
    </row>
    <row r="6386" spans="1:6" x14ac:dyDescent="0.25">
      <c r="A6386" t="s">
        <v>6446</v>
      </c>
      <c r="B6386" t="s">
        <v>2347</v>
      </c>
      <c r="C6386" t="s">
        <v>2348</v>
      </c>
      <c r="D6386" t="str">
        <f>HYPERLINK("http://service.sap.com/sap/support/notes/1802858","1802858")</f>
        <v>1802858</v>
      </c>
      <c r="E6386">
        <v>2</v>
      </c>
      <c r="F6386" t="s">
        <v>7805</v>
      </c>
    </row>
    <row r="6387" spans="1:6" x14ac:dyDescent="0.25">
      <c r="A6387" t="s">
        <v>6446</v>
      </c>
      <c r="B6387" t="s">
        <v>2347</v>
      </c>
      <c r="C6387" t="s">
        <v>2348</v>
      </c>
      <c r="D6387" t="str">
        <f>HYPERLINK("http://service.sap.com/sap/support/notes/1806265","1806265")</f>
        <v>1806265</v>
      </c>
      <c r="E6387">
        <v>2</v>
      </c>
      <c r="F6387" t="s">
        <v>5444</v>
      </c>
    </row>
    <row r="6388" spans="1:6" x14ac:dyDescent="0.25">
      <c r="A6388" t="s">
        <v>6446</v>
      </c>
      <c r="B6388" t="s">
        <v>2355</v>
      </c>
      <c r="C6388" t="s">
        <v>2356</v>
      </c>
      <c r="D6388" t="str">
        <f>HYPERLINK("http://service.sap.com/sap/support/notes/1818133","1818133")</f>
        <v>1818133</v>
      </c>
      <c r="E6388">
        <v>2</v>
      </c>
      <c r="F6388" t="s">
        <v>7806</v>
      </c>
    </row>
    <row r="6389" spans="1:6" x14ac:dyDescent="0.25">
      <c r="A6389" t="s">
        <v>6446</v>
      </c>
      <c r="B6389" t="s">
        <v>2355</v>
      </c>
      <c r="C6389" t="s">
        <v>2356</v>
      </c>
      <c r="D6389" t="str">
        <f>HYPERLINK("http://service.sap.com/sap/support/notes/1824213","1824213")</f>
        <v>1824213</v>
      </c>
      <c r="E6389">
        <v>1</v>
      </c>
      <c r="F6389" t="s">
        <v>7807</v>
      </c>
    </row>
    <row r="6390" spans="1:6" x14ac:dyDescent="0.25">
      <c r="A6390" t="s">
        <v>6446</v>
      </c>
      <c r="B6390" t="s">
        <v>2358</v>
      </c>
      <c r="C6390" t="s">
        <v>2359</v>
      </c>
      <c r="D6390" t="str">
        <f>HYPERLINK("http://service.sap.com/sap/support/notes/1276231","1276231")</f>
        <v>1276231</v>
      </c>
      <c r="E6390">
        <v>12</v>
      </c>
      <c r="F6390" t="s">
        <v>7808</v>
      </c>
    </row>
    <row r="6391" spans="1:6" x14ac:dyDescent="0.25">
      <c r="A6391" t="s">
        <v>6446</v>
      </c>
      <c r="B6391" t="s">
        <v>2358</v>
      </c>
      <c r="C6391" t="s">
        <v>2359</v>
      </c>
      <c r="D6391" t="str">
        <f>HYPERLINK("http://service.sap.com/sap/support/notes/1770914","1770914")</f>
        <v>1770914</v>
      </c>
      <c r="E6391">
        <v>1</v>
      </c>
      <c r="F6391" t="s">
        <v>7809</v>
      </c>
    </row>
    <row r="6392" spans="1:6" x14ac:dyDescent="0.25">
      <c r="A6392" t="s">
        <v>6446</v>
      </c>
      <c r="B6392" t="s">
        <v>2358</v>
      </c>
      <c r="C6392" t="s">
        <v>2359</v>
      </c>
      <c r="D6392" t="str">
        <f>HYPERLINK("http://service.sap.com/sap/support/notes/1775319","1775319")</f>
        <v>1775319</v>
      </c>
      <c r="E6392">
        <v>3</v>
      </c>
      <c r="F6392" t="s">
        <v>7810</v>
      </c>
    </row>
    <row r="6393" spans="1:6" x14ac:dyDescent="0.25">
      <c r="A6393" t="s">
        <v>6446</v>
      </c>
      <c r="B6393" t="s">
        <v>2358</v>
      </c>
      <c r="C6393" t="s">
        <v>2359</v>
      </c>
      <c r="D6393" t="str">
        <f>HYPERLINK("http://service.sap.com/sap/support/notes/1799936","1799936")</f>
        <v>1799936</v>
      </c>
      <c r="E6393">
        <v>1</v>
      </c>
      <c r="F6393" t="s">
        <v>7811</v>
      </c>
    </row>
    <row r="6394" spans="1:6" x14ac:dyDescent="0.25">
      <c r="A6394" t="s">
        <v>6446</v>
      </c>
      <c r="B6394" t="s">
        <v>2358</v>
      </c>
      <c r="C6394" t="s">
        <v>2359</v>
      </c>
      <c r="D6394" t="str">
        <f>HYPERLINK("http://service.sap.com/sap/support/notes/1801025","1801025")</f>
        <v>1801025</v>
      </c>
      <c r="E6394">
        <v>2</v>
      </c>
      <c r="F6394" t="s">
        <v>7812</v>
      </c>
    </row>
    <row r="6395" spans="1:6" x14ac:dyDescent="0.25">
      <c r="A6395" t="s">
        <v>6446</v>
      </c>
      <c r="B6395" t="s">
        <v>2358</v>
      </c>
      <c r="C6395" t="s">
        <v>2359</v>
      </c>
      <c r="D6395" t="str">
        <f>HYPERLINK("http://service.sap.com/sap/support/notes/1813991","1813991")</f>
        <v>1813991</v>
      </c>
      <c r="E6395">
        <v>3</v>
      </c>
      <c r="F6395" t="s">
        <v>7813</v>
      </c>
    </row>
    <row r="6396" spans="1:6" x14ac:dyDescent="0.25">
      <c r="A6396" t="s">
        <v>6446</v>
      </c>
      <c r="B6396" t="s">
        <v>2358</v>
      </c>
      <c r="C6396" t="s">
        <v>2359</v>
      </c>
      <c r="D6396" t="str">
        <f>HYPERLINK("http://service.sap.com/sap/support/notes/1814034","1814034")</f>
        <v>1814034</v>
      </c>
      <c r="E6396">
        <v>1</v>
      </c>
      <c r="F6396" t="s">
        <v>7814</v>
      </c>
    </row>
    <row r="6397" spans="1:6" x14ac:dyDescent="0.25">
      <c r="A6397" t="s">
        <v>6446</v>
      </c>
      <c r="B6397" t="s">
        <v>7815</v>
      </c>
      <c r="C6397" t="s">
        <v>7816</v>
      </c>
      <c r="D6397" t="str">
        <f>HYPERLINK("http://service.sap.com/sap/support/notes/1548862","1548862")</f>
        <v>1548862</v>
      </c>
      <c r="E6397">
        <v>4</v>
      </c>
      <c r="F6397" t="s">
        <v>7817</v>
      </c>
    </row>
    <row r="6398" spans="1:6" x14ac:dyDescent="0.25">
      <c r="A6398" t="s">
        <v>6446</v>
      </c>
      <c r="B6398" t="s">
        <v>7815</v>
      </c>
      <c r="C6398" t="s">
        <v>7816</v>
      </c>
      <c r="D6398" t="str">
        <f>HYPERLINK("http://service.sap.com/sap/support/notes/1821943","1821943")</f>
        <v>1821943</v>
      </c>
      <c r="E6398">
        <v>1</v>
      </c>
      <c r="F6398" t="s">
        <v>7818</v>
      </c>
    </row>
    <row r="6399" spans="1:6" x14ac:dyDescent="0.25">
      <c r="A6399" t="s">
        <v>6446</v>
      </c>
      <c r="B6399" t="s">
        <v>5457</v>
      </c>
      <c r="C6399" t="s">
        <v>2321</v>
      </c>
      <c r="D6399" t="str">
        <f>HYPERLINK("http://service.sap.com/sap/support/notes/1818594","1818594")</f>
        <v>1818594</v>
      </c>
      <c r="E6399">
        <v>2</v>
      </c>
      <c r="F6399" t="s">
        <v>7819</v>
      </c>
    </row>
    <row r="6400" spans="1:6" x14ac:dyDescent="0.25">
      <c r="A6400" t="s">
        <v>6446</v>
      </c>
      <c r="B6400" t="s">
        <v>5457</v>
      </c>
      <c r="C6400" t="s">
        <v>2321</v>
      </c>
      <c r="D6400" t="str">
        <f>HYPERLINK("http://service.sap.com/sap/support/notes/1822025","1822025")</f>
        <v>1822025</v>
      </c>
      <c r="E6400">
        <v>1</v>
      </c>
      <c r="F6400" t="s">
        <v>7820</v>
      </c>
    </row>
    <row r="6401" spans="1:6" x14ac:dyDescent="0.25">
      <c r="A6401" t="s">
        <v>6446</v>
      </c>
      <c r="B6401" t="s">
        <v>5457</v>
      </c>
      <c r="C6401" t="s">
        <v>2321</v>
      </c>
      <c r="D6401" t="str">
        <f>HYPERLINK("http://service.sap.com/sap/support/notes/1830862","1830862")</f>
        <v>1830862</v>
      </c>
      <c r="E6401">
        <v>1</v>
      </c>
      <c r="F6401" t="s">
        <v>7821</v>
      </c>
    </row>
    <row r="6402" spans="1:6" x14ac:dyDescent="0.25">
      <c r="A6402" t="s">
        <v>6446</v>
      </c>
      <c r="B6402" t="s">
        <v>2375</v>
      </c>
      <c r="C6402" t="s">
        <v>2376</v>
      </c>
      <c r="D6402" t="str">
        <f>HYPERLINK("http://service.sap.com/sap/support/notes/1804554","1804554")</f>
        <v>1804554</v>
      </c>
      <c r="E6402">
        <v>1</v>
      </c>
      <c r="F6402" t="s">
        <v>7822</v>
      </c>
    </row>
    <row r="6403" spans="1:6" x14ac:dyDescent="0.25">
      <c r="A6403" t="s">
        <v>6446</v>
      </c>
      <c r="B6403" t="s">
        <v>2375</v>
      </c>
      <c r="C6403" t="s">
        <v>2376</v>
      </c>
      <c r="D6403" t="str">
        <f>HYPERLINK("http://service.sap.com/sap/support/notes/1817506","1817506")</f>
        <v>1817506</v>
      </c>
      <c r="E6403">
        <v>2</v>
      </c>
      <c r="F6403" t="s">
        <v>7823</v>
      </c>
    </row>
    <row r="6404" spans="1:6" x14ac:dyDescent="0.25">
      <c r="A6404" t="s">
        <v>6446</v>
      </c>
      <c r="B6404" t="s">
        <v>2375</v>
      </c>
      <c r="C6404" t="s">
        <v>2376</v>
      </c>
      <c r="D6404" t="str">
        <f>HYPERLINK("http://service.sap.com/sap/support/notes/1823425","1823425")</f>
        <v>1823425</v>
      </c>
      <c r="E6404">
        <v>1</v>
      </c>
      <c r="F6404" t="s">
        <v>7824</v>
      </c>
    </row>
    <row r="6405" spans="1:6" x14ac:dyDescent="0.25">
      <c r="A6405" t="s">
        <v>6446</v>
      </c>
      <c r="B6405" t="s">
        <v>2375</v>
      </c>
      <c r="C6405" t="s">
        <v>2376</v>
      </c>
      <c r="D6405" t="str">
        <f>HYPERLINK("http://service.sap.com/sap/support/notes/1829345","1829345")</f>
        <v>1829345</v>
      </c>
      <c r="E6405">
        <v>1</v>
      </c>
      <c r="F6405" t="s">
        <v>7825</v>
      </c>
    </row>
    <row r="6406" spans="1:6" x14ac:dyDescent="0.25">
      <c r="A6406" t="s">
        <v>6446</v>
      </c>
      <c r="B6406" t="s">
        <v>2379</v>
      </c>
      <c r="C6406" t="s">
        <v>2380</v>
      </c>
      <c r="D6406" t="str">
        <f>HYPERLINK("http://service.sap.com/sap/support/notes/1809489","1809489")</f>
        <v>1809489</v>
      </c>
      <c r="E6406">
        <v>1</v>
      </c>
      <c r="F6406" t="s">
        <v>7826</v>
      </c>
    </row>
    <row r="6407" spans="1:6" x14ac:dyDescent="0.25">
      <c r="A6407" t="s">
        <v>6446</v>
      </c>
      <c r="B6407" t="s">
        <v>2383</v>
      </c>
      <c r="C6407" t="s">
        <v>1638</v>
      </c>
    </row>
    <row r="6408" spans="1:6" x14ac:dyDescent="0.25">
      <c r="A6408" t="s">
        <v>6446</v>
      </c>
      <c r="B6408" t="s">
        <v>2384</v>
      </c>
      <c r="C6408" t="s">
        <v>2385</v>
      </c>
    </row>
    <row r="6409" spans="1:6" x14ac:dyDescent="0.25">
      <c r="A6409" t="s">
        <v>6446</v>
      </c>
      <c r="B6409" t="s">
        <v>2386</v>
      </c>
      <c r="C6409" t="s">
        <v>2387</v>
      </c>
      <c r="D6409" t="str">
        <f>HYPERLINK("http://service.sap.com/sap/support/notes/1702686","1702686")</f>
        <v>1702686</v>
      </c>
      <c r="E6409">
        <v>2</v>
      </c>
      <c r="F6409" t="s">
        <v>7827</v>
      </c>
    </row>
    <row r="6410" spans="1:6" x14ac:dyDescent="0.25">
      <c r="A6410" t="s">
        <v>6446</v>
      </c>
      <c r="B6410" t="s">
        <v>2386</v>
      </c>
      <c r="C6410" t="s">
        <v>2387</v>
      </c>
      <c r="D6410" t="str">
        <f>HYPERLINK("http://service.sap.com/sap/support/notes/1716605","1716605")</f>
        <v>1716605</v>
      </c>
      <c r="E6410">
        <v>2</v>
      </c>
      <c r="F6410" t="s">
        <v>7828</v>
      </c>
    </row>
    <row r="6411" spans="1:6" x14ac:dyDescent="0.25">
      <c r="A6411" t="s">
        <v>6446</v>
      </c>
      <c r="B6411" t="s">
        <v>2386</v>
      </c>
      <c r="C6411" t="s">
        <v>2387</v>
      </c>
      <c r="D6411" t="str">
        <f>HYPERLINK("http://service.sap.com/sap/support/notes/1758062","1758062")</f>
        <v>1758062</v>
      </c>
      <c r="E6411">
        <v>4</v>
      </c>
      <c r="F6411" t="s">
        <v>7829</v>
      </c>
    </row>
    <row r="6412" spans="1:6" x14ac:dyDescent="0.25">
      <c r="A6412" t="s">
        <v>6446</v>
      </c>
      <c r="B6412" t="s">
        <v>2386</v>
      </c>
      <c r="C6412" t="s">
        <v>2387</v>
      </c>
      <c r="D6412" t="str">
        <f>HYPERLINK("http://service.sap.com/sap/support/notes/1810851","1810851")</f>
        <v>1810851</v>
      </c>
      <c r="E6412">
        <v>3</v>
      </c>
      <c r="F6412" t="s">
        <v>7830</v>
      </c>
    </row>
    <row r="6413" spans="1:6" x14ac:dyDescent="0.25">
      <c r="A6413" t="s">
        <v>6446</v>
      </c>
      <c r="B6413" t="s">
        <v>2389</v>
      </c>
      <c r="C6413" t="s">
        <v>2390</v>
      </c>
      <c r="D6413" t="str">
        <f>HYPERLINK("http://service.sap.com/sap/support/notes/1787266","1787266")</f>
        <v>1787266</v>
      </c>
      <c r="E6413">
        <v>2</v>
      </c>
      <c r="F6413" t="s">
        <v>7831</v>
      </c>
    </row>
    <row r="6414" spans="1:6" x14ac:dyDescent="0.25">
      <c r="A6414" t="s">
        <v>6446</v>
      </c>
      <c r="B6414" t="s">
        <v>2389</v>
      </c>
      <c r="C6414" t="s">
        <v>2390</v>
      </c>
      <c r="D6414" t="str">
        <f>HYPERLINK("http://service.sap.com/sap/support/notes/1806771","1806771")</f>
        <v>1806771</v>
      </c>
      <c r="E6414">
        <v>2</v>
      </c>
      <c r="F6414" t="s">
        <v>7832</v>
      </c>
    </row>
    <row r="6415" spans="1:6" x14ac:dyDescent="0.25">
      <c r="A6415" t="s">
        <v>6446</v>
      </c>
      <c r="B6415" t="s">
        <v>2389</v>
      </c>
      <c r="C6415" t="s">
        <v>2390</v>
      </c>
      <c r="D6415" t="str">
        <f>HYPERLINK("http://service.sap.com/sap/support/notes/1810461","1810461")</f>
        <v>1810461</v>
      </c>
      <c r="E6415">
        <v>1</v>
      </c>
      <c r="F6415" t="s">
        <v>7833</v>
      </c>
    </row>
    <row r="6416" spans="1:6" x14ac:dyDescent="0.25">
      <c r="A6416" t="s">
        <v>6446</v>
      </c>
      <c r="B6416" t="s">
        <v>2389</v>
      </c>
      <c r="C6416" t="s">
        <v>2390</v>
      </c>
      <c r="D6416" t="str">
        <f>HYPERLINK("http://service.sap.com/sap/support/notes/1820306","1820306")</f>
        <v>1820306</v>
      </c>
      <c r="E6416">
        <v>1</v>
      </c>
      <c r="F6416" t="s">
        <v>7834</v>
      </c>
    </row>
    <row r="6417" spans="1:6" x14ac:dyDescent="0.25">
      <c r="A6417" t="s">
        <v>6446</v>
      </c>
      <c r="B6417" t="s">
        <v>2397</v>
      </c>
      <c r="C6417" t="s">
        <v>151</v>
      </c>
      <c r="D6417" t="str">
        <f>HYPERLINK("http://service.sap.com/sap/support/notes/1810992","1810992")</f>
        <v>1810992</v>
      </c>
    </row>
    <row r="6418" spans="1:6" x14ac:dyDescent="0.25">
      <c r="A6418" t="s">
        <v>6446</v>
      </c>
      <c r="B6418" t="s">
        <v>2399</v>
      </c>
      <c r="C6418" t="s">
        <v>2400</v>
      </c>
      <c r="D6418" t="str">
        <f>HYPERLINK("http://service.sap.com/sap/support/notes/1733711","1733711")</f>
        <v>1733711</v>
      </c>
      <c r="E6418">
        <v>3</v>
      </c>
      <c r="F6418" t="s">
        <v>7835</v>
      </c>
    </row>
    <row r="6419" spans="1:6" x14ac:dyDescent="0.25">
      <c r="A6419" t="s">
        <v>6446</v>
      </c>
      <c r="B6419" t="s">
        <v>2405</v>
      </c>
      <c r="C6419" t="s">
        <v>978</v>
      </c>
      <c r="D6419" t="str">
        <f>HYPERLINK("http://service.sap.com/sap/support/notes/1790681","1790681")</f>
        <v>1790681</v>
      </c>
      <c r="E6419">
        <v>1</v>
      </c>
      <c r="F6419" t="s">
        <v>7836</v>
      </c>
    </row>
    <row r="6420" spans="1:6" x14ac:dyDescent="0.25">
      <c r="A6420" t="s">
        <v>6446</v>
      </c>
      <c r="B6420" t="s">
        <v>2405</v>
      </c>
      <c r="C6420" t="s">
        <v>978</v>
      </c>
      <c r="D6420" t="str">
        <f>HYPERLINK("http://service.sap.com/sap/support/notes/1799206","1799206")</f>
        <v>1799206</v>
      </c>
      <c r="E6420">
        <v>2</v>
      </c>
      <c r="F6420" t="s">
        <v>7837</v>
      </c>
    </row>
    <row r="6421" spans="1:6" x14ac:dyDescent="0.25">
      <c r="A6421" t="s">
        <v>6446</v>
      </c>
      <c r="B6421" t="s">
        <v>2405</v>
      </c>
      <c r="C6421" t="s">
        <v>978</v>
      </c>
      <c r="D6421" t="str">
        <f>HYPERLINK("http://service.sap.com/sap/support/notes/1809752","1809752")</f>
        <v>1809752</v>
      </c>
      <c r="E6421">
        <v>2</v>
      </c>
      <c r="F6421" t="s">
        <v>7838</v>
      </c>
    </row>
    <row r="6422" spans="1:6" x14ac:dyDescent="0.25">
      <c r="A6422" t="s">
        <v>6446</v>
      </c>
      <c r="B6422" t="s">
        <v>2409</v>
      </c>
      <c r="C6422" t="s">
        <v>2410</v>
      </c>
      <c r="D6422" t="str">
        <f>HYPERLINK("http://service.sap.com/sap/support/notes/1734568","1734568")</f>
        <v>1734568</v>
      </c>
      <c r="E6422">
        <v>3</v>
      </c>
      <c r="F6422" t="s">
        <v>7839</v>
      </c>
    </row>
    <row r="6423" spans="1:6" x14ac:dyDescent="0.25">
      <c r="A6423" t="s">
        <v>6446</v>
      </c>
      <c r="B6423" t="s">
        <v>2409</v>
      </c>
      <c r="C6423" t="s">
        <v>2410</v>
      </c>
      <c r="D6423" t="str">
        <f>HYPERLINK("http://service.sap.com/sap/support/notes/1744130","1744130")</f>
        <v>1744130</v>
      </c>
      <c r="E6423">
        <v>5</v>
      </c>
      <c r="F6423" t="s">
        <v>7840</v>
      </c>
    </row>
    <row r="6424" spans="1:6" x14ac:dyDescent="0.25">
      <c r="A6424" t="s">
        <v>6446</v>
      </c>
      <c r="B6424" t="s">
        <v>2409</v>
      </c>
      <c r="C6424" t="s">
        <v>2410</v>
      </c>
      <c r="D6424" t="str">
        <f>HYPERLINK("http://service.sap.com/sap/support/notes/1798560","1798560")</f>
        <v>1798560</v>
      </c>
    </row>
    <row r="6425" spans="1:6" x14ac:dyDescent="0.25">
      <c r="A6425" t="s">
        <v>6446</v>
      </c>
      <c r="B6425" t="s">
        <v>2414</v>
      </c>
      <c r="C6425" t="s">
        <v>2415</v>
      </c>
      <c r="D6425" t="str">
        <f>HYPERLINK("http://service.sap.com/sap/support/notes/1641505","1641505")</f>
        <v>1641505</v>
      </c>
      <c r="E6425">
        <v>3</v>
      </c>
      <c r="F6425" t="s">
        <v>7841</v>
      </c>
    </row>
    <row r="6426" spans="1:6" x14ac:dyDescent="0.25">
      <c r="A6426" t="s">
        <v>6446</v>
      </c>
      <c r="B6426" t="s">
        <v>2418</v>
      </c>
      <c r="C6426" t="s">
        <v>2419</v>
      </c>
      <c r="D6426" t="str">
        <f>HYPERLINK("http://service.sap.com/sap/support/notes/1651425","1651425")</f>
        <v>1651425</v>
      </c>
      <c r="E6426">
        <v>4</v>
      </c>
      <c r="F6426" t="s">
        <v>7842</v>
      </c>
    </row>
    <row r="6427" spans="1:6" x14ac:dyDescent="0.25">
      <c r="A6427" t="s">
        <v>6446</v>
      </c>
      <c r="B6427" t="s">
        <v>2421</v>
      </c>
      <c r="C6427" t="s">
        <v>2422</v>
      </c>
      <c r="D6427" t="str">
        <f>HYPERLINK("http://service.sap.com/sap/support/notes/1710839","1710839")</f>
        <v>1710839</v>
      </c>
      <c r="E6427">
        <v>4</v>
      </c>
      <c r="F6427" t="s">
        <v>7843</v>
      </c>
    </row>
    <row r="6428" spans="1:6" x14ac:dyDescent="0.25">
      <c r="A6428" t="s">
        <v>6446</v>
      </c>
      <c r="B6428" t="s">
        <v>2421</v>
      </c>
      <c r="C6428" t="s">
        <v>2422</v>
      </c>
      <c r="D6428" t="str">
        <f>HYPERLINK("http://service.sap.com/sap/support/notes/1716911","1716911")</f>
        <v>1716911</v>
      </c>
      <c r="E6428">
        <v>3</v>
      </c>
      <c r="F6428" t="s">
        <v>7844</v>
      </c>
    </row>
    <row r="6429" spans="1:6" x14ac:dyDescent="0.25">
      <c r="A6429" t="s">
        <v>6446</v>
      </c>
      <c r="B6429" t="s">
        <v>2421</v>
      </c>
      <c r="C6429" t="s">
        <v>2422</v>
      </c>
      <c r="D6429" t="str">
        <f>HYPERLINK("http://service.sap.com/sap/support/notes/1734577","1734577")</f>
        <v>1734577</v>
      </c>
      <c r="E6429">
        <v>7</v>
      </c>
      <c r="F6429" t="s">
        <v>7845</v>
      </c>
    </row>
    <row r="6430" spans="1:6" x14ac:dyDescent="0.25">
      <c r="A6430" t="s">
        <v>6446</v>
      </c>
      <c r="B6430" t="s">
        <v>2421</v>
      </c>
      <c r="C6430" t="s">
        <v>2422</v>
      </c>
      <c r="D6430" t="str">
        <f>HYPERLINK("http://service.sap.com/sap/support/notes/1756205","1756205")</f>
        <v>1756205</v>
      </c>
      <c r="E6430">
        <v>3</v>
      </c>
      <c r="F6430" t="s">
        <v>7846</v>
      </c>
    </row>
    <row r="6431" spans="1:6" x14ac:dyDescent="0.25">
      <c r="A6431" t="s">
        <v>6446</v>
      </c>
      <c r="B6431" t="s">
        <v>2421</v>
      </c>
      <c r="C6431" t="s">
        <v>2422</v>
      </c>
      <c r="D6431" t="str">
        <f>HYPERLINK("http://service.sap.com/sap/support/notes/1762382","1762382")</f>
        <v>1762382</v>
      </c>
      <c r="E6431">
        <v>2</v>
      </c>
      <c r="F6431" t="s">
        <v>7847</v>
      </c>
    </row>
    <row r="6432" spans="1:6" x14ac:dyDescent="0.25">
      <c r="A6432" t="s">
        <v>6446</v>
      </c>
      <c r="B6432" t="s">
        <v>2421</v>
      </c>
      <c r="C6432" t="s">
        <v>2422</v>
      </c>
      <c r="D6432" t="str">
        <f>HYPERLINK("http://service.sap.com/sap/support/notes/1781322","1781322")</f>
        <v>1781322</v>
      </c>
      <c r="E6432">
        <v>2</v>
      </c>
      <c r="F6432" t="s">
        <v>7848</v>
      </c>
    </row>
    <row r="6433" spans="1:6" x14ac:dyDescent="0.25">
      <c r="A6433" t="s">
        <v>6446</v>
      </c>
      <c r="B6433" t="s">
        <v>2421</v>
      </c>
      <c r="C6433" t="s">
        <v>2422</v>
      </c>
      <c r="D6433" t="str">
        <f>HYPERLINK("http://service.sap.com/sap/support/notes/1820569","1820569")</f>
        <v>1820569</v>
      </c>
      <c r="E6433">
        <v>2</v>
      </c>
      <c r="F6433" t="s">
        <v>7849</v>
      </c>
    </row>
    <row r="6434" spans="1:6" x14ac:dyDescent="0.25">
      <c r="A6434" t="s">
        <v>6446</v>
      </c>
      <c r="B6434" t="s">
        <v>2421</v>
      </c>
      <c r="C6434" t="s">
        <v>2422</v>
      </c>
      <c r="D6434" t="str">
        <f>HYPERLINK("http://service.sap.com/sap/support/notes/1828654","1828654")</f>
        <v>1828654</v>
      </c>
      <c r="E6434">
        <v>1</v>
      </c>
      <c r="F6434" t="s">
        <v>7850</v>
      </c>
    </row>
    <row r="6435" spans="1:6" x14ac:dyDescent="0.25">
      <c r="A6435" t="s">
        <v>6446</v>
      </c>
      <c r="B6435" t="s">
        <v>2424</v>
      </c>
      <c r="C6435" t="s">
        <v>2425</v>
      </c>
      <c r="D6435" t="str">
        <f>HYPERLINK("http://service.sap.com/sap/support/notes/1812841","1812841")</f>
        <v>1812841</v>
      </c>
      <c r="E6435">
        <v>2</v>
      </c>
      <c r="F6435" t="s">
        <v>7851</v>
      </c>
    </row>
    <row r="6436" spans="1:6" x14ac:dyDescent="0.25">
      <c r="A6436" t="s">
        <v>6446</v>
      </c>
      <c r="B6436" t="s">
        <v>2424</v>
      </c>
      <c r="C6436" t="s">
        <v>2425</v>
      </c>
      <c r="D6436" t="str">
        <f>HYPERLINK("http://service.sap.com/sap/support/notes/1815478","1815478")</f>
        <v>1815478</v>
      </c>
      <c r="E6436">
        <v>1</v>
      </c>
      <c r="F6436" t="s">
        <v>7852</v>
      </c>
    </row>
    <row r="6437" spans="1:6" x14ac:dyDescent="0.25">
      <c r="A6437" t="s">
        <v>6446</v>
      </c>
      <c r="B6437" t="s">
        <v>2424</v>
      </c>
      <c r="C6437" t="s">
        <v>2425</v>
      </c>
      <c r="D6437" t="str">
        <f>HYPERLINK("http://service.sap.com/sap/support/notes/1825195","1825195")</f>
        <v>1825195</v>
      </c>
      <c r="E6437">
        <v>1</v>
      </c>
      <c r="F6437" t="s">
        <v>7853</v>
      </c>
    </row>
    <row r="6438" spans="1:6" x14ac:dyDescent="0.25">
      <c r="A6438" t="s">
        <v>6446</v>
      </c>
      <c r="B6438" t="s">
        <v>2428</v>
      </c>
      <c r="C6438" t="s">
        <v>2429</v>
      </c>
      <c r="D6438" t="str">
        <f>HYPERLINK("http://service.sap.com/sap/support/notes/1817775","1817775")</f>
        <v>1817775</v>
      </c>
      <c r="E6438">
        <v>2</v>
      </c>
      <c r="F6438" t="s">
        <v>7854</v>
      </c>
    </row>
    <row r="6439" spans="1:6" x14ac:dyDescent="0.25">
      <c r="A6439" t="s">
        <v>6446</v>
      </c>
      <c r="B6439" t="s">
        <v>2434</v>
      </c>
      <c r="C6439" t="s">
        <v>2435</v>
      </c>
      <c r="D6439" t="str">
        <f>HYPERLINK("http://service.sap.com/sap/support/notes/1768983","1768983")</f>
        <v>1768983</v>
      </c>
      <c r="E6439">
        <v>4</v>
      </c>
      <c r="F6439" t="s">
        <v>7855</v>
      </c>
    </row>
    <row r="6440" spans="1:6" x14ac:dyDescent="0.25">
      <c r="A6440" t="s">
        <v>6446</v>
      </c>
      <c r="B6440" t="s">
        <v>2434</v>
      </c>
      <c r="C6440" t="s">
        <v>2435</v>
      </c>
      <c r="D6440" t="str">
        <f>HYPERLINK("http://service.sap.com/sap/support/notes/1804562","1804562")</f>
        <v>1804562</v>
      </c>
      <c r="E6440">
        <v>2</v>
      </c>
      <c r="F6440" t="s">
        <v>7856</v>
      </c>
    </row>
    <row r="6441" spans="1:6" x14ac:dyDescent="0.25">
      <c r="A6441" t="s">
        <v>6446</v>
      </c>
      <c r="B6441" t="s">
        <v>2439</v>
      </c>
      <c r="C6441" t="s">
        <v>1743</v>
      </c>
      <c r="D6441" t="str">
        <f>HYPERLINK("http://service.sap.com/sap/support/notes/1759413","1759413")</f>
        <v>1759413</v>
      </c>
      <c r="E6441">
        <v>3</v>
      </c>
      <c r="F6441" t="s">
        <v>7857</v>
      </c>
    </row>
    <row r="6442" spans="1:6" x14ac:dyDescent="0.25">
      <c r="A6442" t="s">
        <v>6446</v>
      </c>
      <c r="B6442" t="s">
        <v>2439</v>
      </c>
      <c r="C6442" t="s">
        <v>1743</v>
      </c>
      <c r="D6442" t="str">
        <f>HYPERLINK("http://service.sap.com/sap/support/notes/1795631","1795631")</f>
        <v>1795631</v>
      </c>
      <c r="E6442">
        <v>5</v>
      </c>
      <c r="F6442" t="s">
        <v>7858</v>
      </c>
    </row>
    <row r="6443" spans="1:6" x14ac:dyDescent="0.25">
      <c r="A6443" t="s">
        <v>6446</v>
      </c>
      <c r="B6443" t="s">
        <v>2439</v>
      </c>
      <c r="C6443" t="s">
        <v>1743</v>
      </c>
      <c r="D6443" t="str">
        <f>HYPERLINK("http://service.sap.com/sap/support/notes/1797676","1797676")</f>
        <v>1797676</v>
      </c>
      <c r="E6443">
        <v>3</v>
      </c>
      <c r="F6443" t="s">
        <v>7859</v>
      </c>
    </row>
    <row r="6444" spans="1:6" x14ac:dyDescent="0.25">
      <c r="A6444" t="s">
        <v>6446</v>
      </c>
      <c r="B6444" t="s">
        <v>2439</v>
      </c>
      <c r="C6444" t="s">
        <v>1743</v>
      </c>
      <c r="D6444" t="str">
        <f>HYPERLINK("http://service.sap.com/sap/support/notes/1814490","1814490")</f>
        <v>1814490</v>
      </c>
      <c r="E6444">
        <v>1</v>
      </c>
      <c r="F6444" t="s">
        <v>7860</v>
      </c>
    </row>
    <row r="6445" spans="1:6" x14ac:dyDescent="0.25">
      <c r="A6445" t="s">
        <v>6446</v>
      </c>
      <c r="B6445" t="s">
        <v>2456</v>
      </c>
      <c r="C6445" t="s">
        <v>2457</v>
      </c>
      <c r="D6445" t="str">
        <f>HYPERLINK("http://service.sap.com/sap/support/notes/1779742","1779742")</f>
        <v>1779742</v>
      </c>
      <c r="E6445">
        <v>2</v>
      </c>
      <c r="F6445" t="s">
        <v>7861</v>
      </c>
    </row>
    <row r="6446" spans="1:6" x14ac:dyDescent="0.25">
      <c r="A6446" t="s">
        <v>6446</v>
      </c>
      <c r="B6446" t="s">
        <v>2460</v>
      </c>
      <c r="C6446" t="s">
        <v>2461</v>
      </c>
      <c r="D6446" t="str">
        <f>HYPERLINK("http://service.sap.com/sap/support/notes/1710655","1710655")</f>
        <v>1710655</v>
      </c>
      <c r="E6446">
        <v>2</v>
      </c>
      <c r="F6446" t="s">
        <v>7862</v>
      </c>
    </row>
    <row r="6447" spans="1:6" x14ac:dyDescent="0.25">
      <c r="A6447" t="s">
        <v>6446</v>
      </c>
      <c r="B6447" t="s">
        <v>2460</v>
      </c>
      <c r="C6447" t="s">
        <v>2461</v>
      </c>
      <c r="D6447" t="str">
        <f>HYPERLINK("http://service.sap.com/sap/support/notes/1820778","1820778")</f>
        <v>1820778</v>
      </c>
      <c r="E6447">
        <v>2</v>
      </c>
      <c r="F6447" t="s">
        <v>7863</v>
      </c>
    </row>
    <row r="6448" spans="1:6" x14ac:dyDescent="0.25">
      <c r="A6448" t="s">
        <v>6446</v>
      </c>
      <c r="B6448" t="s">
        <v>2460</v>
      </c>
      <c r="C6448" t="s">
        <v>2461</v>
      </c>
      <c r="D6448" t="str">
        <f>HYPERLINK("http://service.sap.com/sap/support/notes/1821383","1821383")</f>
        <v>1821383</v>
      </c>
      <c r="E6448">
        <v>3</v>
      </c>
      <c r="F6448" t="s">
        <v>7864</v>
      </c>
    </row>
    <row r="6449" spans="1:6" x14ac:dyDescent="0.25">
      <c r="A6449" t="s">
        <v>6446</v>
      </c>
      <c r="B6449" t="s">
        <v>2460</v>
      </c>
      <c r="C6449" t="s">
        <v>2461</v>
      </c>
      <c r="D6449" t="str">
        <f>HYPERLINK("http://service.sap.com/sap/support/notes/1824076","1824076")</f>
        <v>1824076</v>
      </c>
      <c r="E6449">
        <v>2</v>
      </c>
      <c r="F6449" t="s">
        <v>7865</v>
      </c>
    </row>
    <row r="6450" spans="1:6" x14ac:dyDescent="0.25">
      <c r="A6450" t="s">
        <v>6446</v>
      </c>
      <c r="B6450" t="s">
        <v>7866</v>
      </c>
      <c r="C6450" t="s">
        <v>3242</v>
      </c>
      <c r="D6450" t="str">
        <f>HYPERLINK("http://service.sap.com/sap/support/notes/1793327","1793327")</f>
        <v>1793327</v>
      </c>
      <c r="E6450">
        <v>3</v>
      </c>
      <c r="F6450" t="s">
        <v>7867</v>
      </c>
    </row>
    <row r="6451" spans="1:6" x14ac:dyDescent="0.25">
      <c r="A6451" t="s">
        <v>6446</v>
      </c>
      <c r="B6451" t="s">
        <v>7868</v>
      </c>
      <c r="C6451" t="s">
        <v>7869</v>
      </c>
      <c r="D6451" t="str">
        <f>HYPERLINK("http://service.sap.com/sap/support/notes/1772573","1772573")</f>
        <v>1772573</v>
      </c>
      <c r="E6451">
        <v>2</v>
      </c>
      <c r="F6451" t="s">
        <v>7870</v>
      </c>
    </row>
    <row r="6452" spans="1:6" x14ac:dyDescent="0.25">
      <c r="A6452" t="s">
        <v>6446</v>
      </c>
      <c r="B6452" t="s">
        <v>2469</v>
      </c>
      <c r="C6452" t="s">
        <v>2470</v>
      </c>
      <c r="D6452" t="str">
        <f>HYPERLINK("http://service.sap.com/sap/support/notes/1821387","1821387")</f>
        <v>1821387</v>
      </c>
      <c r="E6452">
        <v>1</v>
      </c>
      <c r="F6452" t="s">
        <v>7871</v>
      </c>
    </row>
    <row r="6453" spans="1:6" x14ac:dyDescent="0.25">
      <c r="A6453" t="s">
        <v>6446</v>
      </c>
      <c r="B6453" t="s">
        <v>2469</v>
      </c>
      <c r="C6453" t="s">
        <v>2470</v>
      </c>
      <c r="D6453" t="str">
        <f>HYPERLINK("http://service.sap.com/sap/support/notes/1832322","1832322")</f>
        <v>1832322</v>
      </c>
      <c r="E6453">
        <v>2</v>
      </c>
      <c r="F6453" t="s">
        <v>7872</v>
      </c>
    </row>
    <row r="6454" spans="1:6" x14ac:dyDescent="0.25">
      <c r="A6454" t="s">
        <v>6446</v>
      </c>
      <c r="B6454" t="s">
        <v>2472</v>
      </c>
      <c r="C6454" t="s">
        <v>2473</v>
      </c>
      <c r="D6454" t="str">
        <f>HYPERLINK("http://service.sap.com/sap/support/notes/1738378","1738378")</f>
        <v>1738378</v>
      </c>
      <c r="E6454">
        <v>3</v>
      </c>
      <c r="F6454" t="s">
        <v>7873</v>
      </c>
    </row>
    <row r="6455" spans="1:6" x14ac:dyDescent="0.25">
      <c r="A6455" t="s">
        <v>6446</v>
      </c>
      <c r="B6455" t="s">
        <v>2476</v>
      </c>
      <c r="C6455" t="s">
        <v>2477</v>
      </c>
      <c r="D6455" t="str">
        <f>HYPERLINK("http://service.sap.com/sap/support/notes/1728306","1728306")</f>
        <v>1728306</v>
      </c>
      <c r="E6455">
        <v>3</v>
      </c>
      <c r="F6455" t="s">
        <v>7874</v>
      </c>
    </row>
    <row r="6456" spans="1:6" x14ac:dyDescent="0.25">
      <c r="A6456" t="s">
        <v>6446</v>
      </c>
      <c r="B6456" t="s">
        <v>2476</v>
      </c>
      <c r="C6456" t="s">
        <v>2477</v>
      </c>
      <c r="D6456" t="str">
        <f>HYPERLINK("http://service.sap.com/sap/support/notes/1738443","1738443")</f>
        <v>1738443</v>
      </c>
      <c r="E6456">
        <v>2</v>
      </c>
      <c r="F6456" t="s">
        <v>7875</v>
      </c>
    </row>
    <row r="6457" spans="1:6" x14ac:dyDescent="0.25">
      <c r="A6457" t="s">
        <v>6446</v>
      </c>
      <c r="B6457" t="s">
        <v>2476</v>
      </c>
      <c r="C6457" t="s">
        <v>2477</v>
      </c>
      <c r="D6457" t="str">
        <f>HYPERLINK("http://service.sap.com/sap/support/notes/1755537","1755537")</f>
        <v>1755537</v>
      </c>
      <c r="E6457">
        <v>5</v>
      </c>
      <c r="F6457" t="s">
        <v>7876</v>
      </c>
    </row>
    <row r="6458" spans="1:6" x14ac:dyDescent="0.25">
      <c r="A6458" t="s">
        <v>6446</v>
      </c>
      <c r="B6458" t="s">
        <v>2476</v>
      </c>
      <c r="C6458" t="s">
        <v>2477</v>
      </c>
      <c r="D6458" t="str">
        <f>HYPERLINK("http://service.sap.com/sap/support/notes/1775469","1775469")</f>
        <v>1775469</v>
      </c>
      <c r="E6458">
        <v>5</v>
      </c>
      <c r="F6458" t="s">
        <v>7877</v>
      </c>
    </row>
    <row r="6459" spans="1:6" x14ac:dyDescent="0.25">
      <c r="A6459" t="s">
        <v>6446</v>
      </c>
      <c r="B6459" t="s">
        <v>2483</v>
      </c>
      <c r="C6459" t="s">
        <v>2277</v>
      </c>
      <c r="D6459" t="str">
        <f>HYPERLINK("http://service.sap.com/sap/support/notes/1818696","1818696")</f>
        <v>1818696</v>
      </c>
      <c r="E6459">
        <v>1</v>
      </c>
      <c r="F6459" t="s">
        <v>7878</v>
      </c>
    </row>
    <row r="6460" spans="1:6" x14ac:dyDescent="0.25">
      <c r="A6460" t="s">
        <v>6446</v>
      </c>
      <c r="B6460" t="s">
        <v>7879</v>
      </c>
      <c r="C6460" t="s">
        <v>7880</v>
      </c>
      <c r="D6460" t="str">
        <f>HYPERLINK("http://service.sap.com/sap/support/notes/1683157","1683157")</f>
        <v>1683157</v>
      </c>
      <c r="E6460">
        <v>2</v>
      </c>
      <c r="F6460" t="s">
        <v>7881</v>
      </c>
    </row>
    <row r="6461" spans="1:6" x14ac:dyDescent="0.25">
      <c r="A6461" t="s">
        <v>6446</v>
      </c>
      <c r="B6461" t="s">
        <v>7879</v>
      </c>
      <c r="C6461" t="s">
        <v>7880</v>
      </c>
      <c r="D6461" t="str">
        <f>HYPERLINK("http://service.sap.com/sap/support/notes/1709795","1709795")</f>
        <v>1709795</v>
      </c>
      <c r="E6461">
        <v>3</v>
      </c>
      <c r="F6461" t="s">
        <v>7882</v>
      </c>
    </row>
    <row r="6462" spans="1:6" x14ac:dyDescent="0.25">
      <c r="A6462" t="s">
        <v>6446</v>
      </c>
      <c r="B6462" t="s">
        <v>2486</v>
      </c>
      <c r="C6462" t="s">
        <v>2487</v>
      </c>
      <c r="D6462" t="str">
        <f>HYPERLINK("http://service.sap.com/sap/support/notes/1731077","1731077")</f>
        <v>1731077</v>
      </c>
      <c r="E6462">
        <v>3</v>
      </c>
      <c r="F6462" t="s">
        <v>7883</v>
      </c>
    </row>
    <row r="6463" spans="1:6" x14ac:dyDescent="0.25">
      <c r="A6463" t="s">
        <v>6446</v>
      </c>
      <c r="B6463" t="s">
        <v>2486</v>
      </c>
      <c r="C6463" t="s">
        <v>2487</v>
      </c>
      <c r="D6463" t="str">
        <f>HYPERLINK("http://service.sap.com/sap/support/notes/1765449","1765449")</f>
        <v>1765449</v>
      </c>
      <c r="E6463">
        <v>3</v>
      </c>
      <c r="F6463" t="s">
        <v>7884</v>
      </c>
    </row>
    <row r="6464" spans="1:6" x14ac:dyDescent="0.25">
      <c r="A6464" t="s">
        <v>6446</v>
      </c>
      <c r="B6464" t="s">
        <v>7885</v>
      </c>
      <c r="C6464" t="s">
        <v>3384</v>
      </c>
      <c r="D6464" t="str">
        <f>HYPERLINK("http://service.sap.com/sap/support/notes/1793108","1793108")</f>
        <v>1793108</v>
      </c>
      <c r="E6464">
        <v>7</v>
      </c>
      <c r="F6464" t="s">
        <v>7886</v>
      </c>
    </row>
    <row r="6465" spans="1:6" x14ac:dyDescent="0.25">
      <c r="A6465" t="s">
        <v>6446</v>
      </c>
      <c r="B6465" t="s">
        <v>2489</v>
      </c>
      <c r="C6465" t="s">
        <v>2490</v>
      </c>
      <c r="D6465" t="str">
        <f>HYPERLINK("http://service.sap.com/sap/support/notes/1709046","1709046")</f>
        <v>1709046</v>
      </c>
      <c r="E6465">
        <v>3</v>
      </c>
      <c r="F6465" t="s">
        <v>7887</v>
      </c>
    </row>
    <row r="6466" spans="1:6" x14ac:dyDescent="0.25">
      <c r="A6466" t="s">
        <v>6446</v>
      </c>
      <c r="B6466" t="s">
        <v>7888</v>
      </c>
      <c r="C6466" t="s">
        <v>7889</v>
      </c>
      <c r="D6466" t="str">
        <f>HYPERLINK("http://service.sap.com/sap/support/notes/1789573","1789573")</f>
        <v>1789573</v>
      </c>
      <c r="E6466">
        <v>1</v>
      </c>
      <c r="F6466" t="s">
        <v>7890</v>
      </c>
    </row>
    <row r="6467" spans="1:6" x14ac:dyDescent="0.25">
      <c r="A6467" t="s">
        <v>6446</v>
      </c>
      <c r="B6467" t="s">
        <v>7891</v>
      </c>
      <c r="C6467" t="s">
        <v>7892</v>
      </c>
    </row>
    <row r="6468" spans="1:6" x14ac:dyDescent="0.25">
      <c r="A6468" t="s">
        <v>6446</v>
      </c>
      <c r="B6468" t="s">
        <v>7893</v>
      </c>
      <c r="C6468" t="s">
        <v>7894</v>
      </c>
      <c r="D6468" t="str">
        <f>HYPERLINK("http://service.sap.com/sap/support/notes/1811870","1811870")</f>
        <v>1811870</v>
      </c>
      <c r="E6468">
        <v>11</v>
      </c>
      <c r="F6468" t="s">
        <v>7895</v>
      </c>
    </row>
    <row r="6469" spans="1:6" x14ac:dyDescent="0.25">
      <c r="A6469" t="s">
        <v>6446</v>
      </c>
      <c r="B6469" t="s">
        <v>2493</v>
      </c>
      <c r="C6469" t="s">
        <v>7896</v>
      </c>
    </row>
    <row r="6470" spans="1:6" x14ac:dyDescent="0.25">
      <c r="A6470" t="s">
        <v>6446</v>
      </c>
      <c r="B6470" t="s">
        <v>2500</v>
      </c>
      <c r="C6470" t="s">
        <v>2501</v>
      </c>
      <c r="D6470" t="str">
        <f>HYPERLINK("http://service.sap.com/sap/support/notes/1759373","1759373")</f>
        <v>1759373</v>
      </c>
      <c r="E6470">
        <v>3</v>
      </c>
      <c r="F6470" t="s">
        <v>7897</v>
      </c>
    </row>
    <row r="6471" spans="1:6" x14ac:dyDescent="0.25">
      <c r="A6471" t="s">
        <v>6446</v>
      </c>
      <c r="B6471" t="s">
        <v>2500</v>
      </c>
      <c r="C6471" t="s">
        <v>2501</v>
      </c>
      <c r="D6471" t="str">
        <f>HYPERLINK("http://service.sap.com/sap/support/notes/1785337","1785337")</f>
        <v>1785337</v>
      </c>
      <c r="E6471">
        <v>1</v>
      </c>
      <c r="F6471" t="s">
        <v>7898</v>
      </c>
    </row>
    <row r="6472" spans="1:6" x14ac:dyDescent="0.25">
      <c r="A6472" t="s">
        <v>6446</v>
      </c>
      <c r="B6472" t="s">
        <v>2500</v>
      </c>
      <c r="C6472" t="s">
        <v>2501</v>
      </c>
      <c r="D6472" t="str">
        <f>HYPERLINK("http://service.sap.com/sap/support/notes/1794642","1794642")</f>
        <v>1794642</v>
      </c>
      <c r="E6472">
        <v>3</v>
      </c>
      <c r="F6472" t="s">
        <v>7899</v>
      </c>
    </row>
    <row r="6473" spans="1:6" x14ac:dyDescent="0.25">
      <c r="A6473" t="s">
        <v>6446</v>
      </c>
      <c r="B6473" t="s">
        <v>2500</v>
      </c>
      <c r="C6473" t="s">
        <v>2501</v>
      </c>
      <c r="D6473" t="str">
        <f>HYPERLINK("http://service.sap.com/sap/support/notes/1799288","1799288")</f>
        <v>1799288</v>
      </c>
      <c r="E6473">
        <v>7</v>
      </c>
      <c r="F6473" t="s">
        <v>7900</v>
      </c>
    </row>
    <row r="6474" spans="1:6" x14ac:dyDescent="0.25">
      <c r="A6474" t="s">
        <v>6446</v>
      </c>
      <c r="B6474" t="s">
        <v>2500</v>
      </c>
      <c r="C6474" t="s">
        <v>2501</v>
      </c>
      <c r="D6474" t="str">
        <f>HYPERLINK("http://service.sap.com/sap/support/notes/1811871","1811871")</f>
        <v>1811871</v>
      </c>
      <c r="E6474">
        <v>4</v>
      </c>
      <c r="F6474" t="s">
        <v>7901</v>
      </c>
    </row>
    <row r="6475" spans="1:6" x14ac:dyDescent="0.25">
      <c r="A6475" t="s">
        <v>6446</v>
      </c>
      <c r="B6475" t="s">
        <v>2511</v>
      </c>
      <c r="C6475" t="s">
        <v>2512</v>
      </c>
      <c r="D6475" t="str">
        <f>HYPERLINK("http://service.sap.com/sap/support/notes/1696011","1696011")</f>
        <v>1696011</v>
      </c>
      <c r="E6475">
        <v>2</v>
      </c>
      <c r="F6475" t="s">
        <v>7902</v>
      </c>
    </row>
    <row r="6476" spans="1:6" x14ac:dyDescent="0.25">
      <c r="A6476" t="s">
        <v>6446</v>
      </c>
      <c r="B6476" t="s">
        <v>2511</v>
      </c>
      <c r="C6476" t="s">
        <v>2512</v>
      </c>
      <c r="D6476" t="str">
        <f>HYPERLINK("http://service.sap.com/sap/support/notes/1818776","1818776")</f>
        <v>1818776</v>
      </c>
      <c r="E6476">
        <v>2</v>
      </c>
      <c r="F6476" t="s">
        <v>7903</v>
      </c>
    </row>
    <row r="6477" spans="1:6" x14ac:dyDescent="0.25">
      <c r="A6477" t="s">
        <v>6446</v>
      </c>
      <c r="B6477" t="s">
        <v>2515</v>
      </c>
      <c r="C6477" t="s">
        <v>2516</v>
      </c>
      <c r="D6477" t="str">
        <f>HYPERLINK("http://service.sap.com/sap/support/notes/1743481","1743481")</f>
        <v>1743481</v>
      </c>
      <c r="E6477">
        <v>1</v>
      </c>
      <c r="F6477" t="s">
        <v>7904</v>
      </c>
    </row>
    <row r="6478" spans="1:6" x14ac:dyDescent="0.25">
      <c r="A6478" t="s">
        <v>6446</v>
      </c>
      <c r="B6478" t="s">
        <v>2515</v>
      </c>
      <c r="C6478" t="s">
        <v>2516</v>
      </c>
      <c r="D6478" t="str">
        <f>HYPERLINK("http://service.sap.com/sap/support/notes/1784294","1784294")</f>
        <v>1784294</v>
      </c>
      <c r="E6478">
        <v>3</v>
      </c>
      <c r="F6478" t="s">
        <v>7905</v>
      </c>
    </row>
    <row r="6479" spans="1:6" x14ac:dyDescent="0.25">
      <c r="A6479" t="s">
        <v>6446</v>
      </c>
      <c r="B6479" t="s">
        <v>2518</v>
      </c>
      <c r="C6479" t="s">
        <v>2519</v>
      </c>
      <c r="D6479" t="str">
        <f>HYPERLINK("http://service.sap.com/sap/support/notes/1708337","1708337")</f>
        <v>1708337</v>
      </c>
      <c r="E6479">
        <v>4</v>
      </c>
      <c r="F6479" t="s">
        <v>7906</v>
      </c>
    </row>
    <row r="6480" spans="1:6" x14ac:dyDescent="0.25">
      <c r="A6480" t="s">
        <v>6446</v>
      </c>
      <c r="B6480" t="s">
        <v>2518</v>
      </c>
      <c r="C6480" t="s">
        <v>2519</v>
      </c>
      <c r="D6480" t="str">
        <f>HYPERLINK("http://service.sap.com/sap/support/notes/1717338","1717338")</f>
        <v>1717338</v>
      </c>
      <c r="E6480">
        <v>2</v>
      </c>
      <c r="F6480" t="s">
        <v>7907</v>
      </c>
    </row>
    <row r="6481" spans="1:6" x14ac:dyDescent="0.25">
      <c r="A6481" t="s">
        <v>6446</v>
      </c>
      <c r="B6481" t="s">
        <v>2518</v>
      </c>
      <c r="C6481" t="s">
        <v>2519</v>
      </c>
      <c r="D6481" t="str">
        <f>HYPERLINK("http://service.sap.com/sap/support/notes/1721243","1721243")</f>
        <v>1721243</v>
      </c>
      <c r="E6481">
        <v>2</v>
      </c>
      <c r="F6481" t="s">
        <v>7908</v>
      </c>
    </row>
    <row r="6482" spans="1:6" x14ac:dyDescent="0.25">
      <c r="A6482" t="s">
        <v>6446</v>
      </c>
      <c r="B6482" t="s">
        <v>2518</v>
      </c>
      <c r="C6482" t="s">
        <v>2519</v>
      </c>
      <c r="D6482" t="str">
        <f>HYPERLINK("http://service.sap.com/sap/support/notes/1743612","1743612")</f>
        <v>1743612</v>
      </c>
      <c r="E6482">
        <v>6</v>
      </c>
      <c r="F6482" t="s">
        <v>7909</v>
      </c>
    </row>
    <row r="6483" spans="1:6" x14ac:dyDescent="0.25">
      <c r="A6483" t="s">
        <v>6446</v>
      </c>
      <c r="B6483" t="s">
        <v>2518</v>
      </c>
      <c r="C6483" t="s">
        <v>2519</v>
      </c>
      <c r="D6483" t="str">
        <f>HYPERLINK("http://service.sap.com/sap/support/notes/1746267","1746267")</f>
        <v>1746267</v>
      </c>
      <c r="E6483">
        <v>13</v>
      </c>
      <c r="F6483" t="s">
        <v>7910</v>
      </c>
    </row>
    <row r="6484" spans="1:6" x14ac:dyDescent="0.25">
      <c r="A6484" t="s">
        <v>6446</v>
      </c>
      <c r="B6484" t="s">
        <v>2518</v>
      </c>
      <c r="C6484" t="s">
        <v>2519</v>
      </c>
      <c r="D6484" t="str">
        <f>HYPERLINK("http://service.sap.com/sap/support/notes/1751983","1751983")</f>
        <v>1751983</v>
      </c>
      <c r="E6484">
        <v>2</v>
      </c>
      <c r="F6484" t="s">
        <v>7911</v>
      </c>
    </row>
    <row r="6485" spans="1:6" x14ac:dyDescent="0.25">
      <c r="A6485" t="s">
        <v>6446</v>
      </c>
      <c r="B6485" t="s">
        <v>2518</v>
      </c>
      <c r="C6485" t="s">
        <v>2519</v>
      </c>
      <c r="D6485" t="str">
        <f>HYPERLINK("http://service.sap.com/sap/support/notes/1790532","1790532")</f>
        <v>1790532</v>
      </c>
    </row>
    <row r="6486" spans="1:6" x14ac:dyDescent="0.25">
      <c r="A6486" t="s">
        <v>6446</v>
      </c>
      <c r="B6486" t="s">
        <v>2518</v>
      </c>
      <c r="C6486" t="s">
        <v>2519</v>
      </c>
      <c r="D6486" t="str">
        <f>HYPERLINK("http://service.sap.com/sap/support/notes/1801282","1801282")</f>
        <v>1801282</v>
      </c>
      <c r="E6486">
        <v>1</v>
      </c>
      <c r="F6486" t="s">
        <v>7912</v>
      </c>
    </row>
    <row r="6487" spans="1:6" x14ac:dyDescent="0.25">
      <c r="A6487" t="s">
        <v>6446</v>
      </c>
      <c r="B6487" t="s">
        <v>2518</v>
      </c>
      <c r="C6487" t="s">
        <v>2519</v>
      </c>
      <c r="D6487" t="str">
        <f>HYPERLINK("http://service.sap.com/sap/support/notes/1802430","1802430")</f>
        <v>1802430</v>
      </c>
      <c r="E6487">
        <v>5</v>
      </c>
      <c r="F6487" t="s">
        <v>7913</v>
      </c>
    </row>
    <row r="6488" spans="1:6" x14ac:dyDescent="0.25">
      <c r="A6488" t="s">
        <v>6446</v>
      </c>
      <c r="B6488" t="s">
        <v>2524</v>
      </c>
      <c r="C6488" t="s">
        <v>2525</v>
      </c>
      <c r="D6488" t="str">
        <f>HYPERLINK("http://service.sap.com/sap/support/notes/1732181","1732181")</f>
        <v>1732181</v>
      </c>
      <c r="E6488">
        <v>3</v>
      </c>
      <c r="F6488" t="s">
        <v>7914</v>
      </c>
    </row>
    <row r="6489" spans="1:6" x14ac:dyDescent="0.25">
      <c r="A6489" t="s">
        <v>6446</v>
      </c>
      <c r="B6489" t="s">
        <v>2524</v>
      </c>
      <c r="C6489" t="s">
        <v>2525</v>
      </c>
      <c r="D6489" t="str">
        <f>HYPERLINK("http://service.sap.com/sap/support/notes/1774990","1774990")</f>
        <v>1774990</v>
      </c>
      <c r="E6489">
        <v>3</v>
      </c>
      <c r="F6489" t="s">
        <v>7915</v>
      </c>
    </row>
    <row r="6490" spans="1:6" x14ac:dyDescent="0.25">
      <c r="A6490" t="s">
        <v>6446</v>
      </c>
      <c r="B6490" t="s">
        <v>2524</v>
      </c>
      <c r="C6490" t="s">
        <v>2525</v>
      </c>
      <c r="D6490" t="str">
        <f>HYPERLINK("http://service.sap.com/sap/support/notes/1805013","1805013")</f>
        <v>1805013</v>
      </c>
      <c r="E6490">
        <v>1</v>
      </c>
      <c r="F6490" t="s">
        <v>7916</v>
      </c>
    </row>
    <row r="6491" spans="1:6" x14ac:dyDescent="0.25">
      <c r="A6491" t="s">
        <v>6446</v>
      </c>
      <c r="B6491" t="s">
        <v>2524</v>
      </c>
      <c r="C6491" t="s">
        <v>2525</v>
      </c>
      <c r="D6491" t="str">
        <f>HYPERLINK("http://service.sap.com/sap/support/notes/1805575","1805575")</f>
        <v>1805575</v>
      </c>
      <c r="E6491">
        <v>1</v>
      </c>
      <c r="F6491" t="s">
        <v>7917</v>
      </c>
    </row>
    <row r="6492" spans="1:6" x14ac:dyDescent="0.25">
      <c r="A6492" t="s">
        <v>6446</v>
      </c>
      <c r="B6492" t="s">
        <v>2524</v>
      </c>
      <c r="C6492" t="s">
        <v>2525</v>
      </c>
      <c r="D6492" t="str">
        <f>HYPERLINK("http://service.sap.com/sap/support/notes/1807198","1807198")</f>
        <v>1807198</v>
      </c>
      <c r="E6492">
        <v>2</v>
      </c>
      <c r="F6492" t="s">
        <v>7918</v>
      </c>
    </row>
    <row r="6493" spans="1:6" x14ac:dyDescent="0.25">
      <c r="A6493" t="s">
        <v>6446</v>
      </c>
      <c r="B6493" t="s">
        <v>2524</v>
      </c>
      <c r="C6493" t="s">
        <v>2525</v>
      </c>
      <c r="D6493" t="str">
        <f>HYPERLINK("http://service.sap.com/sap/support/notes/1809824","1809824")</f>
        <v>1809824</v>
      </c>
      <c r="E6493">
        <v>2</v>
      </c>
      <c r="F6493" t="s">
        <v>7919</v>
      </c>
    </row>
    <row r="6494" spans="1:6" x14ac:dyDescent="0.25">
      <c r="A6494" t="s">
        <v>6446</v>
      </c>
      <c r="B6494" t="s">
        <v>2524</v>
      </c>
      <c r="C6494" t="s">
        <v>2525</v>
      </c>
      <c r="D6494" t="str">
        <f>HYPERLINK("http://service.sap.com/sap/support/notes/1813587","1813587")</f>
        <v>1813587</v>
      </c>
      <c r="E6494">
        <v>1</v>
      </c>
      <c r="F6494" t="s">
        <v>7920</v>
      </c>
    </row>
    <row r="6495" spans="1:6" x14ac:dyDescent="0.25">
      <c r="A6495" t="s">
        <v>6446</v>
      </c>
      <c r="B6495" t="s">
        <v>2524</v>
      </c>
      <c r="C6495" t="s">
        <v>2525</v>
      </c>
      <c r="D6495" t="str">
        <f>HYPERLINK("http://service.sap.com/sap/support/notes/1827917","1827917")</f>
        <v>1827917</v>
      </c>
      <c r="E6495">
        <v>2</v>
      </c>
      <c r="F6495" t="s">
        <v>7921</v>
      </c>
    </row>
    <row r="6496" spans="1:6" x14ac:dyDescent="0.25">
      <c r="A6496" t="s">
        <v>6446</v>
      </c>
      <c r="B6496" t="s">
        <v>2545</v>
      </c>
      <c r="C6496" t="s">
        <v>2546</v>
      </c>
      <c r="D6496" t="str">
        <f>HYPERLINK("http://service.sap.com/sap/support/notes/1696009","1696009")</f>
        <v>1696009</v>
      </c>
      <c r="E6496">
        <v>3</v>
      </c>
      <c r="F6496" t="s">
        <v>7922</v>
      </c>
    </row>
    <row r="6497" spans="1:6" x14ac:dyDescent="0.25">
      <c r="A6497" t="s">
        <v>6446</v>
      </c>
      <c r="B6497" t="s">
        <v>2545</v>
      </c>
      <c r="C6497" t="s">
        <v>2546</v>
      </c>
      <c r="D6497" t="str">
        <f>HYPERLINK("http://service.sap.com/sap/support/notes/1749518","1749518")</f>
        <v>1749518</v>
      </c>
      <c r="E6497">
        <v>6</v>
      </c>
      <c r="F6497" t="s">
        <v>7923</v>
      </c>
    </row>
    <row r="6498" spans="1:6" x14ac:dyDescent="0.25">
      <c r="A6498" t="s">
        <v>6446</v>
      </c>
      <c r="B6498" t="s">
        <v>2545</v>
      </c>
      <c r="C6498" t="s">
        <v>2546</v>
      </c>
      <c r="D6498" t="str">
        <f>HYPERLINK("http://service.sap.com/sap/support/notes/1753169","1753169")</f>
        <v>1753169</v>
      </c>
      <c r="E6498">
        <v>4</v>
      </c>
      <c r="F6498" t="s">
        <v>7924</v>
      </c>
    </row>
    <row r="6499" spans="1:6" x14ac:dyDescent="0.25">
      <c r="A6499" t="s">
        <v>6446</v>
      </c>
      <c r="B6499" t="s">
        <v>2545</v>
      </c>
      <c r="C6499" t="s">
        <v>2546</v>
      </c>
      <c r="D6499" t="str">
        <f>HYPERLINK("http://service.sap.com/sap/support/notes/1813619","1813619")</f>
        <v>1813619</v>
      </c>
      <c r="E6499">
        <v>2</v>
      </c>
      <c r="F6499" t="s">
        <v>7925</v>
      </c>
    </row>
    <row r="6500" spans="1:6" x14ac:dyDescent="0.25">
      <c r="A6500" t="s">
        <v>6446</v>
      </c>
      <c r="B6500" t="s">
        <v>2553</v>
      </c>
      <c r="C6500" t="s">
        <v>5542</v>
      </c>
      <c r="D6500" t="str">
        <f>HYPERLINK("http://service.sap.com/sap/support/notes/895223","895223")</f>
        <v>895223</v>
      </c>
      <c r="E6500">
        <v>4</v>
      </c>
      <c r="F6500" t="s">
        <v>7926</v>
      </c>
    </row>
    <row r="6501" spans="1:6" x14ac:dyDescent="0.25">
      <c r="A6501" t="s">
        <v>6446</v>
      </c>
      <c r="B6501" t="s">
        <v>2553</v>
      </c>
      <c r="C6501" t="s">
        <v>5542</v>
      </c>
      <c r="D6501" t="str">
        <f>HYPERLINK("http://service.sap.com/sap/support/notes/1732988","1732988")</f>
        <v>1732988</v>
      </c>
      <c r="E6501">
        <v>2</v>
      </c>
      <c r="F6501" t="s">
        <v>7927</v>
      </c>
    </row>
    <row r="6502" spans="1:6" x14ac:dyDescent="0.25">
      <c r="A6502" t="s">
        <v>6446</v>
      </c>
      <c r="B6502" t="s">
        <v>2553</v>
      </c>
      <c r="C6502" t="s">
        <v>5542</v>
      </c>
      <c r="D6502" t="str">
        <f>HYPERLINK("http://service.sap.com/sap/support/notes/1738012","1738012")</f>
        <v>1738012</v>
      </c>
      <c r="E6502">
        <v>8</v>
      </c>
      <c r="F6502" t="s">
        <v>7928</v>
      </c>
    </row>
    <row r="6503" spans="1:6" x14ac:dyDescent="0.25">
      <c r="A6503" t="s">
        <v>6446</v>
      </c>
      <c r="B6503" t="s">
        <v>2553</v>
      </c>
      <c r="C6503" t="s">
        <v>5542</v>
      </c>
      <c r="D6503" t="str">
        <f>HYPERLINK("http://service.sap.com/sap/support/notes/1764209","1764209")</f>
        <v>1764209</v>
      </c>
      <c r="E6503">
        <v>2</v>
      </c>
      <c r="F6503" t="s">
        <v>7929</v>
      </c>
    </row>
    <row r="6504" spans="1:6" x14ac:dyDescent="0.25">
      <c r="A6504" t="s">
        <v>6446</v>
      </c>
      <c r="B6504" t="s">
        <v>2553</v>
      </c>
      <c r="C6504" t="s">
        <v>5542</v>
      </c>
      <c r="D6504" t="str">
        <f>HYPERLINK("http://service.sap.com/sap/support/notes/1809985","1809985")</f>
        <v>1809985</v>
      </c>
      <c r="E6504">
        <v>3</v>
      </c>
      <c r="F6504" t="s">
        <v>7930</v>
      </c>
    </row>
    <row r="6505" spans="1:6" x14ac:dyDescent="0.25">
      <c r="A6505" t="s">
        <v>6446</v>
      </c>
      <c r="B6505" t="s">
        <v>2553</v>
      </c>
      <c r="C6505" t="s">
        <v>5542</v>
      </c>
      <c r="D6505" t="str">
        <f>HYPERLINK("http://service.sap.com/sap/support/notes/1814216","1814216")</f>
        <v>1814216</v>
      </c>
      <c r="E6505">
        <v>2</v>
      </c>
      <c r="F6505" t="s">
        <v>7931</v>
      </c>
    </row>
    <row r="6506" spans="1:6" x14ac:dyDescent="0.25">
      <c r="A6506" t="s">
        <v>6446</v>
      </c>
      <c r="B6506" t="s">
        <v>2555</v>
      </c>
      <c r="C6506" t="s">
        <v>2556</v>
      </c>
      <c r="D6506" t="str">
        <f>HYPERLINK("http://service.sap.com/sap/support/notes/1323922","1323922")</f>
        <v>1323922</v>
      </c>
      <c r="E6506">
        <v>6</v>
      </c>
      <c r="F6506" t="s">
        <v>7932</v>
      </c>
    </row>
    <row r="6507" spans="1:6" x14ac:dyDescent="0.25">
      <c r="A6507" t="s">
        <v>6446</v>
      </c>
      <c r="B6507" t="s">
        <v>2555</v>
      </c>
      <c r="C6507" t="s">
        <v>2556</v>
      </c>
      <c r="D6507" t="str">
        <f>HYPERLINK("http://service.sap.com/sap/support/notes/1786560","1786560")</f>
        <v>1786560</v>
      </c>
      <c r="E6507">
        <v>7</v>
      </c>
      <c r="F6507" t="s">
        <v>5545</v>
      </c>
    </row>
    <row r="6508" spans="1:6" x14ac:dyDescent="0.25">
      <c r="A6508" t="s">
        <v>6446</v>
      </c>
      <c r="B6508" t="s">
        <v>2555</v>
      </c>
      <c r="C6508" t="s">
        <v>2556</v>
      </c>
      <c r="D6508" t="str">
        <f>HYPERLINK("http://service.sap.com/sap/support/notes/1793012","1793012")</f>
        <v>1793012</v>
      </c>
      <c r="E6508">
        <v>2</v>
      </c>
      <c r="F6508" t="s">
        <v>7933</v>
      </c>
    </row>
    <row r="6509" spans="1:6" x14ac:dyDescent="0.25">
      <c r="A6509" t="s">
        <v>6446</v>
      </c>
      <c r="B6509" t="s">
        <v>2555</v>
      </c>
      <c r="C6509" t="s">
        <v>2556</v>
      </c>
      <c r="D6509" t="str">
        <f>HYPERLINK("http://service.sap.com/sap/support/notes/1794217","1794217")</f>
        <v>1794217</v>
      </c>
      <c r="E6509">
        <v>2</v>
      </c>
      <c r="F6509" t="s">
        <v>7934</v>
      </c>
    </row>
    <row r="6510" spans="1:6" x14ac:dyDescent="0.25">
      <c r="A6510" t="s">
        <v>6446</v>
      </c>
      <c r="B6510" t="s">
        <v>2555</v>
      </c>
      <c r="C6510" t="s">
        <v>2556</v>
      </c>
      <c r="D6510" t="str">
        <f>HYPERLINK("http://service.sap.com/sap/support/notes/1799046","1799046")</f>
        <v>1799046</v>
      </c>
      <c r="E6510">
        <v>1</v>
      </c>
      <c r="F6510" t="s">
        <v>7935</v>
      </c>
    </row>
    <row r="6511" spans="1:6" x14ac:dyDescent="0.25">
      <c r="A6511" t="s">
        <v>6446</v>
      </c>
      <c r="B6511" t="s">
        <v>2562</v>
      </c>
      <c r="C6511" t="s">
        <v>2563</v>
      </c>
      <c r="D6511" t="str">
        <f>HYPERLINK("http://service.sap.com/sap/support/notes/1696008","1696008")</f>
        <v>1696008</v>
      </c>
      <c r="E6511">
        <v>3</v>
      </c>
      <c r="F6511" t="s">
        <v>7936</v>
      </c>
    </row>
    <row r="6512" spans="1:6" x14ac:dyDescent="0.25">
      <c r="A6512" t="s">
        <v>6446</v>
      </c>
      <c r="B6512" t="s">
        <v>2562</v>
      </c>
      <c r="C6512" t="s">
        <v>2563</v>
      </c>
      <c r="D6512" t="str">
        <f>HYPERLINK("http://service.sap.com/sap/support/notes/1796717","1796717")</f>
        <v>1796717</v>
      </c>
      <c r="E6512">
        <v>2</v>
      </c>
      <c r="F6512" t="s">
        <v>7937</v>
      </c>
    </row>
    <row r="6513" spans="1:6" x14ac:dyDescent="0.25">
      <c r="A6513" t="s">
        <v>6446</v>
      </c>
      <c r="B6513" t="s">
        <v>2566</v>
      </c>
      <c r="C6513" t="s">
        <v>2567</v>
      </c>
      <c r="D6513" t="str">
        <f>HYPERLINK("http://service.sap.com/sap/support/notes/1800123","1800123")</f>
        <v>1800123</v>
      </c>
      <c r="E6513">
        <v>1</v>
      </c>
      <c r="F6513" t="s">
        <v>7938</v>
      </c>
    </row>
    <row r="6514" spans="1:6" x14ac:dyDescent="0.25">
      <c r="A6514" t="s">
        <v>6446</v>
      </c>
      <c r="B6514" t="s">
        <v>5547</v>
      </c>
      <c r="C6514" t="s">
        <v>3286</v>
      </c>
      <c r="D6514" t="str">
        <f>HYPERLINK("http://service.sap.com/sap/support/notes/905515","905515")</f>
        <v>905515</v>
      </c>
      <c r="E6514">
        <v>6</v>
      </c>
      <c r="F6514" t="s">
        <v>7939</v>
      </c>
    </row>
    <row r="6515" spans="1:6" x14ac:dyDescent="0.25">
      <c r="A6515" t="s">
        <v>6446</v>
      </c>
      <c r="B6515" t="s">
        <v>5547</v>
      </c>
      <c r="C6515" t="s">
        <v>3286</v>
      </c>
      <c r="D6515" t="str">
        <f>HYPERLINK("http://service.sap.com/sap/support/notes/1768907","1768907")</f>
        <v>1768907</v>
      </c>
      <c r="E6515">
        <v>3</v>
      </c>
      <c r="F6515" t="s">
        <v>7940</v>
      </c>
    </row>
    <row r="6516" spans="1:6" x14ac:dyDescent="0.25">
      <c r="A6516" t="s">
        <v>6446</v>
      </c>
      <c r="B6516" t="s">
        <v>7941</v>
      </c>
      <c r="C6516" t="s">
        <v>7942</v>
      </c>
      <c r="D6516" t="str">
        <f>HYPERLINK("http://service.sap.com/sap/support/notes/1751182","1751182")</f>
        <v>1751182</v>
      </c>
      <c r="E6516">
        <v>4</v>
      </c>
      <c r="F6516" t="s">
        <v>7943</v>
      </c>
    </row>
    <row r="6517" spans="1:6" x14ac:dyDescent="0.25">
      <c r="A6517" t="s">
        <v>6446</v>
      </c>
      <c r="B6517" t="s">
        <v>7941</v>
      </c>
      <c r="C6517" t="s">
        <v>7942</v>
      </c>
      <c r="D6517" t="str">
        <f>HYPERLINK("http://service.sap.com/sap/support/notes/1755682","1755682")</f>
        <v>1755682</v>
      </c>
      <c r="E6517">
        <v>2</v>
      </c>
      <c r="F6517" t="s">
        <v>7944</v>
      </c>
    </row>
    <row r="6518" spans="1:6" x14ac:dyDescent="0.25">
      <c r="A6518" t="s">
        <v>6446</v>
      </c>
      <c r="B6518" t="s">
        <v>7945</v>
      </c>
      <c r="C6518" t="s">
        <v>7946</v>
      </c>
      <c r="D6518" t="str">
        <f>HYPERLINK("http://service.sap.com/sap/support/notes/1778829","1778829")</f>
        <v>1778829</v>
      </c>
      <c r="E6518">
        <v>3</v>
      </c>
      <c r="F6518" t="s">
        <v>7947</v>
      </c>
    </row>
    <row r="6519" spans="1:6" x14ac:dyDescent="0.25">
      <c r="A6519" t="s">
        <v>6446</v>
      </c>
      <c r="B6519" t="s">
        <v>7945</v>
      </c>
      <c r="C6519" t="s">
        <v>7946</v>
      </c>
      <c r="D6519" t="str">
        <f>HYPERLINK("http://service.sap.com/sap/support/notes/1792756","1792756")</f>
        <v>1792756</v>
      </c>
      <c r="E6519">
        <v>5</v>
      </c>
      <c r="F6519" t="s">
        <v>7948</v>
      </c>
    </row>
    <row r="6520" spans="1:6" x14ac:dyDescent="0.25">
      <c r="A6520" t="s">
        <v>6446</v>
      </c>
      <c r="B6520" t="s">
        <v>2573</v>
      </c>
      <c r="C6520" t="s">
        <v>2574</v>
      </c>
      <c r="D6520" t="str">
        <f>HYPERLINK("http://service.sap.com/sap/support/notes/1779991","1779991")</f>
        <v>1779991</v>
      </c>
      <c r="E6520">
        <v>3</v>
      </c>
      <c r="F6520" t="s">
        <v>7949</v>
      </c>
    </row>
    <row r="6521" spans="1:6" x14ac:dyDescent="0.25">
      <c r="A6521" t="s">
        <v>6446</v>
      </c>
      <c r="B6521" t="s">
        <v>2573</v>
      </c>
      <c r="C6521" t="s">
        <v>2574</v>
      </c>
      <c r="D6521" t="str">
        <f>HYPERLINK("http://service.sap.com/sap/support/notes/1795438","1795438")</f>
        <v>1795438</v>
      </c>
      <c r="E6521">
        <v>3</v>
      </c>
      <c r="F6521" t="s">
        <v>7950</v>
      </c>
    </row>
    <row r="6522" spans="1:6" x14ac:dyDescent="0.25">
      <c r="A6522" t="s">
        <v>6446</v>
      </c>
      <c r="B6522" t="s">
        <v>2573</v>
      </c>
      <c r="C6522" t="s">
        <v>2574</v>
      </c>
      <c r="D6522" t="str">
        <f>HYPERLINK("http://service.sap.com/sap/support/notes/1803225","1803225")</f>
        <v>1803225</v>
      </c>
      <c r="E6522">
        <v>3</v>
      </c>
      <c r="F6522" t="s">
        <v>7951</v>
      </c>
    </row>
    <row r="6523" spans="1:6" x14ac:dyDescent="0.25">
      <c r="A6523" t="s">
        <v>6446</v>
      </c>
      <c r="B6523" t="s">
        <v>2573</v>
      </c>
      <c r="C6523" t="s">
        <v>2574</v>
      </c>
      <c r="D6523" t="str">
        <f>HYPERLINK("http://service.sap.com/sap/support/notes/1803782","1803782")</f>
        <v>1803782</v>
      </c>
      <c r="E6523">
        <v>3</v>
      </c>
      <c r="F6523" t="s">
        <v>7952</v>
      </c>
    </row>
    <row r="6524" spans="1:6" x14ac:dyDescent="0.25">
      <c r="A6524" t="s">
        <v>6446</v>
      </c>
      <c r="B6524" t="s">
        <v>2573</v>
      </c>
      <c r="C6524" t="s">
        <v>2574</v>
      </c>
      <c r="D6524" t="str">
        <f>HYPERLINK("http://service.sap.com/sap/support/notes/1806014","1806014")</f>
        <v>1806014</v>
      </c>
      <c r="E6524">
        <v>2</v>
      </c>
      <c r="F6524" t="s">
        <v>7953</v>
      </c>
    </row>
    <row r="6525" spans="1:6" x14ac:dyDescent="0.25">
      <c r="A6525" t="s">
        <v>6446</v>
      </c>
      <c r="B6525" t="s">
        <v>2573</v>
      </c>
      <c r="C6525" t="s">
        <v>2574</v>
      </c>
      <c r="D6525" t="str">
        <f>HYPERLINK("http://service.sap.com/sap/support/notes/1810709","1810709")</f>
        <v>1810709</v>
      </c>
      <c r="E6525">
        <v>2</v>
      </c>
      <c r="F6525" t="s">
        <v>7954</v>
      </c>
    </row>
    <row r="6526" spans="1:6" x14ac:dyDescent="0.25">
      <c r="A6526" t="s">
        <v>6446</v>
      </c>
      <c r="B6526" t="s">
        <v>2573</v>
      </c>
      <c r="C6526" t="s">
        <v>2574</v>
      </c>
      <c r="D6526" t="str">
        <f>HYPERLINK("http://service.sap.com/sap/support/notes/1815459","1815459")</f>
        <v>1815459</v>
      </c>
      <c r="E6526">
        <v>2</v>
      </c>
      <c r="F6526" t="s">
        <v>7955</v>
      </c>
    </row>
    <row r="6527" spans="1:6" x14ac:dyDescent="0.25">
      <c r="A6527" t="s">
        <v>6446</v>
      </c>
      <c r="B6527" t="s">
        <v>2573</v>
      </c>
      <c r="C6527" t="s">
        <v>2574</v>
      </c>
      <c r="D6527" t="str">
        <f>HYPERLINK("http://service.sap.com/sap/support/notes/1826843","1826843")</f>
        <v>1826843</v>
      </c>
      <c r="E6527">
        <v>1</v>
      </c>
      <c r="F6527" t="s">
        <v>7956</v>
      </c>
    </row>
    <row r="6528" spans="1:6" x14ac:dyDescent="0.25">
      <c r="A6528" t="s">
        <v>6446</v>
      </c>
      <c r="B6528" t="s">
        <v>2573</v>
      </c>
      <c r="C6528" t="s">
        <v>2574</v>
      </c>
      <c r="D6528" t="str">
        <f>HYPERLINK("http://service.sap.com/sap/support/notes/1827578","1827578")</f>
        <v>1827578</v>
      </c>
      <c r="E6528">
        <v>2</v>
      </c>
      <c r="F6528" t="s">
        <v>7957</v>
      </c>
    </row>
    <row r="6529" spans="1:6" x14ac:dyDescent="0.25">
      <c r="A6529" t="s">
        <v>6446</v>
      </c>
      <c r="B6529" t="s">
        <v>2573</v>
      </c>
      <c r="C6529" t="s">
        <v>2574</v>
      </c>
      <c r="D6529" t="str">
        <f>HYPERLINK("http://service.sap.com/sap/support/notes/1827994","1827994")</f>
        <v>1827994</v>
      </c>
      <c r="E6529">
        <v>3</v>
      </c>
      <c r="F6529" t="s">
        <v>7958</v>
      </c>
    </row>
    <row r="6530" spans="1:6" x14ac:dyDescent="0.25">
      <c r="A6530" t="s">
        <v>6446</v>
      </c>
      <c r="B6530" t="s">
        <v>2576</v>
      </c>
      <c r="C6530" t="s">
        <v>2577</v>
      </c>
    </row>
    <row r="6531" spans="1:6" x14ac:dyDescent="0.25">
      <c r="A6531" t="s">
        <v>6446</v>
      </c>
      <c r="B6531" t="s">
        <v>7959</v>
      </c>
      <c r="C6531" t="s">
        <v>7960</v>
      </c>
      <c r="D6531" t="str">
        <f>HYPERLINK("http://service.sap.com/sap/support/notes/1760521","1760521")</f>
        <v>1760521</v>
      </c>
      <c r="E6531">
        <v>2</v>
      </c>
      <c r="F6531" t="s">
        <v>7961</v>
      </c>
    </row>
    <row r="6532" spans="1:6" x14ac:dyDescent="0.25">
      <c r="A6532" t="s">
        <v>6446</v>
      </c>
      <c r="B6532" t="s">
        <v>2578</v>
      </c>
      <c r="C6532" t="s">
        <v>2579</v>
      </c>
      <c r="D6532" t="str">
        <f>HYPERLINK("http://service.sap.com/sap/support/notes/1702991","1702991")</f>
        <v>1702991</v>
      </c>
      <c r="E6532">
        <v>3</v>
      </c>
      <c r="F6532" t="s">
        <v>7962</v>
      </c>
    </row>
    <row r="6533" spans="1:6" x14ac:dyDescent="0.25">
      <c r="A6533" t="s">
        <v>6446</v>
      </c>
      <c r="B6533" t="s">
        <v>2578</v>
      </c>
      <c r="C6533" t="s">
        <v>2579</v>
      </c>
      <c r="D6533" t="str">
        <f>HYPERLINK("http://service.sap.com/sap/support/notes/1704639","1704639")</f>
        <v>1704639</v>
      </c>
      <c r="E6533">
        <v>4</v>
      </c>
      <c r="F6533" t="s">
        <v>7963</v>
      </c>
    </row>
    <row r="6534" spans="1:6" x14ac:dyDescent="0.25">
      <c r="A6534" t="s">
        <v>6446</v>
      </c>
      <c r="B6534" t="s">
        <v>2578</v>
      </c>
      <c r="C6534" t="s">
        <v>2579</v>
      </c>
      <c r="D6534" t="str">
        <f>HYPERLINK("http://service.sap.com/sap/support/notes/1790537","1790537")</f>
        <v>1790537</v>
      </c>
      <c r="E6534">
        <v>8</v>
      </c>
      <c r="F6534" t="s">
        <v>7964</v>
      </c>
    </row>
    <row r="6535" spans="1:6" x14ac:dyDescent="0.25">
      <c r="A6535" t="s">
        <v>6446</v>
      </c>
      <c r="B6535" t="s">
        <v>5556</v>
      </c>
      <c r="C6535" t="s">
        <v>5557</v>
      </c>
      <c r="D6535" t="str">
        <f>HYPERLINK("http://service.sap.com/sap/support/notes/1798313","1798313")</f>
        <v>1798313</v>
      </c>
      <c r="E6535">
        <v>1</v>
      </c>
      <c r="F6535" t="s">
        <v>7965</v>
      </c>
    </row>
    <row r="6536" spans="1:6" x14ac:dyDescent="0.25">
      <c r="A6536" t="s">
        <v>6446</v>
      </c>
      <c r="B6536" t="s">
        <v>2583</v>
      </c>
      <c r="C6536" t="s">
        <v>2584</v>
      </c>
      <c r="D6536" t="str">
        <f>HYPERLINK("http://service.sap.com/sap/support/notes/1304617","1304617")</f>
        <v>1304617</v>
      </c>
      <c r="E6536">
        <v>5</v>
      </c>
      <c r="F6536" t="s">
        <v>7966</v>
      </c>
    </row>
    <row r="6537" spans="1:6" x14ac:dyDescent="0.25">
      <c r="A6537" t="s">
        <v>6446</v>
      </c>
      <c r="B6537" t="s">
        <v>2583</v>
      </c>
      <c r="C6537" t="s">
        <v>2584</v>
      </c>
      <c r="D6537" t="str">
        <f>HYPERLINK("http://service.sap.com/sap/support/notes/1684300","1684300")</f>
        <v>1684300</v>
      </c>
      <c r="E6537">
        <v>6</v>
      </c>
      <c r="F6537" t="s">
        <v>7967</v>
      </c>
    </row>
    <row r="6538" spans="1:6" x14ac:dyDescent="0.25">
      <c r="A6538" t="s">
        <v>6446</v>
      </c>
      <c r="B6538" t="s">
        <v>2583</v>
      </c>
      <c r="C6538" t="s">
        <v>2584</v>
      </c>
      <c r="D6538" t="str">
        <f>HYPERLINK("http://service.sap.com/sap/support/notes/1705182","1705182")</f>
        <v>1705182</v>
      </c>
      <c r="E6538">
        <v>2</v>
      </c>
      <c r="F6538" t="s">
        <v>7968</v>
      </c>
    </row>
    <row r="6539" spans="1:6" x14ac:dyDescent="0.25">
      <c r="A6539" t="s">
        <v>6446</v>
      </c>
      <c r="B6539" t="s">
        <v>2583</v>
      </c>
      <c r="C6539" t="s">
        <v>2584</v>
      </c>
      <c r="D6539" t="str">
        <f>HYPERLINK("http://service.sap.com/sap/support/notes/1714539","1714539")</f>
        <v>1714539</v>
      </c>
      <c r="E6539">
        <v>6</v>
      </c>
      <c r="F6539" t="s">
        <v>7969</v>
      </c>
    </row>
    <row r="6540" spans="1:6" x14ac:dyDescent="0.25">
      <c r="A6540" t="s">
        <v>6446</v>
      </c>
      <c r="B6540" t="s">
        <v>2583</v>
      </c>
      <c r="C6540" t="s">
        <v>2584</v>
      </c>
      <c r="D6540" t="str">
        <f>HYPERLINK("http://service.sap.com/sap/support/notes/1725399","1725399")</f>
        <v>1725399</v>
      </c>
      <c r="E6540">
        <v>8</v>
      </c>
      <c r="F6540" t="s">
        <v>7970</v>
      </c>
    </row>
    <row r="6541" spans="1:6" x14ac:dyDescent="0.25">
      <c r="A6541" t="s">
        <v>6446</v>
      </c>
      <c r="B6541" t="s">
        <v>2583</v>
      </c>
      <c r="C6541" t="s">
        <v>2584</v>
      </c>
      <c r="D6541" t="str">
        <f>HYPERLINK("http://service.sap.com/sap/support/notes/1777838","1777838")</f>
        <v>1777838</v>
      </c>
      <c r="E6541">
        <v>2</v>
      </c>
      <c r="F6541" t="s">
        <v>7971</v>
      </c>
    </row>
    <row r="6542" spans="1:6" x14ac:dyDescent="0.25">
      <c r="A6542" t="s">
        <v>6446</v>
      </c>
      <c r="B6542" t="s">
        <v>2583</v>
      </c>
      <c r="C6542" t="s">
        <v>2584</v>
      </c>
      <c r="D6542" t="str">
        <f>HYPERLINK("http://service.sap.com/sap/support/notes/1782362","1782362")</f>
        <v>1782362</v>
      </c>
      <c r="E6542">
        <v>3</v>
      </c>
      <c r="F6542" t="s">
        <v>7972</v>
      </c>
    </row>
    <row r="6543" spans="1:6" x14ac:dyDescent="0.25">
      <c r="A6543" t="s">
        <v>6446</v>
      </c>
      <c r="B6543" t="s">
        <v>7973</v>
      </c>
      <c r="C6543" t="s">
        <v>3389</v>
      </c>
      <c r="D6543" t="str">
        <f>HYPERLINK("http://service.sap.com/sap/support/notes/1491430","1491430")</f>
        <v>1491430</v>
      </c>
      <c r="E6543">
        <v>3</v>
      </c>
      <c r="F6543" t="s">
        <v>7974</v>
      </c>
    </row>
    <row r="6544" spans="1:6" x14ac:dyDescent="0.25">
      <c r="A6544" t="s">
        <v>6446</v>
      </c>
      <c r="B6544" t="s">
        <v>7973</v>
      </c>
      <c r="C6544" t="s">
        <v>3389</v>
      </c>
      <c r="D6544" t="str">
        <f>HYPERLINK("http://service.sap.com/sap/support/notes/1806216","1806216")</f>
        <v>1806216</v>
      </c>
      <c r="E6544">
        <v>3</v>
      </c>
      <c r="F6544" t="s">
        <v>7975</v>
      </c>
    </row>
    <row r="6545" spans="1:6" x14ac:dyDescent="0.25">
      <c r="A6545" t="s">
        <v>6446</v>
      </c>
      <c r="B6545" t="s">
        <v>7973</v>
      </c>
      <c r="C6545" t="s">
        <v>3389</v>
      </c>
      <c r="D6545" t="str">
        <f>HYPERLINK("http://service.sap.com/sap/support/notes/1824890","1824890")</f>
        <v>1824890</v>
      </c>
      <c r="E6545">
        <v>2</v>
      </c>
      <c r="F6545" t="s">
        <v>7976</v>
      </c>
    </row>
    <row r="6546" spans="1:6" x14ac:dyDescent="0.25">
      <c r="A6546" t="s">
        <v>6446</v>
      </c>
      <c r="B6546" t="s">
        <v>2591</v>
      </c>
      <c r="C6546" t="s">
        <v>2592</v>
      </c>
      <c r="D6546" t="str">
        <f>HYPERLINK("http://service.sap.com/sap/support/notes/1764705","1764705")</f>
        <v>1764705</v>
      </c>
      <c r="E6546">
        <v>3</v>
      </c>
      <c r="F6546" t="s">
        <v>7977</v>
      </c>
    </row>
    <row r="6547" spans="1:6" x14ac:dyDescent="0.25">
      <c r="A6547" t="s">
        <v>6446</v>
      </c>
      <c r="B6547" t="s">
        <v>2591</v>
      </c>
      <c r="C6547" t="s">
        <v>2592</v>
      </c>
      <c r="D6547" t="str">
        <f>HYPERLINK("http://service.sap.com/sap/support/notes/1813032","1813032")</f>
        <v>1813032</v>
      </c>
      <c r="E6547">
        <v>1</v>
      </c>
      <c r="F6547" t="s">
        <v>7978</v>
      </c>
    </row>
    <row r="6548" spans="1:6" x14ac:dyDescent="0.25">
      <c r="A6548" t="s">
        <v>6446</v>
      </c>
      <c r="B6548" t="s">
        <v>2591</v>
      </c>
      <c r="C6548" t="s">
        <v>2592</v>
      </c>
      <c r="D6548" t="str">
        <f>HYPERLINK("http://service.sap.com/sap/support/notes/1814152","1814152")</f>
        <v>1814152</v>
      </c>
      <c r="E6548">
        <v>1</v>
      </c>
      <c r="F6548" t="s">
        <v>7979</v>
      </c>
    </row>
    <row r="6549" spans="1:6" x14ac:dyDescent="0.25">
      <c r="A6549" t="s">
        <v>6446</v>
      </c>
      <c r="B6549" t="s">
        <v>2594</v>
      </c>
      <c r="C6549" t="s">
        <v>1743</v>
      </c>
      <c r="D6549" t="str">
        <f>HYPERLINK("http://service.sap.com/sap/support/notes/1528756","1528756")</f>
        <v>1528756</v>
      </c>
      <c r="E6549">
        <v>7</v>
      </c>
      <c r="F6549" t="s">
        <v>7980</v>
      </c>
    </row>
    <row r="6550" spans="1:6" x14ac:dyDescent="0.25">
      <c r="A6550" t="s">
        <v>6446</v>
      </c>
      <c r="B6550" t="s">
        <v>2594</v>
      </c>
      <c r="C6550" t="s">
        <v>1743</v>
      </c>
      <c r="D6550" t="str">
        <f>HYPERLINK("http://service.sap.com/sap/support/notes/1669858","1669858")</f>
        <v>1669858</v>
      </c>
      <c r="E6550">
        <v>1</v>
      </c>
      <c r="F6550" t="s">
        <v>7981</v>
      </c>
    </row>
    <row r="6551" spans="1:6" x14ac:dyDescent="0.25">
      <c r="A6551" t="s">
        <v>6446</v>
      </c>
      <c r="B6551" t="s">
        <v>2594</v>
      </c>
      <c r="C6551" t="s">
        <v>1743</v>
      </c>
      <c r="D6551" t="str">
        <f>HYPERLINK("http://service.sap.com/sap/support/notes/1762055","1762055")</f>
        <v>1762055</v>
      </c>
      <c r="E6551">
        <v>2</v>
      </c>
      <c r="F6551" t="s">
        <v>7982</v>
      </c>
    </row>
    <row r="6552" spans="1:6" x14ac:dyDescent="0.25">
      <c r="A6552" t="s">
        <v>6446</v>
      </c>
      <c r="B6552" t="s">
        <v>2594</v>
      </c>
      <c r="C6552" t="s">
        <v>1743</v>
      </c>
      <c r="D6552" t="str">
        <f>HYPERLINK("http://service.sap.com/sap/support/notes/1788233","1788233")</f>
        <v>1788233</v>
      </c>
      <c r="E6552">
        <v>1</v>
      </c>
      <c r="F6552" t="s">
        <v>7983</v>
      </c>
    </row>
    <row r="6553" spans="1:6" x14ac:dyDescent="0.25">
      <c r="A6553" t="s">
        <v>6446</v>
      </c>
      <c r="B6553" t="s">
        <v>2594</v>
      </c>
      <c r="C6553" t="s">
        <v>1743</v>
      </c>
      <c r="D6553" t="str">
        <f>HYPERLINK("http://service.sap.com/sap/support/notes/1793168","1793168")</f>
        <v>1793168</v>
      </c>
      <c r="E6553">
        <v>2</v>
      </c>
      <c r="F6553" t="s">
        <v>7984</v>
      </c>
    </row>
    <row r="6554" spans="1:6" x14ac:dyDescent="0.25">
      <c r="A6554" t="s">
        <v>6446</v>
      </c>
      <c r="B6554" t="s">
        <v>2594</v>
      </c>
      <c r="C6554" t="s">
        <v>1743</v>
      </c>
      <c r="D6554" t="str">
        <f>HYPERLINK("http://service.sap.com/sap/support/notes/1798703","1798703")</f>
        <v>1798703</v>
      </c>
      <c r="E6554">
        <v>4</v>
      </c>
      <c r="F6554" t="s">
        <v>7985</v>
      </c>
    </row>
    <row r="6555" spans="1:6" x14ac:dyDescent="0.25">
      <c r="A6555" t="s">
        <v>6446</v>
      </c>
      <c r="B6555" t="s">
        <v>2594</v>
      </c>
      <c r="C6555" t="s">
        <v>1743</v>
      </c>
      <c r="D6555" t="str">
        <f>HYPERLINK("http://service.sap.com/sap/support/notes/1810578","1810578")</f>
        <v>1810578</v>
      </c>
      <c r="E6555">
        <v>2</v>
      </c>
      <c r="F6555" t="s">
        <v>7986</v>
      </c>
    </row>
    <row r="6556" spans="1:6" x14ac:dyDescent="0.25">
      <c r="A6556" t="s">
        <v>6446</v>
      </c>
      <c r="B6556" t="s">
        <v>2594</v>
      </c>
      <c r="C6556" t="s">
        <v>1743</v>
      </c>
      <c r="D6556" t="str">
        <f>HYPERLINK("http://service.sap.com/sap/support/notes/1813608","1813608")</f>
        <v>1813608</v>
      </c>
      <c r="E6556">
        <v>2</v>
      </c>
      <c r="F6556" t="s">
        <v>7987</v>
      </c>
    </row>
    <row r="6557" spans="1:6" x14ac:dyDescent="0.25">
      <c r="A6557" t="s">
        <v>6446</v>
      </c>
      <c r="B6557" t="s">
        <v>2594</v>
      </c>
      <c r="C6557" t="s">
        <v>1743</v>
      </c>
      <c r="D6557" t="str">
        <f>HYPERLINK("http://service.sap.com/sap/support/notes/1818934","1818934")</f>
        <v>1818934</v>
      </c>
      <c r="E6557">
        <v>1</v>
      </c>
      <c r="F6557" t="s">
        <v>7988</v>
      </c>
    </row>
    <row r="6558" spans="1:6" x14ac:dyDescent="0.25">
      <c r="A6558" t="s">
        <v>6446</v>
      </c>
      <c r="B6558" t="s">
        <v>2601</v>
      </c>
      <c r="C6558" t="s">
        <v>151</v>
      </c>
      <c r="D6558" t="str">
        <f>HYPERLINK("http://service.sap.com/sap/support/notes/1810281","1810281")</f>
        <v>1810281</v>
      </c>
      <c r="E6558">
        <v>3</v>
      </c>
      <c r="F6558" t="s">
        <v>7989</v>
      </c>
    </row>
    <row r="6559" spans="1:6" x14ac:dyDescent="0.25">
      <c r="A6559" t="s">
        <v>6446</v>
      </c>
      <c r="B6559" t="s">
        <v>7990</v>
      </c>
      <c r="C6559" t="s">
        <v>2419</v>
      </c>
      <c r="D6559" t="str">
        <f>HYPERLINK("http://service.sap.com/sap/support/notes/1768311","1768311")</f>
        <v>1768311</v>
      </c>
      <c r="E6559">
        <v>2</v>
      </c>
      <c r="F6559" t="s">
        <v>7991</v>
      </c>
    </row>
    <row r="6560" spans="1:6" x14ac:dyDescent="0.25">
      <c r="A6560" t="s">
        <v>6446</v>
      </c>
      <c r="B6560" t="s">
        <v>5569</v>
      </c>
      <c r="C6560" t="s">
        <v>5570</v>
      </c>
      <c r="D6560" t="str">
        <f>HYPERLINK("http://service.sap.com/sap/support/notes/1791186","1791186")</f>
        <v>1791186</v>
      </c>
      <c r="E6560">
        <v>5</v>
      </c>
      <c r="F6560" t="s">
        <v>7992</v>
      </c>
    </row>
    <row r="6561" spans="1:6" x14ac:dyDescent="0.25">
      <c r="A6561" t="s">
        <v>6446</v>
      </c>
      <c r="B6561" t="s">
        <v>5569</v>
      </c>
      <c r="C6561" t="s">
        <v>5570</v>
      </c>
      <c r="D6561" t="str">
        <f>HYPERLINK("http://service.sap.com/sap/support/notes/1809555","1809555")</f>
        <v>1809555</v>
      </c>
      <c r="E6561">
        <v>2</v>
      </c>
      <c r="F6561" t="s">
        <v>7993</v>
      </c>
    </row>
    <row r="6562" spans="1:6" x14ac:dyDescent="0.25">
      <c r="A6562" t="s">
        <v>6446</v>
      </c>
      <c r="B6562" t="s">
        <v>5569</v>
      </c>
      <c r="C6562" t="s">
        <v>5570</v>
      </c>
      <c r="D6562" t="str">
        <f>HYPERLINK("http://service.sap.com/sap/support/notes/1811436","1811436")</f>
        <v>1811436</v>
      </c>
      <c r="E6562">
        <v>2</v>
      </c>
      <c r="F6562" t="s">
        <v>7994</v>
      </c>
    </row>
    <row r="6563" spans="1:6" x14ac:dyDescent="0.25">
      <c r="A6563" t="s">
        <v>6446</v>
      </c>
      <c r="B6563" t="s">
        <v>7995</v>
      </c>
      <c r="C6563" t="s">
        <v>7996</v>
      </c>
    </row>
    <row r="6564" spans="1:6" x14ac:dyDescent="0.25">
      <c r="A6564" t="s">
        <v>6446</v>
      </c>
      <c r="B6564" t="s">
        <v>7997</v>
      </c>
      <c r="C6564" t="s">
        <v>7998</v>
      </c>
    </row>
    <row r="6565" spans="1:6" x14ac:dyDescent="0.25">
      <c r="A6565" t="s">
        <v>6446</v>
      </c>
      <c r="B6565" t="s">
        <v>7999</v>
      </c>
      <c r="C6565" t="s">
        <v>8000</v>
      </c>
      <c r="D6565" t="str">
        <f>HYPERLINK("http://service.sap.com/sap/support/notes/1740649","1740649")</f>
        <v>1740649</v>
      </c>
      <c r="E6565">
        <v>3</v>
      </c>
      <c r="F6565" t="s">
        <v>8001</v>
      </c>
    </row>
    <row r="6566" spans="1:6" x14ac:dyDescent="0.25">
      <c r="A6566" t="s">
        <v>6446</v>
      </c>
      <c r="B6566" t="s">
        <v>2603</v>
      </c>
      <c r="C6566" t="s">
        <v>233</v>
      </c>
      <c r="D6566" t="str">
        <f>HYPERLINK("http://service.sap.com/sap/support/notes/1739235","1739235")</f>
        <v>1739235</v>
      </c>
      <c r="E6566">
        <v>1</v>
      </c>
      <c r="F6566" t="s">
        <v>8002</v>
      </c>
    </row>
    <row r="6567" spans="1:6" x14ac:dyDescent="0.25">
      <c r="A6567" t="s">
        <v>6446</v>
      </c>
      <c r="B6567" t="s">
        <v>2603</v>
      </c>
      <c r="C6567" t="s">
        <v>233</v>
      </c>
      <c r="D6567" t="str">
        <f>HYPERLINK("http://service.sap.com/sap/support/notes/1801859","1801859")</f>
        <v>1801859</v>
      </c>
      <c r="E6567">
        <v>1</v>
      </c>
      <c r="F6567" t="s">
        <v>8003</v>
      </c>
    </row>
    <row r="6568" spans="1:6" x14ac:dyDescent="0.25">
      <c r="A6568" t="s">
        <v>6446</v>
      </c>
      <c r="B6568" t="s">
        <v>2603</v>
      </c>
      <c r="C6568" t="s">
        <v>233</v>
      </c>
      <c r="D6568" t="str">
        <f>HYPERLINK("http://service.sap.com/sap/support/notes/1810647","1810647")</f>
        <v>1810647</v>
      </c>
      <c r="E6568">
        <v>1</v>
      </c>
      <c r="F6568" t="s">
        <v>8004</v>
      </c>
    </row>
    <row r="6569" spans="1:6" x14ac:dyDescent="0.25">
      <c r="A6569" t="s">
        <v>6446</v>
      </c>
      <c r="B6569" t="s">
        <v>2603</v>
      </c>
      <c r="C6569" t="s">
        <v>233</v>
      </c>
      <c r="D6569" t="str">
        <f>HYPERLINK("http://service.sap.com/sap/support/notes/1816377","1816377")</f>
        <v>1816377</v>
      </c>
      <c r="E6569">
        <v>1</v>
      </c>
      <c r="F6569" t="s">
        <v>8005</v>
      </c>
    </row>
    <row r="6570" spans="1:6" x14ac:dyDescent="0.25">
      <c r="A6570" t="s">
        <v>6446</v>
      </c>
      <c r="B6570" t="s">
        <v>2603</v>
      </c>
      <c r="C6570" t="s">
        <v>233</v>
      </c>
      <c r="D6570" t="str">
        <f>HYPERLINK("http://service.sap.com/sap/support/notes/1828814","1828814")</f>
        <v>1828814</v>
      </c>
      <c r="E6570">
        <v>1</v>
      </c>
      <c r="F6570" t="s">
        <v>8006</v>
      </c>
    </row>
    <row r="6571" spans="1:6" x14ac:dyDescent="0.25">
      <c r="A6571" t="s">
        <v>6446</v>
      </c>
      <c r="B6571" t="s">
        <v>2607</v>
      </c>
      <c r="C6571" t="s">
        <v>2608</v>
      </c>
      <c r="D6571" t="str">
        <f>HYPERLINK("http://service.sap.com/sap/support/notes/1798189","1798189")</f>
        <v>1798189</v>
      </c>
      <c r="E6571">
        <v>2</v>
      </c>
      <c r="F6571" t="s">
        <v>8007</v>
      </c>
    </row>
    <row r="6572" spans="1:6" x14ac:dyDescent="0.25">
      <c r="A6572" t="s">
        <v>6446</v>
      </c>
      <c r="B6572" t="s">
        <v>2607</v>
      </c>
      <c r="C6572" t="s">
        <v>2608</v>
      </c>
      <c r="D6572" t="str">
        <f>HYPERLINK("http://service.sap.com/sap/support/notes/1807599","1807599")</f>
        <v>1807599</v>
      </c>
      <c r="E6572">
        <v>1</v>
      </c>
      <c r="F6572" t="s">
        <v>8008</v>
      </c>
    </row>
    <row r="6573" spans="1:6" x14ac:dyDescent="0.25">
      <c r="A6573" t="s">
        <v>6446</v>
      </c>
      <c r="B6573" t="s">
        <v>2610</v>
      </c>
      <c r="C6573" t="s">
        <v>2611</v>
      </c>
      <c r="D6573" t="str">
        <f>HYPERLINK("http://service.sap.com/sap/support/notes/1801220","1801220")</f>
        <v>1801220</v>
      </c>
      <c r="E6573">
        <v>1</v>
      </c>
      <c r="F6573" t="s">
        <v>8009</v>
      </c>
    </row>
    <row r="6574" spans="1:6" x14ac:dyDescent="0.25">
      <c r="A6574" t="s">
        <v>6446</v>
      </c>
      <c r="B6574" t="s">
        <v>2610</v>
      </c>
      <c r="C6574" t="s">
        <v>2611</v>
      </c>
      <c r="D6574" t="str">
        <f>HYPERLINK("http://service.sap.com/sap/support/notes/1819638","1819638")</f>
        <v>1819638</v>
      </c>
      <c r="E6574">
        <v>2</v>
      </c>
      <c r="F6574" t="s">
        <v>8010</v>
      </c>
    </row>
    <row r="6575" spans="1:6" x14ac:dyDescent="0.25">
      <c r="A6575" t="s">
        <v>6446</v>
      </c>
      <c r="B6575" t="s">
        <v>2616</v>
      </c>
      <c r="C6575" t="s">
        <v>2617</v>
      </c>
      <c r="D6575" t="str">
        <f>HYPERLINK("http://service.sap.com/sap/support/notes/1822436","1822436")</f>
        <v>1822436</v>
      </c>
      <c r="E6575">
        <v>2</v>
      </c>
      <c r="F6575" t="s">
        <v>8011</v>
      </c>
    </row>
    <row r="6576" spans="1:6" x14ac:dyDescent="0.25">
      <c r="A6576" t="s">
        <v>6446</v>
      </c>
      <c r="B6576" t="s">
        <v>2616</v>
      </c>
      <c r="C6576" t="s">
        <v>2617</v>
      </c>
      <c r="D6576" t="str">
        <f>HYPERLINK("http://service.sap.com/sap/support/notes/1824154","1824154")</f>
        <v>1824154</v>
      </c>
      <c r="E6576">
        <v>2</v>
      </c>
      <c r="F6576" t="s">
        <v>8012</v>
      </c>
    </row>
    <row r="6577" spans="1:6" x14ac:dyDescent="0.25">
      <c r="A6577" t="s">
        <v>6446</v>
      </c>
      <c r="B6577" t="s">
        <v>5590</v>
      </c>
      <c r="C6577" t="s">
        <v>2659</v>
      </c>
      <c r="D6577" t="str">
        <f>HYPERLINK("http://service.sap.com/sap/support/notes/1825300","1825300")</f>
        <v>1825300</v>
      </c>
      <c r="E6577">
        <v>2</v>
      </c>
      <c r="F6577" t="s">
        <v>8013</v>
      </c>
    </row>
    <row r="6578" spans="1:6" x14ac:dyDescent="0.25">
      <c r="A6578" t="s">
        <v>6446</v>
      </c>
      <c r="B6578" t="s">
        <v>5590</v>
      </c>
      <c r="C6578" t="s">
        <v>2659</v>
      </c>
      <c r="D6578" t="str">
        <f>HYPERLINK("http://service.sap.com/sap/support/notes/1830209","1830209")</f>
        <v>1830209</v>
      </c>
      <c r="E6578">
        <v>1</v>
      </c>
      <c r="F6578" t="s">
        <v>8014</v>
      </c>
    </row>
    <row r="6579" spans="1:6" x14ac:dyDescent="0.25">
      <c r="A6579" t="s">
        <v>6446</v>
      </c>
      <c r="B6579" t="s">
        <v>2622</v>
      </c>
      <c r="C6579" t="s">
        <v>2623</v>
      </c>
    </row>
    <row r="6580" spans="1:6" x14ac:dyDescent="0.25">
      <c r="A6580" t="s">
        <v>6446</v>
      </c>
      <c r="B6580" t="s">
        <v>2624</v>
      </c>
      <c r="C6580" t="s">
        <v>2625</v>
      </c>
      <c r="D6580" t="str">
        <f>HYPERLINK("http://service.sap.com/sap/support/notes/1803218","1803218")</f>
        <v>1803218</v>
      </c>
      <c r="E6580">
        <v>2</v>
      </c>
      <c r="F6580" t="s">
        <v>8015</v>
      </c>
    </row>
    <row r="6581" spans="1:6" x14ac:dyDescent="0.25">
      <c r="A6581" t="s">
        <v>6446</v>
      </c>
      <c r="B6581" t="s">
        <v>2627</v>
      </c>
      <c r="C6581" t="s">
        <v>2628</v>
      </c>
      <c r="D6581" t="str">
        <f>HYPERLINK("http://service.sap.com/sap/support/notes/1813837","1813837")</f>
        <v>1813837</v>
      </c>
      <c r="E6581">
        <v>3</v>
      </c>
      <c r="F6581" t="s">
        <v>8016</v>
      </c>
    </row>
    <row r="6582" spans="1:6" x14ac:dyDescent="0.25">
      <c r="A6582" t="s">
        <v>6446</v>
      </c>
      <c r="B6582" t="s">
        <v>2634</v>
      </c>
      <c r="C6582" t="s">
        <v>5598</v>
      </c>
      <c r="D6582" t="str">
        <f>HYPERLINK("http://service.sap.com/sap/support/notes/1818003","1818003")</f>
        <v>1818003</v>
      </c>
      <c r="E6582">
        <v>1</v>
      </c>
      <c r="F6582" t="s">
        <v>8017</v>
      </c>
    </row>
    <row r="6583" spans="1:6" x14ac:dyDescent="0.25">
      <c r="A6583" t="s">
        <v>6446</v>
      </c>
      <c r="B6583" t="s">
        <v>2636</v>
      </c>
      <c r="C6583" t="s">
        <v>2637</v>
      </c>
      <c r="D6583" t="str">
        <f>HYPERLINK("http://service.sap.com/sap/support/notes/1602730","1602730")</f>
        <v>1602730</v>
      </c>
      <c r="E6583">
        <v>5</v>
      </c>
      <c r="F6583" t="s">
        <v>8018</v>
      </c>
    </row>
    <row r="6584" spans="1:6" x14ac:dyDescent="0.25">
      <c r="A6584" t="s">
        <v>6446</v>
      </c>
      <c r="B6584" t="s">
        <v>2636</v>
      </c>
      <c r="C6584" t="s">
        <v>2637</v>
      </c>
      <c r="D6584" t="str">
        <f>HYPERLINK("http://service.sap.com/sap/support/notes/1790114","1790114")</f>
        <v>1790114</v>
      </c>
      <c r="E6584">
        <v>3</v>
      </c>
      <c r="F6584" t="s">
        <v>8019</v>
      </c>
    </row>
    <row r="6585" spans="1:6" x14ac:dyDescent="0.25">
      <c r="A6585" t="s">
        <v>6446</v>
      </c>
      <c r="B6585" t="s">
        <v>2636</v>
      </c>
      <c r="C6585" t="s">
        <v>2637</v>
      </c>
      <c r="D6585" t="str">
        <f>HYPERLINK("http://service.sap.com/sap/support/notes/1799794","1799794")</f>
        <v>1799794</v>
      </c>
      <c r="E6585">
        <v>3</v>
      </c>
      <c r="F6585" t="s">
        <v>8020</v>
      </c>
    </row>
    <row r="6586" spans="1:6" x14ac:dyDescent="0.25">
      <c r="A6586" t="s">
        <v>6446</v>
      </c>
      <c r="B6586" t="s">
        <v>2636</v>
      </c>
      <c r="C6586" t="s">
        <v>2637</v>
      </c>
      <c r="D6586" t="str">
        <f>HYPERLINK("http://service.sap.com/sap/support/notes/1801785","1801785")</f>
        <v>1801785</v>
      </c>
      <c r="E6586">
        <v>2</v>
      </c>
      <c r="F6586" t="s">
        <v>8021</v>
      </c>
    </row>
    <row r="6587" spans="1:6" x14ac:dyDescent="0.25">
      <c r="A6587" t="s">
        <v>6446</v>
      </c>
      <c r="B6587" t="s">
        <v>2636</v>
      </c>
      <c r="C6587" t="s">
        <v>2637</v>
      </c>
      <c r="D6587" t="str">
        <f>HYPERLINK("http://service.sap.com/sap/support/notes/1806914","1806914")</f>
        <v>1806914</v>
      </c>
      <c r="E6587">
        <v>3</v>
      </c>
      <c r="F6587" t="s">
        <v>8022</v>
      </c>
    </row>
    <row r="6588" spans="1:6" x14ac:dyDescent="0.25">
      <c r="A6588" t="s">
        <v>6446</v>
      </c>
      <c r="B6588" t="s">
        <v>2636</v>
      </c>
      <c r="C6588" t="s">
        <v>2637</v>
      </c>
      <c r="D6588" t="str">
        <f>HYPERLINK("http://service.sap.com/sap/support/notes/1817327","1817327")</f>
        <v>1817327</v>
      </c>
      <c r="E6588">
        <v>2</v>
      </c>
      <c r="F6588" t="s">
        <v>8023</v>
      </c>
    </row>
    <row r="6589" spans="1:6" x14ac:dyDescent="0.25">
      <c r="A6589" t="s">
        <v>6446</v>
      </c>
      <c r="B6589" t="s">
        <v>2636</v>
      </c>
      <c r="C6589" t="s">
        <v>2637</v>
      </c>
      <c r="D6589" t="str">
        <f>HYPERLINK("http://service.sap.com/sap/support/notes/1818682","1818682")</f>
        <v>1818682</v>
      </c>
      <c r="E6589">
        <v>2</v>
      </c>
      <c r="F6589" t="s">
        <v>8024</v>
      </c>
    </row>
    <row r="6590" spans="1:6" x14ac:dyDescent="0.25">
      <c r="A6590" t="s">
        <v>6446</v>
      </c>
      <c r="B6590" t="s">
        <v>2636</v>
      </c>
      <c r="C6590" t="s">
        <v>2637</v>
      </c>
      <c r="D6590" t="str">
        <f>HYPERLINK("http://service.sap.com/sap/support/notes/1819646","1819646")</f>
        <v>1819646</v>
      </c>
      <c r="E6590">
        <v>2</v>
      </c>
      <c r="F6590" t="s">
        <v>8025</v>
      </c>
    </row>
    <row r="6591" spans="1:6" x14ac:dyDescent="0.25">
      <c r="A6591" t="s">
        <v>6446</v>
      </c>
      <c r="B6591" t="s">
        <v>2643</v>
      </c>
      <c r="C6591" t="s">
        <v>2644</v>
      </c>
      <c r="D6591" t="str">
        <f>HYPERLINK("http://service.sap.com/sap/support/notes/1719096","1719096")</f>
        <v>1719096</v>
      </c>
      <c r="E6591">
        <v>2</v>
      </c>
      <c r="F6591" t="s">
        <v>8026</v>
      </c>
    </row>
    <row r="6592" spans="1:6" x14ac:dyDescent="0.25">
      <c r="A6592" t="s">
        <v>6446</v>
      </c>
      <c r="B6592" t="s">
        <v>2643</v>
      </c>
      <c r="C6592" t="s">
        <v>2644</v>
      </c>
      <c r="D6592" t="str">
        <f>HYPERLINK("http://service.sap.com/sap/support/notes/1772508","1772508")</f>
        <v>1772508</v>
      </c>
      <c r="E6592">
        <v>4</v>
      </c>
      <c r="F6592" t="s">
        <v>8027</v>
      </c>
    </row>
    <row r="6593" spans="1:6" x14ac:dyDescent="0.25">
      <c r="A6593" t="s">
        <v>6446</v>
      </c>
      <c r="B6593" t="s">
        <v>2643</v>
      </c>
      <c r="C6593" t="s">
        <v>2644</v>
      </c>
      <c r="D6593" t="str">
        <f>HYPERLINK("http://service.sap.com/sap/support/notes/1775626","1775626")</f>
        <v>1775626</v>
      </c>
      <c r="E6593">
        <v>2</v>
      </c>
      <c r="F6593" t="s">
        <v>8028</v>
      </c>
    </row>
    <row r="6594" spans="1:6" x14ac:dyDescent="0.25">
      <c r="A6594" t="s">
        <v>6446</v>
      </c>
      <c r="B6594" t="s">
        <v>2643</v>
      </c>
      <c r="C6594" t="s">
        <v>2644</v>
      </c>
      <c r="D6594" t="str">
        <f>HYPERLINK("http://service.sap.com/sap/support/notes/1804473","1804473")</f>
        <v>1804473</v>
      </c>
      <c r="E6594">
        <v>3</v>
      </c>
      <c r="F6594" t="s">
        <v>8029</v>
      </c>
    </row>
    <row r="6595" spans="1:6" x14ac:dyDescent="0.25">
      <c r="A6595" t="s">
        <v>6446</v>
      </c>
      <c r="B6595" t="s">
        <v>2643</v>
      </c>
      <c r="C6595" t="s">
        <v>2644</v>
      </c>
      <c r="D6595" t="str">
        <f>HYPERLINK("http://service.sap.com/sap/support/notes/1808918","1808918")</f>
        <v>1808918</v>
      </c>
      <c r="E6595">
        <v>1</v>
      </c>
      <c r="F6595" t="s">
        <v>8030</v>
      </c>
    </row>
    <row r="6596" spans="1:6" x14ac:dyDescent="0.25">
      <c r="A6596" t="s">
        <v>6446</v>
      </c>
      <c r="B6596" t="s">
        <v>5613</v>
      </c>
      <c r="C6596" t="s">
        <v>5614</v>
      </c>
      <c r="D6596" t="str">
        <f>HYPERLINK("http://service.sap.com/sap/support/notes/1809378","1809378")</f>
        <v>1809378</v>
      </c>
      <c r="E6596">
        <v>3</v>
      </c>
      <c r="F6596" t="s">
        <v>8031</v>
      </c>
    </row>
    <row r="6597" spans="1:6" x14ac:dyDescent="0.25">
      <c r="A6597" t="s">
        <v>6446</v>
      </c>
      <c r="B6597" t="s">
        <v>2647</v>
      </c>
      <c r="C6597" t="s">
        <v>2648</v>
      </c>
      <c r="D6597" t="str">
        <f>HYPERLINK("http://service.sap.com/sap/support/notes/1795536","1795536")</f>
        <v>1795536</v>
      </c>
      <c r="E6597">
        <v>2</v>
      </c>
      <c r="F6597" t="s">
        <v>5617</v>
      </c>
    </row>
    <row r="6598" spans="1:6" x14ac:dyDescent="0.25">
      <c r="A6598" t="s">
        <v>6446</v>
      </c>
      <c r="B6598" t="s">
        <v>2654</v>
      </c>
      <c r="C6598" t="s">
        <v>2655</v>
      </c>
      <c r="D6598" t="str">
        <f>HYPERLINK("http://service.sap.com/sap/support/notes/1748385","1748385")</f>
        <v>1748385</v>
      </c>
      <c r="E6598">
        <v>2</v>
      </c>
      <c r="F6598" t="s">
        <v>8032</v>
      </c>
    </row>
    <row r="6599" spans="1:6" x14ac:dyDescent="0.25">
      <c r="A6599" t="s">
        <v>6446</v>
      </c>
      <c r="B6599" t="s">
        <v>2654</v>
      </c>
      <c r="C6599" t="s">
        <v>2655</v>
      </c>
      <c r="D6599" t="str">
        <f>HYPERLINK("http://service.sap.com/sap/support/notes/1827005","1827005")</f>
        <v>1827005</v>
      </c>
      <c r="E6599">
        <v>1</v>
      </c>
      <c r="F6599" t="s">
        <v>8033</v>
      </c>
    </row>
    <row r="6600" spans="1:6" x14ac:dyDescent="0.25">
      <c r="A6600" t="s">
        <v>6446</v>
      </c>
      <c r="B6600" t="s">
        <v>2658</v>
      </c>
      <c r="C6600" t="s">
        <v>2659</v>
      </c>
      <c r="D6600" t="str">
        <f>HYPERLINK("http://service.sap.com/sap/support/notes/1804583","1804583")</f>
        <v>1804583</v>
      </c>
      <c r="E6600">
        <v>1</v>
      </c>
      <c r="F6600" t="s">
        <v>8034</v>
      </c>
    </row>
    <row r="6601" spans="1:6" x14ac:dyDescent="0.25">
      <c r="A6601" t="s">
        <v>6446</v>
      </c>
      <c r="B6601" t="s">
        <v>2658</v>
      </c>
      <c r="C6601" t="s">
        <v>2659</v>
      </c>
      <c r="D6601" t="str">
        <f>HYPERLINK("http://service.sap.com/sap/support/notes/1807659","1807659")</f>
        <v>1807659</v>
      </c>
      <c r="E6601">
        <v>3</v>
      </c>
      <c r="F6601" t="s">
        <v>8035</v>
      </c>
    </row>
    <row r="6602" spans="1:6" x14ac:dyDescent="0.25">
      <c r="A6602" t="s">
        <v>6446</v>
      </c>
      <c r="B6602" t="s">
        <v>2658</v>
      </c>
      <c r="C6602" t="s">
        <v>2659</v>
      </c>
      <c r="D6602" t="str">
        <f>HYPERLINK("http://service.sap.com/sap/support/notes/1827867","1827867")</f>
        <v>1827867</v>
      </c>
      <c r="E6602">
        <v>1</v>
      </c>
      <c r="F6602" t="s">
        <v>8036</v>
      </c>
    </row>
    <row r="6603" spans="1:6" x14ac:dyDescent="0.25">
      <c r="A6603" t="s">
        <v>6446</v>
      </c>
      <c r="B6603" t="s">
        <v>2661</v>
      </c>
      <c r="C6603" t="s">
        <v>2662</v>
      </c>
      <c r="D6603" t="str">
        <f>HYPERLINK("http://service.sap.com/sap/support/notes/1755369","1755369")</f>
        <v>1755369</v>
      </c>
      <c r="E6603">
        <v>2</v>
      </c>
      <c r="F6603" t="s">
        <v>8037</v>
      </c>
    </row>
    <row r="6604" spans="1:6" x14ac:dyDescent="0.25">
      <c r="A6604" t="s">
        <v>6446</v>
      </c>
      <c r="B6604" t="s">
        <v>2661</v>
      </c>
      <c r="C6604" t="s">
        <v>2662</v>
      </c>
      <c r="D6604" t="str">
        <f>HYPERLINK("http://service.sap.com/sap/support/notes/1762802","1762802")</f>
        <v>1762802</v>
      </c>
      <c r="E6604">
        <v>2</v>
      </c>
      <c r="F6604" t="s">
        <v>8038</v>
      </c>
    </row>
    <row r="6605" spans="1:6" x14ac:dyDescent="0.25">
      <c r="A6605" t="s">
        <v>6446</v>
      </c>
      <c r="B6605" t="s">
        <v>2661</v>
      </c>
      <c r="C6605" t="s">
        <v>2662</v>
      </c>
      <c r="D6605" t="str">
        <f>HYPERLINK("http://service.sap.com/sap/support/notes/1774973","1774973")</f>
        <v>1774973</v>
      </c>
      <c r="E6605">
        <v>3</v>
      </c>
      <c r="F6605" t="s">
        <v>8039</v>
      </c>
    </row>
    <row r="6606" spans="1:6" x14ac:dyDescent="0.25">
      <c r="A6606" t="s">
        <v>6446</v>
      </c>
      <c r="B6606" t="s">
        <v>2669</v>
      </c>
      <c r="C6606" t="s">
        <v>2670</v>
      </c>
      <c r="D6606" t="str">
        <f>HYPERLINK("http://service.sap.com/sap/support/notes/1756068","1756068")</f>
        <v>1756068</v>
      </c>
      <c r="E6606">
        <v>2</v>
      </c>
      <c r="F6606" t="s">
        <v>8040</v>
      </c>
    </row>
    <row r="6607" spans="1:6" x14ac:dyDescent="0.25">
      <c r="A6607" t="s">
        <v>6446</v>
      </c>
      <c r="B6607" t="s">
        <v>2669</v>
      </c>
      <c r="C6607" t="s">
        <v>2670</v>
      </c>
      <c r="D6607" t="str">
        <f>HYPERLINK("http://service.sap.com/sap/support/notes/1782468","1782468")</f>
        <v>1782468</v>
      </c>
      <c r="E6607">
        <v>2</v>
      </c>
      <c r="F6607" t="s">
        <v>8041</v>
      </c>
    </row>
    <row r="6608" spans="1:6" x14ac:dyDescent="0.25">
      <c r="A6608" t="s">
        <v>6446</v>
      </c>
      <c r="B6608" t="s">
        <v>2669</v>
      </c>
      <c r="C6608" t="s">
        <v>2670</v>
      </c>
      <c r="D6608" t="str">
        <f>HYPERLINK("http://service.sap.com/sap/support/notes/1813477","1813477")</f>
        <v>1813477</v>
      </c>
      <c r="E6608">
        <v>2</v>
      </c>
      <c r="F6608" t="s">
        <v>8042</v>
      </c>
    </row>
    <row r="6609" spans="1:6" x14ac:dyDescent="0.25">
      <c r="A6609" t="s">
        <v>6446</v>
      </c>
      <c r="B6609" t="s">
        <v>2669</v>
      </c>
      <c r="C6609" t="s">
        <v>2670</v>
      </c>
      <c r="D6609" t="str">
        <f>HYPERLINK("http://service.sap.com/sap/support/notes/1815315","1815315")</f>
        <v>1815315</v>
      </c>
      <c r="E6609">
        <v>1</v>
      </c>
      <c r="F6609" t="s">
        <v>8043</v>
      </c>
    </row>
    <row r="6610" spans="1:6" x14ac:dyDescent="0.25">
      <c r="A6610" t="s">
        <v>6446</v>
      </c>
      <c r="B6610" t="s">
        <v>2669</v>
      </c>
      <c r="C6610" t="s">
        <v>2670</v>
      </c>
      <c r="D6610" t="str">
        <f>HYPERLINK("http://service.sap.com/sap/support/notes/1823796","1823796")</f>
        <v>1823796</v>
      </c>
      <c r="E6610">
        <v>1</v>
      </c>
      <c r="F6610" t="s">
        <v>8044</v>
      </c>
    </row>
    <row r="6611" spans="1:6" x14ac:dyDescent="0.25">
      <c r="A6611" t="s">
        <v>6446</v>
      </c>
      <c r="B6611" t="s">
        <v>2669</v>
      </c>
      <c r="C6611" t="s">
        <v>2670</v>
      </c>
      <c r="D6611" t="str">
        <f>HYPERLINK("http://service.sap.com/sap/support/notes/1824513","1824513")</f>
        <v>1824513</v>
      </c>
      <c r="E6611">
        <v>2</v>
      </c>
      <c r="F6611" t="s">
        <v>8045</v>
      </c>
    </row>
    <row r="6612" spans="1:6" x14ac:dyDescent="0.25">
      <c r="A6612" t="s">
        <v>6446</v>
      </c>
      <c r="B6612" t="s">
        <v>2669</v>
      </c>
      <c r="C6612" t="s">
        <v>2670</v>
      </c>
      <c r="D6612" t="str">
        <f>HYPERLINK("http://service.sap.com/sap/support/notes/1826983","1826983")</f>
        <v>1826983</v>
      </c>
      <c r="E6612">
        <v>1</v>
      </c>
      <c r="F6612" t="s">
        <v>8046</v>
      </c>
    </row>
    <row r="6613" spans="1:6" x14ac:dyDescent="0.25">
      <c r="A6613" t="s">
        <v>6446</v>
      </c>
      <c r="B6613" t="s">
        <v>2669</v>
      </c>
      <c r="C6613" t="s">
        <v>2670</v>
      </c>
      <c r="D6613" t="str">
        <f>HYPERLINK("http://service.sap.com/sap/support/notes/1827065","1827065")</f>
        <v>1827065</v>
      </c>
      <c r="E6613">
        <v>3</v>
      </c>
      <c r="F6613" t="s">
        <v>8047</v>
      </c>
    </row>
    <row r="6614" spans="1:6" x14ac:dyDescent="0.25">
      <c r="A6614" t="s">
        <v>6446</v>
      </c>
      <c r="B6614" t="s">
        <v>2669</v>
      </c>
      <c r="C6614" t="s">
        <v>2670</v>
      </c>
      <c r="D6614" t="str">
        <f>HYPERLINK("http://service.sap.com/sap/support/notes/1832299","1832299")</f>
        <v>1832299</v>
      </c>
      <c r="E6614">
        <v>2</v>
      </c>
      <c r="F6614" t="s">
        <v>8048</v>
      </c>
    </row>
    <row r="6615" spans="1:6" x14ac:dyDescent="0.25">
      <c r="A6615" t="s">
        <v>6446</v>
      </c>
      <c r="B6615" t="s">
        <v>2680</v>
      </c>
      <c r="C6615" t="s">
        <v>2681</v>
      </c>
      <c r="D6615" t="str">
        <f>HYPERLINK("http://service.sap.com/sap/support/notes/1806050","1806050")</f>
        <v>1806050</v>
      </c>
      <c r="E6615">
        <v>1</v>
      </c>
      <c r="F6615" t="s">
        <v>8049</v>
      </c>
    </row>
    <row r="6616" spans="1:6" x14ac:dyDescent="0.25">
      <c r="A6616" t="s">
        <v>6446</v>
      </c>
      <c r="B6616" t="s">
        <v>2684</v>
      </c>
      <c r="C6616" t="s">
        <v>2685</v>
      </c>
      <c r="D6616" t="str">
        <f>HYPERLINK("http://service.sap.com/sap/support/notes/1721300","1721300")</f>
        <v>1721300</v>
      </c>
      <c r="E6616">
        <v>3</v>
      </c>
      <c r="F6616" t="s">
        <v>8050</v>
      </c>
    </row>
    <row r="6617" spans="1:6" x14ac:dyDescent="0.25">
      <c r="A6617" t="s">
        <v>6446</v>
      </c>
      <c r="B6617" t="s">
        <v>2684</v>
      </c>
      <c r="C6617" t="s">
        <v>2685</v>
      </c>
      <c r="D6617" t="str">
        <f>HYPERLINK("http://service.sap.com/sap/support/notes/1790062","1790062")</f>
        <v>1790062</v>
      </c>
      <c r="E6617">
        <v>2</v>
      </c>
      <c r="F6617" t="s">
        <v>8051</v>
      </c>
    </row>
    <row r="6618" spans="1:6" x14ac:dyDescent="0.25">
      <c r="A6618" t="s">
        <v>6446</v>
      </c>
      <c r="B6618" t="s">
        <v>2684</v>
      </c>
      <c r="C6618" t="s">
        <v>2685</v>
      </c>
      <c r="D6618" t="str">
        <f>HYPERLINK("http://service.sap.com/sap/support/notes/1795638","1795638")</f>
        <v>1795638</v>
      </c>
      <c r="E6618">
        <v>2</v>
      </c>
      <c r="F6618" t="s">
        <v>8052</v>
      </c>
    </row>
    <row r="6619" spans="1:6" x14ac:dyDescent="0.25">
      <c r="A6619" t="s">
        <v>6446</v>
      </c>
      <c r="B6619" t="s">
        <v>2684</v>
      </c>
      <c r="C6619" t="s">
        <v>2685</v>
      </c>
      <c r="D6619" t="str">
        <f>HYPERLINK("http://service.sap.com/sap/support/notes/1801359","1801359")</f>
        <v>1801359</v>
      </c>
      <c r="E6619">
        <v>1</v>
      </c>
      <c r="F6619" t="s">
        <v>8053</v>
      </c>
    </row>
    <row r="6620" spans="1:6" x14ac:dyDescent="0.25">
      <c r="A6620" t="s">
        <v>6446</v>
      </c>
      <c r="B6620" t="s">
        <v>2684</v>
      </c>
      <c r="C6620" t="s">
        <v>2685</v>
      </c>
      <c r="D6620" t="str">
        <f>HYPERLINK("http://service.sap.com/sap/support/notes/1803497","1803497")</f>
        <v>1803497</v>
      </c>
      <c r="E6620">
        <v>1</v>
      </c>
      <c r="F6620" t="s">
        <v>8054</v>
      </c>
    </row>
    <row r="6621" spans="1:6" x14ac:dyDescent="0.25">
      <c r="A6621" t="s">
        <v>6446</v>
      </c>
      <c r="B6621" t="s">
        <v>2684</v>
      </c>
      <c r="C6621" t="s">
        <v>2685</v>
      </c>
      <c r="D6621" t="str">
        <f>HYPERLINK("http://service.sap.com/sap/support/notes/1804293","1804293")</f>
        <v>1804293</v>
      </c>
      <c r="E6621">
        <v>3</v>
      </c>
      <c r="F6621" t="s">
        <v>8055</v>
      </c>
    </row>
    <row r="6622" spans="1:6" x14ac:dyDescent="0.25">
      <c r="A6622" t="s">
        <v>6446</v>
      </c>
      <c r="B6622" t="s">
        <v>2684</v>
      </c>
      <c r="C6622" t="s">
        <v>2685</v>
      </c>
      <c r="D6622" t="str">
        <f>HYPERLINK("http://service.sap.com/sap/support/notes/1806561","1806561")</f>
        <v>1806561</v>
      </c>
      <c r="E6622">
        <v>2</v>
      </c>
      <c r="F6622" t="s">
        <v>8056</v>
      </c>
    </row>
    <row r="6623" spans="1:6" x14ac:dyDescent="0.25">
      <c r="A6623" t="s">
        <v>6446</v>
      </c>
      <c r="B6623" t="s">
        <v>2684</v>
      </c>
      <c r="C6623" t="s">
        <v>2685</v>
      </c>
      <c r="D6623" t="str">
        <f>HYPERLINK("http://service.sap.com/sap/support/notes/1810822","1810822")</f>
        <v>1810822</v>
      </c>
      <c r="E6623">
        <v>1</v>
      </c>
      <c r="F6623" t="s">
        <v>8057</v>
      </c>
    </row>
    <row r="6624" spans="1:6" x14ac:dyDescent="0.25">
      <c r="A6624" t="s">
        <v>6446</v>
      </c>
      <c r="B6624" t="s">
        <v>2684</v>
      </c>
      <c r="C6624" t="s">
        <v>2685</v>
      </c>
      <c r="D6624" t="str">
        <f>HYPERLINK("http://service.sap.com/sap/support/notes/1812284","1812284")</f>
        <v>1812284</v>
      </c>
      <c r="E6624">
        <v>1</v>
      </c>
      <c r="F6624" t="s">
        <v>8058</v>
      </c>
    </row>
    <row r="6625" spans="1:6" x14ac:dyDescent="0.25">
      <c r="A6625" t="s">
        <v>6446</v>
      </c>
      <c r="B6625" t="s">
        <v>2684</v>
      </c>
      <c r="C6625" t="s">
        <v>2685</v>
      </c>
      <c r="D6625" t="str">
        <f>HYPERLINK("http://service.sap.com/sap/support/notes/1813781","1813781")</f>
        <v>1813781</v>
      </c>
      <c r="E6625">
        <v>2</v>
      </c>
      <c r="F6625" t="s">
        <v>8059</v>
      </c>
    </row>
    <row r="6626" spans="1:6" x14ac:dyDescent="0.25">
      <c r="A6626" t="s">
        <v>6446</v>
      </c>
      <c r="B6626" t="s">
        <v>2684</v>
      </c>
      <c r="C6626" t="s">
        <v>2685</v>
      </c>
      <c r="D6626" t="str">
        <f>HYPERLINK("http://service.sap.com/sap/support/notes/1817008","1817008")</f>
        <v>1817008</v>
      </c>
      <c r="E6626">
        <v>1</v>
      </c>
      <c r="F6626" t="s">
        <v>8060</v>
      </c>
    </row>
    <row r="6627" spans="1:6" x14ac:dyDescent="0.25">
      <c r="A6627" t="s">
        <v>6446</v>
      </c>
      <c r="B6627" t="s">
        <v>2684</v>
      </c>
      <c r="C6627" t="s">
        <v>2685</v>
      </c>
      <c r="D6627" t="str">
        <f>HYPERLINK("http://service.sap.com/sap/support/notes/1817111","1817111")</f>
        <v>1817111</v>
      </c>
      <c r="E6627">
        <v>2</v>
      </c>
      <c r="F6627" t="s">
        <v>8061</v>
      </c>
    </row>
    <row r="6628" spans="1:6" x14ac:dyDescent="0.25">
      <c r="A6628" t="s">
        <v>6446</v>
      </c>
      <c r="B6628" t="s">
        <v>2684</v>
      </c>
      <c r="C6628" t="s">
        <v>2685</v>
      </c>
      <c r="D6628" t="str">
        <f>HYPERLINK("http://service.sap.com/sap/support/notes/1817536","1817536")</f>
        <v>1817536</v>
      </c>
      <c r="E6628">
        <v>1</v>
      </c>
      <c r="F6628" t="s">
        <v>8062</v>
      </c>
    </row>
    <row r="6629" spans="1:6" x14ac:dyDescent="0.25">
      <c r="A6629" t="s">
        <v>6446</v>
      </c>
      <c r="B6629" t="s">
        <v>2684</v>
      </c>
      <c r="C6629" t="s">
        <v>2685</v>
      </c>
      <c r="D6629" t="str">
        <f>HYPERLINK("http://service.sap.com/sap/support/notes/1818602","1818602")</f>
        <v>1818602</v>
      </c>
      <c r="E6629">
        <v>1</v>
      </c>
      <c r="F6629" t="s">
        <v>8063</v>
      </c>
    </row>
    <row r="6630" spans="1:6" x14ac:dyDescent="0.25">
      <c r="A6630" t="s">
        <v>6446</v>
      </c>
      <c r="B6630" t="s">
        <v>2684</v>
      </c>
      <c r="C6630" t="s">
        <v>2685</v>
      </c>
      <c r="D6630" t="str">
        <f>HYPERLINK("http://service.sap.com/sap/support/notes/1819505","1819505")</f>
        <v>1819505</v>
      </c>
      <c r="E6630">
        <v>2</v>
      </c>
      <c r="F6630" t="s">
        <v>8064</v>
      </c>
    </row>
    <row r="6631" spans="1:6" x14ac:dyDescent="0.25">
      <c r="A6631" t="s">
        <v>6446</v>
      </c>
      <c r="B6631" t="s">
        <v>2684</v>
      </c>
      <c r="C6631" t="s">
        <v>2685</v>
      </c>
      <c r="D6631" t="str">
        <f>HYPERLINK("http://service.sap.com/sap/support/notes/1821418","1821418")</f>
        <v>1821418</v>
      </c>
      <c r="E6631">
        <v>1</v>
      </c>
      <c r="F6631" t="s">
        <v>8065</v>
      </c>
    </row>
    <row r="6632" spans="1:6" x14ac:dyDescent="0.25">
      <c r="A6632" t="s">
        <v>6446</v>
      </c>
      <c r="B6632" t="s">
        <v>2684</v>
      </c>
      <c r="C6632" t="s">
        <v>2685</v>
      </c>
      <c r="D6632" t="str">
        <f>HYPERLINK("http://service.sap.com/sap/support/notes/1823620","1823620")</f>
        <v>1823620</v>
      </c>
      <c r="E6632">
        <v>2</v>
      </c>
      <c r="F6632" t="s">
        <v>8066</v>
      </c>
    </row>
    <row r="6633" spans="1:6" x14ac:dyDescent="0.25">
      <c r="A6633" t="s">
        <v>6446</v>
      </c>
      <c r="B6633" t="s">
        <v>2684</v>
      </c>
      <c r="C6633" t="s">
        <v>2685</v>
      </c>
      <c r="D6633" t="str">
        <f>HYPERLINK("http://service.sap.com/sap/support/notes/1825733","1825733")</f>
        <v>1825733</v>
      </c>
      <c r="E6633">
        <v>2</v>
      </c>
      <c r="F6633" t="s">
        <v>8067</v>
      </c>
    </row>
    <row r="6634" spans="1:6" x14ac:dyDescent="0.25">
      <c r="A6634" t="s">
        <v>6446</v>
      </c>
      <c r="B6634" t="s">
        <v>2684</v>
      </c>
      <c r="C6634" t="s">
        <v>2685</v>
      </c>
      <c r="D6634" t="str">
        <f>HYPERLINK("http://service.sap.com/sap/support/notes/1826590","1826590")</f>
        <v>1826590</v>
      </c>
      <c r="E6634">
        <v>1</v>
      </c>
      <c r="F6634" t="s">
        <v>8068</v>
      </c>
    </row>
    <row r="6635" spans="1:6" x14ac:dyDescent="0.25">
      <c r="A6635" t="s">
        <v>6446</v>
      </c>
      <c r="B6635" t="s">
        <v>2684</v>
      </c>
      <c r="C6635" t="s">
        <v>2685</v>
      </c>
      <c r="D6635" t="str">
        <f>HYPERLINK("http://service.sap.com/sap/support/notes/1827583","1827583")</f>
        <v>1827583</v>
      </c>
      <c r="E6635">
        <v>3</v>
      </c>
      <c r="F6635" t="s">
        <v>8069</v>
      </c>
    </row>
    <row r="6636" spans="1:6" x14ac:dyDescent="0.25">
      <c r="A6636" t="s">
        <v>6446</v>
      </c>
      <c r="B6636" t="s">
        <v>2684</v>
      </c>
      <c r="C6636" t="s">
        <v>2685</v>
      </c>
      <c r="D6636" t="str">
        <f>HYPERLINK("http://service.sap.com/sap/support/notes/1829013","1829013")</f>
        <v>1829013</v>
      </c>
      <c r="E6636">
        <v>2</v>
      </c>
      <c r="F6636" t="s">
        <v>8070</v>
      </c>
    </row>
    <row r="6637" spans="1:6" x14ac:dyDescent="0.25">
      <c r="A6637" t="s">
        <v>6446</v>
      </c>
      <c r="B6637" t="s">
        <v>2716</v>
      </c>
      <c r="C6637" t="s">
        <v>183</v>
      </c>
      <c r="D6637" t="str">
        <f>HYPERLINK("http://service.sap.com/sap/support/notes/1819235","1819235")</f>
        <v>1819235</v>
      </c>
      <c r="E6637">
        <v>2</v>
      </c>
      <c r="F6637" t="s">
        <v>8071</v>
      </c>
    </row>
    <row r="6638" spans="1:6" x14ac:dyDescent="0.25">
      <c r="A6638" t="s">
        <v>6446</v>
      </c>
      <c r="B6638" t="s">
        <v>2719</v>
      </c>
      <c r="C6638" t="s">
        <v>978</v>
      </c>
      <c r="D6638" t="str">
        <f>HYPERLINK("http://service.sap.com/sap/support/notes/1657717","1657717")</f>
        <v>1657717</v>
      </c>
      <c r="E6638">
        <v>8</v>
      </c>
      <c r="F6638" t="s">
        <v>8072</v>
      </c>
    </row>
    <row r="6639" spans="1:6" x14ac:dyDescent="0.25">
      <c r="A6639" t="s">
        <v>6446</v>
      </c>
      <c r="B6639" t="s">
        <v>2722</v>
      </c>
      <c r="C6639" t="s">
        <v>2723</v>
      </c>
      <c r="D6639" t="str">
        <f>HYPERLINK("http://service.sap.com/sap/support/notes/1829741","1829741")</f>
        <v>1829741</v>
      </c>
      <c r="E6639">
        <v>1</v>
      </c>
      <c r="F6639" t="s">
        <v>8073</v>
      </c>
    </row>
    <row r="6640" spans="1:6" x14ac:dyDescent="0.25">
      <c r="A6640" t="s">
        <v>6446</v>
      </c>
      <c r="B6640" t="s">
        <v>2728</v>
      </c>
      <c r="C6640" t="s">
        <v>2729</v>
      </c>
      <c r="D6640" t="str">
        <f>HYPERLINK("http://service.sap.com/sap/support/notes/1799985","1799985")</f>
        <v>1799985</v>
      </c>
      <c r="E6640">
        <v>1</v>
      </c>
      <c r="F6640" t="s">
        <v>8074</v>
      </c>
    </row>
    <row r="6641" spans="1:6" x14ac:dyDescent="0.25">
      <c r="A6641" t="s">
        <v>6446</v>
      </c>
      <c r="B6641" t="s">
        <v>2728</v>
      </c>
      <c r="C6641" t="s">
        <v>2729</v>
      </c>
      <c r="D6641" t="str">
        <f>HYPERLINK("http://service.sap.com/sap/support/notes/1812326","1812326")</f>
        <v>1812326</v>
      </c>
      <c r="E6641">
        <v>4</v>
      </c>
      <c r="F6641" t="s">
        <v>8075</v>
      </c>
    </row>
    <row r="6642" spans="1:6" x14ac:dyDescent="0.25">
      <c r="A6642" t="s">
        <v>6446</v>
      </c>
      <c r="B6642" t="s">
        <v>2728</v>
      </c>
      <c r="C6642" t="s">
        <v>2729</v>
      </c>
      <c r="D6642" t="str">
        <f>HYPERLINK("http://service.sap.com/sap/support/notes/1823594","1823594")</f>
        <v>1823594</v>
      </c>
      <c r="E6642">
        <v>1</v>
      </c>
      <c r="F6642" t="s">
        <v>8076</v>
      </c>
    </row>
    <row r="6643" spans="1:6" x14ac:dyDescent="0.25">
      <c r="A6643" t="s">
        <v>6446</v>
      </c>
      <c r="B6643" t="s">
        <v>2737</v>
      </c>
      <c r="C6643" t="s">
        <v>2738</v>
      </c>
      <c r="D6643" t="str">
        <f>HYPERLINK("http://service.sap.com/sap/support/notes/1755290","1755290")</f>
        <v>1755290</v>
      </c>
      <c r="E6643">
        <v>2</v>
      </c>
      <c r="F6643" t="s">
        <v>8077</v>
      </c>
    </row>
    <row r="6644" spans="1:6" x14ac:dyDescent="0.25">
      <c r="A6644" t="s">
        <v>6446</v>
      </c>
      <c r="B6644" t="s">
        <v>2748</v>
      </c>
      <c r="C6644" t="s">
        <v>240</v>
      </c>
      <c r="D6644" t="str">
        <f>HYPERLINK("http://service.sap.com/sap/support/notes/529999","529999")</f>
        <v>529999</v>
      </c>
      <c r="E6644">
        <v>5</v>
      </c>
      <c r="F6644" t="s">
        <v>8078</v>
      </c>
    </row>
    <row r="6645" spans="1:6" x14ac:dyDescent="0.25">
      <c r="A6645" t="s">
        <v>6446</v>
      </c>
      <c r="B6645" t="s">
        <v>8079</v>
      </c>
      <c r="C6645" t="s">
        <v>8080</v>
      </c>
      <c r="D6645" t="str">
        <f>HYPERLINK("http://service.sap.com/sap/support/notes/1779735","1779735")</f>
        <v>1779735</v>
      </c>
      <c r="E6645">
        <v>4</v>
      </c>
      <c r="F6645" t="s">
        <v>8081</v>
      </c>
    </row>
    <row r="6646" spans="1:6" x14ac:dyDescent="0.25">
      <c r="A6646" t="s">
        <v>6446</v>
      </c>
      <c r="B6646" t="s">
        <v>2749</v>
      </c>
      <c r="C6646" t="s">
        <v>1588</v>
      </c>
    </row>
    <row r="6647" spans="1:6" x14ac:dyDescent="0.25">
      <c r="A6647" t="s">
        <v>6446</v>
      </c>
      <c r="B6647" t="s">
        <v>8082</v>
      </c>
      <c r="C6647" t="s">
        <v>8083</v>
      </c>
      <c r="D6647" t="str">
        <f>HYPERLINK("http://service.sap.com/sap/support/notes/1736486","1736486")</f>
        <v>1736486</v>
      </c>
      <c r="E6647">
        <v>3</v>
      </c>
      <c r="F6647" t="s">
        <v>8084</v>
      </c>
    </row>
    <row r="6648" spans="1:6" x14ac:dyDescent="0.25">
      <c r="A6648" t="s">
        <v>6446</v>
      </c>
      <c r="B6648" t="s">
        <v>2750</v>
      </c>
      <c r="C6648" t="s">
        <v>2751</v>
      </c>
      <c r="D6648" t="str">
        <f>HYPERLINK("http://service.sap.com/sap/support/notes/917717","917717")</f>
        <v>917717</v>
      </c>
      <c r="E6648">
        <v>6</v>
      </c>
      <c r="F6648" t="s">
        <v>8085</v>
      </c>
    </row>
    <row r="6649" spans="1:6" x14ac:dyDescent="0.25">
      <c r="A6649" t="s">
        <v>6446</v>
      </c>
      <c r="B6649" t="s">
        <v>2750</v>
      </c>
      <c r="C6649" t="s">
        <v>2751</v>
      </c>
      <c r="D6649" t="str">
        <f>HYPERLINK("http://service.sap.com/sap/support/notes/1713895","1713895")</f>
        <v>1713895</v>
      </c>
      <c r="E6649">
        <v>3</v>
      </c>
      <c r="F6649" t="s">
        <v>8086</v>
      </c>
    </row>
    <row r="6650" spans="1:6" x14ac:dyDescent="0.25">
      <c r="A6650" t="s">
        <v>6446</v>
      </c>
      <c r="B6650" t="s">
        <v>2750</v>
      </c>
      <c r="C6650" t="s">
        <v>2751</v>
      </c>
      <c r="D6650" t="str">
        <f>HYPERLINK("http://service.sap.com/sap/support/notes/1821629","1821629")</f>
        <v>1821629</v>
      </c>
      <c r="E6650">
        <v>2</v>
      </c>
      <c r="F6650" t="s">
        <v>8087</v>
      </c>
    </row>
    <row r="6651" spans="1:6" x14ac:dyDescent="0.25">
      <c r="A6651" t="s">
        <v>6446</v>
      </c>
      <c r="B6651" t="s">
        <v>2755</v>
      </c>
      <c r="C6651" t="s">
        <v>2756</v>
      </c>
      <c r="D6651" t="str">
        <f>HYPERLINK("http://service.sap.com/sap/support/notes/1814003","1814003")</f>
        <v>1814003</v>
      </c>
      <c r="E6651">
        <v>1</v>
      </c>
      <c r="F6651" t="s">
        <v>8088</v>
      </c>
    </row>
    <row r="6652" spans="1:6" x14ac:dyDescent="0.25">
      <c r="A6652" t="s">
        <v>6446</v>
      </c>
      <c r="B6652" t="s">
        <v>2755</v>
      </c>
      <c r="C6652" t="s">
        <v>2756</v>
      </c>
      <c r="D6652" t="str">
        <f>HYPERLINK("http://service.sap.com/sap/support/notes/1817418","1817418")</f>
        <v>1817418</v>
      </c>
      <c r="E6652">
        <v>1</v>
      </c>
      <c r="F6652" t="s">
        <v>8089</v>
      </c>
    </row>
    <row r="6653" spans="1:6" x14ac:dyDescent="0.25">
      <c r="A6653" t="s">
        <v>6446</v>
      </c>
      <c r="B6653" t="s">
        <v>2755</v>
      </c>
      <c r="C6653" t="s">
        <v>2756</v>
      </c>
      <c r="D6653" t="str">
        <f>HYPERLINK("http://service.sap.com/sap/support/notes/1823461","1823461")</f>
        <v>1823461</v>
      </c>
      <c r="E6653">
        <v>2</v>
      </c>
      <c r="F6653" t="s">
        <v>8090</v>
      </c>
    </row>
    <row r="6654" spans="1:6" x14ac:dyDescent="0.25">
      <c r="A6654" t="s">
        <v>6446</v>
      </c>
      <c r="B6654" t="s">
        <v>2767</v>
      </c>
      <c r="C6654" t="s">
        <v>2768</v>
      </c>
      <c r="D6654" t="str">
        <f>HYPERLINK("http://service.sap.com/sap/support/notes/1788604","1788604")</f>
        <v>1788604</v>
      </c>
      <c r="E6654">
        <v>1</v>
      </c>
      <c r="F6654" t="s">
        <v>8091</v>
      </c>
    </row>
    <row r="6655" spans="1:6" x14ac:dyDescent="0.25">
      <c r="A6655" t="s">
        <v>6446</v>
      </c>
      <c r="B6655" t="s">
        <v>2770</v>
      </c>
      <c r="C6655" t="s">
        <v>2771</v>
      </c>
      <c r="D6655" t="str">
        <f>HYPERLINK("http://service.sap.com/sap/support/notes/1795470","1795470")</f>
        <v>1795470</v>
      </c>
      <c r="E6655">
        <v>1</v>
      </c>
      <c r="F6655" t="s">
        <v>8092</v>
      </c>
    </row>
    <row r="6656" spans="1:6" x14ac:dyDescent="0.25">
      <c r="A6656" t="s">
        <v>6446</v>
      </c>
      <c r="B6656" t="s">
        <v>2773</v>
      </c>
      <c r="C6656" t="s">
        <v>2774</v>
      </c>
      <c r="D6656" t="str">
        <f>HYPERLINK("http://service.sap.com/sap/support/notes/1690641","1690641")</f>
        <v>1690641</v>
      </c>
      <c r="E6656">
        <v>7</v>
      </c>
      <c r="F6656" t="s">
        <v>8093</v>
      </c>
    </row>
    <row r="6657" spans="1:6" x14ac:dyDescent="0.25">
      <c r="A6657" t="s">
        <v>6446</v>
      </c>
      <c r="B6657" t="s">
        <v>2773</v>
      </c>
      <c r="C6657" t="s">
        <v>2774</v>
      </c>
      <c r="D6657" t="str">
        <f>HYPERLINK("http://service.sap.com/sap/support/notes/1754466","1754466")</f>
        <v>1754466</v>
      </c>
      <c r="E6657">
        <v>10</v>
      </c>
      <c r="F6657" t="s">
        <v>8094</v>
      </c>
    </row>
    <row r="6658" spans="1:6" x14ac:dyDescent="0.25">
      <c r="A6658" t="s">
        <v>6446</v>
      </c>
      <c r="B6658" t="s">
        <v>2779</v>
      </c>
      <c r="C6658" t="s">
        <v>2780</v>
      </c>
      <c r="D6658" t="str">
        <f>HYPERLINK("http://service.sap.com/sap/support/notes/1799512","1799512")</f>
        <v>1799512</v>
      </c>
      <c r="E6658">
        <v>1</v>
      </c>
      <c r="F6658" t="s">
        <v>8095</v>
      </c>
    </row>
    <row r="6659" spans="1:6" x14ac:dyDescent="0.25">
      <c r="A6659" t="s">
        <v>6446</v>
      </c>
      <c r="B6659" t="s">
        <v>2779</v>
      </c>
      <c r="C6659" t="s">
        <v>2780</v>
      </c>
      <c r="D6659" t="str">
        <f>HYPERLINK("http://service.sap.com/sap/support/notes/1802408","1802408")</f>
        <v>1802408</v>
      </c>
      <c r="E6659">
        <v>1</v>
      </c>
      <c r="F6659" t="s">
        <v>8096</v>
      </c>
    </row>
    <row r="6660" spans="1:6" x14ac:dyDescent="0.25">
      <c r="A6660" t="s">
        <v>6446</v>
      </c>
      <c r="B6660" t="s">
        <v>2779</v>
      </c>
      <c r="C6660" t="s">
        <v>2780</v>
      </c>
      <c r="D6660" t="str">
        <f>HYPERLINK("http://service.sap.com/sap/support/notes/1815806","1815806")</f>
        <v>1815806</v>
      </c>
      <c r="E6660">
        <v>1</v>
      </c>
      <c r="F6660" t="s">
        <v>8097</v>
      </c>
    </row>
    <row r="6661" spans="1:6" x14ac:dyDescent="0.25">
      <c r="A6661" t="s">
        <v>6446</v>
      </c>
      <c r="B6661" t="s">
        <v>2789</v>
      </c>
      <c r="C6661" t="s">
        <v>2790</v>
      </c>
    </row>
    <row r="6662" spans="1:6" x14ac:dyDescent="0.25">
      <c r="A6662" t="s">
        <v>6446</v>
      </c>
      <c r="B6662" t="s">
        <v>2791</v>
      </c>
      <c r="C6662" t="s">
        <v>2792</v>
      </c>
      <c r="D6662" t="str">
        <f>HYPERLINK("http://service.sap.com/sap/support/notes/1775940","1775940")</f>
        <v>1775940</v>
      </c>
      <c r="E6662">
        <v>1</v>
      </c>
      <c r="F6662" t="s">
        <v>8098</v>
      </c>
    </row>
    <row r="6663" spans="1:6" x14ac:dyDescent="0.25">
      <c r="A6663" t="s">
        <v>6446</v>
      </c>
      <c r="B6663" t="s">
        <v>2791</v>
      </c>
      <c r="C6663" t="s">
        <v>2792</v>
      </c>
      <c r="D6663" t="str">
        <f>HYPERLINK("http://service.sap.com/sap/support/notes/1817844","1817844")</f>
        <v>1817844</v>
      </c>
      <c r="E6663">
        <v>1</v>
      </c>
      <c r="F6663" t="s">
        <v>8099</v>
      </c>
    </row>
    <row r="6664" spans="1:6" x14ac:dyDescent="0.25">
      <c r="A6664" t="s">
        <v>6446</v>
      </c>
      <c r="B6664" t="s">
        <v>2794</v>
      </c>
      <c r="C6664" t="s">
        <v>2795</v>
      </c>
      <c r="D6664" t="str">
        <f>HYPERLINK("http://service.sap.com/sap/support/notes/1817068","1817068")</f>
        <v>1817068</v>
      </c>
      <c r="E6664">
        <v>1</v>
      </c>
      <c r="F6664" t="s">
        <v>8100</v>
      </c>
    </row>
    <row r="6665" spans="1:6" x14ac:dyDescent="0.25">
      <c r="A6665" t="s">
        <v>6446</v>
      </c>
      <c r="B6665" t="s">
        <v>8101</v>
      </c>
      <c r="C6665" t="s">
        <v>8102</v>
      </c>
      <c r="D6665" t="str">
        <f>HYPERLINK("http://service.sap.com/sap/support/notes/1744865","1744865")</f>
        <v>1744865</v>
      </c>
      <c r="E6665">
        <v>2</v>
      </c>
      <c r="F6665" t="s">
        <v>8103</v>
      </c>
    </row>
    <row r="6666" spans="1:6" x14ac:dyDescent="0.25">
      <c r="A6666" t="s">
        <v>6446</v>
      </c>
      <c r="B6666" t="s">
        <v>2800</v>
      </c>
      <c r="C6666" t="s">
        <v>2801</v>
      </c>
      <c r="D6666" t="str">
        <f>HYPERLINK("http://service.sap.com/sap/support/notes/1807957","1807957")</f>
        <v>1807957</v>
      </c>
      <c r="E6666">
        <v>1</v>
      </c>
      <c r="F6666" t="s">
        <v>8104</v>
      </c>
    </row>
    <row r="6667" spans="1:6" x14ac:dyDescent="0.25">
      <c r="A6667" t="s">
        <v>6446</v>
      </c>
      <c r="B6667" t="s">
        <v>2810</v>
      </c>
      <c r="C6667" t="s">
        <v>2811</v>
      </c>
      <c r="D6667" t="str">
        <f>HYPERLINK("http://service.sap.com/sap/support/notes/1739231","1739231")</f>
        <v>1739231</v>
      </c>
      <c r="E6667">
        <v>2</v>
      </c>
      <c r="F6667" t="s">
        <v>8105</v>
      </c>
    </row>
    <row r="6668" spans="1:6" x14ac:dyDescent="0.25">
      <c r="A6668" t="s">
        <v>6446</v>
      </c>
      <c r="B6668" t="s">
        <v>2810</v>
      </c>
      <c r="C6668" t="s">
        <v>2811</v>
      </c>
      <c r="D6668" t="str">
        <f>HYPERLINK("http://service.sap.com/sap/support/notes/1807794","1807794")</f>
        <v>1807794</v>
      </c>
      <c r="E6668">
        <v>1</v>
      </c>
      <c r="F6668" t="s">
        <v>8106</v>
      </c>
    </row>
    <row r="6669" spans="1:6" x14ac:dyDescent="0.25">
      <c r="A6669" t="s">
        <v>6446</v>
      </c>
      <c r="B6669" t="s">
        <v>2810</v>
      </c>
      <c r="C6669" t="s">
        <v>2811</v>
      </c>
      <c r="D6669" t="str">
        <f>HYPERLINK("http://service.sap.com/sap/support/notes/1809422","1809422")</f>
        <v>1809422</v>
      </c>
      <c r="E6669">
        <v>1</v>
      </c>
      <c r="F6669" t="s">
        <v>8107</v>
      </c>
    </row>
    <row r="6670" spans="1:6" x14ac:dyDescent="0.25">
      <c r="A6670" t="s">
        <v>6446</v>
      </c>
      <c r="B6670" t="s">
        <v>2810</v>
      </c>
      <c r="C6670" t="s">
        <v>2811</v>
      </c>
      <c r="D6670" t="str">
        <f>HYPERLINK("http://service.sap.com/sap/support/notes/1817529","1817529")</f>
        <v>1817529</v>
      </c>
      <c r="E6670">
        <v>1</v>
      </c>
      <c r="F6670" t="s">
        <v>8108</v>
      </c>
    </row>
    <row r="6671" spans="1:6" x14ac:dyDescent="0.25">
      <c r="A6671" t="s">
        <v>6446</v>
      </c>
      <c r="B6671" t="s">
        <v>2821</v>
      </c>
      <c r="C6671" t="s">
        <v>2822</v>
      </c>
      <c r="D6671" t="str">
        <f>HYPERLINK("http://service.sap.com/sap/support/notes/1815983","1815983")</f>
        <v>1815983</v>
      </c>
      <c r="E6671">
        <v>1</v>
      </c>
      <c r="F6671" t="s">
        <v>8109</v>
      </c>
    </row>
    <row r="6672" spans="1:6" x14ac:dyDescent="0.25">
      <c r="A6672" t="s">
        <v>6446</v>
      </c>
      <c r="B6672" t="s">
        <v>2824</v>
      </c>
      <c r="C6672" t="s">
        <v>2825</v>
      </c>
    </row>
    <row r="6673" spans="1:6" x14ac:dyDescent="0.25">
      <c r="A6673" t="s">
        <v>6446</v>
      </c>
      <c r="B6673" t="s">
        <v>2832</v>
      </c>
      <c r="C6673" t="s">
        <v>1588</v>
      </c>
      <c r="D6673" t="str">
        <f>HYPERLINK("http://service.sap.com/sap/support/notes/421571","421571")</f>
        <v>421571</v>
      </c>
      <c r="E6673">
        <v>10</v>
      </c>
      <c r="F6673" t="s">
        <v>5680</v>
      </c>
    </row>
    <row r="6674" spans="1:6" x14ac:dyDescent="0.25">
      <c r="A6674" t="s">
        <v>6446</v>
      </c>
      <c r="B6674" t="s">
        <v>2833</v>
      </c>
      <c r="C6674" t="s">
        <v>2834</v>
      </c>
      <c r="D6674" t="str">
        <f>HYPERLINK("http://service.sap.com/sap/support/notes/1710858","1710858")</f>
        <v>1710858</v>
      </c>
      <c r="E6674">
        <v>2</v>
      </c>
      <c r="F6674" t="s">
        <v>8110</v>
      </c>
    </row>
    <row r="6675" spans="1:6" x14ac:dyDescent="0.25">
      <c r="A6675" t="s">
        <v>6446</v>
      </c>
      <c r="B6675" t="s">
        <v>2833</v>
      </c>
      <c r="C6675" t="s">
        <v>2834</v>
      </c>
      <c r="D6675" t="str">
        <f>HYPERLINK("http://service.sap.com/sap/support/notes/1783603","1783603")</f>
        <v>1783603</v>
      </c>
      <c r="E6675">
        <v>1</v>
      </c>
      <c r="F6675" t="s">
        <v>8111</v>
      </c>
    </row>
    <row r="6676" spans="1:6" x14ac:dyDescent="0.25">
      <c r="A6676" t="s">
        <v>6446</v>
      </c>
      <c r="B6676" t="s">
        <v>2838</v>
      </c>
      <c r="C6676" t="s">
        <v>2839</v>
      </c>
    </row>
    <row r="6677" spans="1:6" x14ac:dyDescent="0.25">
      <c r="A6677" t="s">
        <v>6446</v>
      </c>
      <c r="B6677" t="s">
        <v>8112</v>
      </c>
      <c r="C6677" t="s">
        <v>8113</v>
      </c>
      <c r="D6677" t="str">
        <f>HYPERLINK("http://service.sap.com/sap/support/notes/1726518","1726518")</f>
        <v>1726518</v>
      </c>
      <c r="E6677">
        <v>1</v>
      </c>
      <c r="F6677" t="s">
        <v>8114</v>
      </c>
    </row>
    <row r="6678" spans="1:6" x14ac:dyDescent="0.25">
      <c r="A6678" t="s">
        <v>6446</v>
      </c>
      <c r="B6678" t="s">
        <v>2843</v>
      </c>
      <c r="C6678" t="s">
        <v>2844</v>
      </c>
    </row>
    <row r="6679" spans="1:6" x14ac:dyDescent="0.25">
      <c r="A6679" t="s">
        <v>6446</v>
      </c>
      <c r="B6679" t="s">
        <v>5687</v>
      </c>
      <c r="C6679" t="s">
        <v>2878</v>
      </c>
      <c r="D6679" t="str">
        <f>HYPERLINK("http://service.sap.com/sap/support/notes/1817025","1817025")</f>
        <v>1817025</v>
      </c>
      <c r="E6679">
        <v>1</v>
      </c>
      <c r="F6679" t="s">
        <v>8115</v>
      </c>
    </row>
    <row r="6680" spans="1:6" x14ac:dyDescent="0.25">
      <c r="A6680" t="s">
        <v>6446</v>
      </c>
      <c r="B6680" t="s">
        <v>2847</v>
      </c>
      <c r="C6680" t="s">
        <v>2848</v>
      </c>
    </row>
    <row r="6681" spans="1:6" x14ac:dyDescent="0.25">
      <c r="A6681" t="s">
        <v>6446</v>
      </c>
      <c r="B6681" t="s">
        <v>2850</v>
      </c>
      <c r="C6681" t="s">
        <v>2851</v>
      </c>
      <c r="D6681" t="str">
        <f>HYPERLINK("http://service.sap.com/sap/support/notes/1800315","1800315")</f>
        <v>1800315</v>
      </c>
      <c r="E6681">
        <v>2</v>
      </c>
      <c r="F6681" t="s">
        <v>8116</v>
      </c>
    </row>
    <row r="6682" spans="1:6" x14ac:dyDescent="0.25">
      <c r="A6682" t="s">
        <v>6446</v>
      </c>
      <c r="B6682" t="s">
        <v>2850</v>
      </c>
      <c r="C6682" t="s">
        <v>2851</v>
      </c>
      <c r="D6682" t="str">
        <f>HYPERLINK("http://service.sap.com/sap/support/notes/1806027","1806027")</f>
        <v>1806027</v>
      </c>
      <c r="E6682">
        <v>1</v>
      </c>
      <c r="F6682" t="s">
        <v>8117</v>
      </c>
    </row>
    <row r="6683" spans="1:6" x14ac:dyDescent="0.25">
      <c r="A6683" t="s">
        <v>6446</v>
      </c>
      <c r="B6683" t="s">
        <v>2850</v>
      </c>
      <c r="C6683" t="s">
        <v>2851</v>
      </c>
      <c r="D6683" t="str">
        <f>HYPERLINK("http://service.sap.com/sap/support/notes/1821098","1821098")</f>
        <v>1821098</v>
      </c>
      <c r="E6683">
        <v>1</v>
      </c>
      <c r="F6683" t="s">
        <v>8118</v>
      </c>
    </row>
    <row r="6684" spans="1:6" x14ac:dyDescent="0.25">
      <c r="A6684" t="s">
        <v>6446</v>
      </c>
      <c r="B6684" t="s">
        <v>2872</v>
      </c>
      <c r="C6684" t="s">
        <v>2873</v>
      </c>
      <c r="D6684" t="str">
        <f>HYPERLINK("http://service.sap.com/sap/support/notes/1823549","1823549")</f>
        <v>1823549</v>
      </c>
      <c r="E6684">
        <v>1</v>
      </c>
      <c r="F6684" t="s">
        <v>8119</v>
      </c>
    </row>
    <row r="6685" spans="1:6" x14ac:dyDescent="0.25">
      <c r="A6685" t="s">
        <v>6446</v>
      </c>
      <c r="B6685" t="s">
        <v>8120</v>
      </c>
      <c r="C6685" t="s">
        <v>8121</v>
      </c>
      <c r="D6685" t="str">
        <f>HYPERLINK("http://service.sap.com/sap/support/notes/1787562","1787562")</f>
        <v>1787562</v>
      </c>
      <c r="E6685">
        <v>2</v>
      </c>
      <c r="F6685" t="s">
        <v>8122</v>
      </c>
    </row>
    <row r="6686" spans="1:6" x14ac:dyDescent="0.25">
      <c r="A6686" t="s">
        <v>6446</v>
      </c>
      <c r="B6686" t="s">
        <v>2877</v>
      </c>
      <c r="C6686" t="s">
        <v>2878</v>
      </c>
      <c r="D6686" t="str">
        <f>HYPERLINK("http://service.sap.com/sap/support/notes/1816497","1816497")</f>
        <v>1816497</v>
      </c>
      <c r="E6686">
        <v>1</v>
      </c>
      <c r="F6686" t="s">
        <v>8123</v>
      </c>
    </row>
    <row r="6687" spans="1:6" x14ac:dyDescent="0.25">
      <c r="A6687" t="s">
        <v>6446</v>
      </c>
      <c r="B6687" t="s">
        <v>2883</v>
      </c>
      <c r="C6687" t="s">
        <v>2884</v>
      </c>
      <c r="D6687" t="str">
        <f>HYPERLINK("http://service.sap.com/sap/support/notes/1787948","1787948")</f>
        <v>1787948</v>
      </c>
      <c r="E6687">
        <v>1</v>
      </c>
      <c r="F6687" t="s">
        <v>8124</v>
      </c>
    </row>
    <row r="6688" spans="1:6" x14ac:dyDescent="0.25">
      <c r="A6688" t="s">
        <v>6446</v>
      </c>
      <c r="B6688" t="s">
        <v>2883</v>
      </c>
      <c r="C6688" t="s">
        <v>2884</v>
      </c>
      <c r="D6688" t="str">
        <f>HYPERLINK("http://service.sap.com/sap/support/notes/1812901","1812901")</f>
        <v>1812901</v>
      </c>
      <c r="E6688">
        <v>1</v>
      </c>
      <c r="F6688" t="s">
        <v>8125</v>
      </c>
    </row>
    <row r="6689" spans="1:6" x14ac:dyDescent="0.25">
      <c r="A6689" t="s">
        <v>6446</v>
      </c>
      <c r="B6689" t="s">
        <v>2883</v>
      </c>
      <c r="C6689" t="s">
        <v>2884</v>
      </c>
      <c r="D6689" t="str">
        <f>HYPERLINK("http://service.sap.com/sap/support/notes/1816030","1816030")</f>
        <v>1816030</v>
      </c>
      <c r="E6689">
        <v>1</v>
      </c>
      <c r="F6689" t="s">
        <v>8126</v>
      </c>
    </row>
    <row r="6690" spans="1:6" x14ac:dyDescent="0.25">
      <c r="A6690" t="s">
        <v>6446</v>
      </c>
      <c r="B6690" t="s">
        <v>2886</v>
      </c>
      <c r="C6690" t="s">
        <v>2887</v>
      </c>
      <c r="D6690" t="str">
        <f>HYPERLINK("http://service.sap.com/sap/support/notes/1240113","1240113")</f>
        <v>1240113</v>
      </c>
      <c r="E6690">
        <v>3</v>
      </c>
      <c r="F6690" t="s">
        <v>8127</v>
      </c>
    </row>
    <row r="6691" spans="1:6" x14ac:dyDescent="0.25">
      <c r="A6691" t="s">
        <v>6446</v>
      </c>
      <c r="B6691" t="s">
        <v>2886</v>
      </c>
      <c r="C6691" t="s">
        <v>2887</v>
      </c>
      <c r="D6691" t="str">
        <f>HYPERLINK("http://service.sap.com/sap/support/notes/1700387","1700387")</f>
        <v>1700387</v>
      </c>
      <c r="E6691">
        <v>2</v>
      </c>
      <c r="F6691" t="s">
        <v>8128</v>
      </c>
    </row>
    <row r="6692" spans="1:6" x14ac:dyDescent="0.25">
      <c r="A6692" t="s">
        <v>6446</v>
      </c>
      <c r="B6692" t="s">
        <v>2886</v>
      </c>
      <c r="C6692" t="s">
        <v>2887</v>
      </c>
      <c r="D6692" t="str">
        <f>HYPERLINK("http://service.sap.com/sap/support/notes/1797171","1797171")</f>
        <v>1797171</v>
      </c>
      <c r="E6692">
        <v>1</v>
      </c>
      <c r="F6692" t="s">
        <v>8129</v>
      </c>
    </row>
    <row r="6693" spans="1:6" x14ac:dyDescent="0.25">
      <c r="A6693" t="s">
        <v>6446</v>
      </c>
      <c r="B6693" t="s">
        <v>2886</v>
      </c>
      <c r="C6693" t="s">
        <v>2887</v>
      </c>
      <c r="D6693" t="str">
        <f>HYPERLINK("http://service.sap.com/sap/support/notes/1799223","1799223")</f>
        <v>1799223</v>
      </c>
      <c r="E6693">
        <v>1</v>
      </c>
      <c r="F6693" t="s">
        <v>8130</v>
      </c>
    </row>
    <row r="6694" spans="1:6" x14ac:dyDescent="0.25">
      <c r="A6694" t="s">
        <v>6446</v>
      </c>
      <c r="B6694" t="s">
        <v>2886</v>
      </c>
      <c r="C6694" t="s">
        <v>2887</v>
      </c>
      <c r="D6694" t="str">
        <f>HYPERLINK("http://service.sap.com/sap/support/notes/1809433","1809433")</f>
        <v>1809433</v>
      </c>
      <c r="E6694">
        <v>1</v>
      </c>
      <c r="F6694" t="s">
        <v>8131</v>
      </c>
    </row>
    <row r="6695" spans="1:6" x14ac:dyDescent="0.25">
      <c r="A6695" t="s">
        <v>6446</v>
      </c>
      <c r="B6695" t="s">
        <v>2886</v>
      </c>
      <c r="C6695" t="s">
        <v>2887</v>
      </c>
      <c r="D6695" t="str">
        <f>HYPERLINK("http://service.sap.com/sap/support/notes/1816140","1816140")</f>
        <v>1816140</v>
      </c>
      <c r="E6695">
        <v>1</v>
      </c>
      <c r="F6695" t="s">
        <v>8132</v>
      </c>
    </row>
    <row r="6696" spans="1:6" x14ac:dyDescent="0.25">
      <c r="A6696" t="s">
        <v>6446</v>
      </c>
      <c r="B6696" t="s">
        <v>2886</v>
      </c>
      <c r="C6696" t="s">
        <v>2887</v>
      </c>
      <c r="D6696" t="str">
        <f>HYPERLINK("http://service.sap.com/sap/support/notes/1817318","1817318")</f>
        <v>1817318</v>
      </c>
      <c r="E6696">
        <v>1</v>
      </c>
      <c r="F6696" t="s">
        <v>8133</v>
      </c>
    </row>
    <row r="6697" spans="1:6" x14ac:dyDescent="0.25">
      <c r="A6697" t="s">
        <v>6446</v>
      </c>
      <c r="B6697" t="s">
        <v>2886</v>
      </c>
      <c r="C6697" t="s">
        <v>2887</v>
      </c>
      <c r="D6697" t="str">
        <f>HYPERLINK("http://service.sap.com/sap/support/notes/1823434","1823434")</f>
        <v>1823434</v>
      </c>
      <c r="E6697">
        <v>1</v>
      </c>
      <c r="F6697" t="s">
        <v>8134</v>
      </c>
    </row>
    <row r="6698" spans="1:6" x14ac:dyDescent="0.25">
      <c r="A6698" t="s">
        <v>6446</v>
      </c>
      <c r="B6698" t="s">
        <v>2898</v>
      </c>
      <c r="C6698" t="s">
        <v>2899</v>
      </c>
      <c r="D6698" t="str">
        <f>HYPERLINK("http://service.sap.com/sap/support/notes/1803773","1803773")</f>
        <v>1803773</v>
      </c>
    </row>
    <row r="6699" spans="1:6" x14ac:dyDescent="0.25">
      <c r="A6699" t="s">
        <v>6446</v>
      </c>
      <c r="B6699" t="s">
        <v>8135</v>
      </c>
      <c r="C6699" t="s">
        <v>8136</v>
      </c>
      <c r="D6699" t="str">
        <f>HYPERLINK("http://service.sap.com/sap/support/notes/1805777","1805777")</f>
        <v>1805777</v>
      </c>
      <c r="E6699">
        <v>2</v>
      </c>
      <c r="F6699" t="s">
        <v>8137</v>
      </c>
    </row>
    <row r="6700" spans="1:6" x14ac:dyDescent="0.25">
      <c r="A6700" t="s">
        <v>6446</v>
      </c>
      <c r="B6700" t="s">
        <v>2907</v>
      </c>
      <c r="C6700" t="s">
        <v>824</v>
      </c>
      <c r="D6700" t="str">
        <f>HYPERLINK("http://service.sap.com/sap/support/notes/1707864","1707864")</f>
        <v>1707864</v>
      </c>
      <c r="E6700">
        <v>3</v>
      </c>
      <c r="F6700" t="s">
        <v>8138</v>
      </c>
    </row>
    <row r="6701" spans="1:6" x14ac:dyDescent="0.25">
      <c r="A6701" t="s">
        <v>6446</v>
      </c>
      <c r="B6701" t="s">
        <v>2907</v>
      </c>
      <c r="C6701" t="s">
        <v>824</v>
      </c>
      <c r="D6701" t="str">
        <f>HYPERLINK("http://service.sap.com/sap/support/notes/1818114","1818114")</f>
        <v>1818114</v>
      </c>
      <c r="E6701">
        <v>1</v>
      </c>
      <c r="F6701" t="s">
        <v>8139</v>
      </c>
    </row>
    <row r="6702" spans="1:6" x14ac:dyDescent="0.25">
      <c r="A6702" t="s">
        <v>6446</v>
      </c>
      <c r="B6702" t="s">
        <v>2909</v>
      </c>
      <c r="C6702" t="s">
        <v>2910</v>
      </c>
      <c r="D6702" t="str">
        <f>HYPERLINK("http://service.sap.com/sap/support/notes/1800663","1800663")</f>
        <v>1800663</v>
      </c>
      <c r="E6702">
        <v>1</v>
      </c>
      <c r="F6702" t="s">
        <v>2911</v>
      </c>
    </row>
    <row r="6703" spans="1:6" x14ac:dyDescent="0.25">
      <c r="A6703" t="s">
        <v>6446</v>
      </c>
      <c r="B6703" t="s">
        <v>2909</v>
      </c>
      <c r="C6703" t="s">
        <v>2910</v>
      </c>
      <c r="D6703" t="str">
        <f>HYPERLINK("http://service.sap.com/sap/support/notes/1809538","1809538")</f>
        <v>1809538</v>
      </c>
      <c r="E6703">
        <v>1</v>
      </c>
      <c r="F6703" t="s">
        <v>8140</v>
      </c>
    </row>
    <row r="6704" spans="1:6" x14ac:dyDescent="0.25">
      <c r="A6704" t="s">
        <v>6446</v>
      </c>
      <c r="B6704" t="s">
        <v>2912</v>
      </c>
      <c r="C6704" t="s">
        <v>2913</v>
      </c>
      <c r="D6704" t="str">
        <f>HYPERLINK("http://service.sap.com/sap/support/notes/1806897","1806897")</f>
        <v>1806897</v>
      </c>
      <c r="E6704">
        <v>3</v>
      </c>
      <c r="F6704" t="s">
        <v>8141</v>
      </c>
    </row>
    <row r="6705" spans="1:6" x14ac:dyDescent="0.25">
      <c r="A6705" t="s">
        <v>6446</v>
      </c>
      <c r="B6705" t="s">
        <v>2912</v>
      </c>
      <c r="C6705" t="s">
        <v>2913</v>
      </c>
      <c r="D6705" t="str">
        <f>HYPERLINK("http://service.sap.com/sap/support/notes/1813780","1813780")</f>
        <v>1813780</v>
      </c>
      <c r="E6705">
        <v>1</v>
      </c>
      <c r="F6705" t="s">
        <v>8142</v>
      </c>
    </row>
    <row r="6706" spans="1:6" x14ac:dyDescent="0.25">
      <c r="A6706" t="s">
        <v>6446</v>
      </c>
      <c r="B6706" t="s">
        <v>2912</v>
      </c>
      <c r="C6706" t="s">
        <v>2913</v>
      </c>
      <c r="D6706" t="str">
        <f>HYPERLINK("http://service.sap.com/sap/support/notes/1814890","1814890")</f>
        <v>1814890</v>
      </c>
      <c r="E6706">
        <v>2</v>
      </c>
      <c r="F6706" t="s">
        <v>8143</v>
      </c>
    </row>
    <row r="6707" spans="1:6" x14ac:dyDescent="0.25">
      <c r="A6707" t="s">
        <v>6446</v>
      </c>
      <c r="B6707" t="s">
        <v>2912</v>
      </c>
      <c r="C6707" t="s">
        <v>2913</v>
      </c>
      <c r="D6707" t="str">
        <f>HYPERLINK("http://service.sap.com/sap/support/notes/1825018","1825018")</f>
        <v>1825018</v>
      </c>
      <c r="E6707">
        <v>1</v>
      </c>
      <c r="F6707" t="s">
        <v>8144</v>
      </c>
    </row>
    <row r="6708" spans="1:6" x14ac:dyDescent="0.25">
      <c r="A6708" t="s">
        <v>6446</v>
      </c>
      <c r="B6708" t="s">
        <v>2912</v>
      </c>
      <c r="C6708" t="s">
        <v>2913</v>
      </c>
      <c r="D6708" t="str">
        <f>HYPERLINK("http://service.sap.com/sap/support/notes/1827512","1827512")</f>
        <v>1827512</v>
      </c>
      <c r="E6708">
        <v>1</v>
      </c>
      <c r="F6708" t="s">
        <v>8145</v>
      </c>
    </row>
    <row r="6709" spans="1:6" x14ac:dyDescent="0.25">
      <c r="A6709" t="s">
        <v>6446</v>
      </c>
      <c r="B6709" t="s">
        <v>2918</v>
      </c>
      <c r="C6709" t="s">
        <v>2919</v>
      </c>
      <c r="D6709" t="str">
        <f>HYPERLINK("http://service.sap.com/sap/support/notes/1125535","1125535")</f>
        <v>1125535</v>
      </c>
      <c r="E6709">
        <v>3</v>
      </c>
      <c r="F6709" t="s">
        <v>8146</v>
      </c>
    </row>
    <row r="6710" spans="1:6" x14ac:dyDescent="0.25">
      <c r="A6710" t="s">
        <v>6446</v>
      </c>
      <c r="B6710" t="s">
        <v>2918</v>
      </c>
      <c r="C6710" t="s">
        <v>2919</v>
      </c>
      <c r="D6710" t="str">
        <f>HYPERLINK("http://service.sap.com/sap/support/notes/1805776","1805776")</f>
        <v>1805776</v>
      </c>
      <c r="E6710">
        <v>1</v>
      </c>
      <c r="F6710" t="s">
        <v>8147</v>
      </c>
    </row>
    <row r="6711" spans="1:6" x14ac:dyDescent="0.25">
      <c r="A6711" t="s">
        <v>6446</v>
      </c>
      <c r="B6711" t="s">
        <v>2918</v>
      </c>
      <c r="C6711" t="s">
        <v>2919</v>
      </c>
      <c r="D6711" t="str">
        <f>HYPERLINK("http://service.sap.com/sap/support/notes/1812895","1812895")</f>
        <v>1812895</v>
      </c>
      <c r="E6711">
        <v>1</v>
      </c>
      <c r="F6711" t="s">
        <v>8148</v>
      </c>
    </row>
    <row r="6712" spans="1:6" x14ac:dyDescent="0.25">
      <c r="A6712" t="s">
        <v>6446</v>
      </c>
      <c r="B6712" t="s">
        <v>2918</v>
      </c>
      <c r="C6712" t="s">
        <v>2919</v>
      </c>
      <c r="D6712" t="str">
        <f>HYPERLINK("http://service.sap.com/sap/support/notes/1816549","1816549")</f>
        <v>1816549</v>
      </c>
      <c r="E6712">
        <v>1</v>
      </c>
      <c r="F6712" t="s">
        <v>8149</v>
      </c>
    </row>
    <row r="6713" spans="1:6" x14ac:dyDescent="0.25">
      <c r="A6713" t="s">
        <v>6446</v>
      </c>
      <c r="B6713" t="s">
        <v>2918</v>
      </c>
      <c r="C6713" t="s">
        <v>2919</v>
      </c>
      <c r="D6713" t="str">
        <f>HYPERLINK("http://service.sap.com/sap/support/notes/1826901","1826901")</f>
        <v>1826901</v>
      </c>
      <c r="E6713">
        <v>1</v>
      </c>
      <c r="F6713" t="s">
        <v>8150</v>
      </c>
    </row>
    <row r="6714" spans="1:6" x14ac:dyDescent="0.25">
      <c r="A6714" t="s">
        <v>6446</v>
      </c>
      <c r="B6714" t="s">
        <v>8151</v>
      </c>
      <c r="C6714" t="s">
        <v>8152</v>
      </c>
      <c r="D6714" t="str">
        <f>HYPERLINK("http://service.sap.com/sap/support/notes/1815913","1815913")</f>
        <v>1815913</v>
      </c>
      <c r="E6714">
        <v>1</v>
      </c>
      <c r="F6714" t="s">
        <v>8153</v>
      </c>
    </row>
    <row r="6715" spans="1:6" x14ac:dyDescent="0.25">
      <c r="A6715" t="s">
        <v>6446</v>
      </c>
      <c r="B6715" t="s">
        <v>2947</v>
      </c>
      <c r="C6715" t="s">
        <v>2948</v>
      </c>
    </row>
    <row r="6716" spans="1:6" x14ac:dyDescent="0.25">
      <c r="A6716" t="s">
        <v>6446</v>
      </c>
      <c r="B6716" t="s">
        <v>2949</v>
      </c>
      <c r="C6716" t="s">
        <v>2950</v>
      </c>
    </row>
    <row r="6717" spans="1:6" x14ac:dyDescent="0.25">
      <c r="A6717" t="s">
        <v>6446</v>
      </c>
      <c r="B6717" t="s">
        <v>2951</v>
      </c>
      <c r="C6717" t="s">
        <v>2952</v>
      </c>
      <c r="D6717" t="str">
        <f>HYPERLINK("http://service.sap.com/sap/support/notes/1772505","1772505")</f>
        <v>1772505</v>
      </c>
      <c r="E6717">
        <v>2</v>
      </c>
      <c r="F6717" t="s">
        <v>8154</v>
      </c>
    </row>
    <row r="6718" spans="1:6" x14ac:dyDescent="0.25">
      <c r="A6718" t="s">
        <v>6446</v>
      </c>
      <c r="B6718" t="s">
        <v>2951</v>
      </c>
      <c r="C6718" t="s">
        <v>2952</v>
      </c>
      <c r="D6718" t="str">
        <f>HYPERLINK("http://service.sap.com/sap/support/notes/1806021","1806021")</f>
        <v>1806021</v>
      </c>
      <c r="E6718">
        <v>1</v>
      </c>
      <c r="F6718" t="s">
        <v>8155</v>
      </c>
    </row>
    <row r="6719" spans="1:6" x14ac:dyDescent="0.25">
      <c r="A6719" t="s">
        <v>6446</v>
      </c>
      <c r="B6719" t="s">
        <v>2951</v>
      </c>
      <c r="C6719" t="s">
        <v>2952</v>
      </c>
      <c r="D6719" t="str">
        <f>HYPERLINK("http://service.sap.com/sap/support/notes/1808978","1808978")</f>
        <v>1808978</v>
      </c>
      <c r="E6719">
        <v>1</v>
      </c>
      <c r="F6719" t="s">
        <v>8156</v>
      </c>
    </row>
    <row r="6720" spans="1:6" x14ac:dyDescent="0.25">
      <c r="A6720" t="s">
        <v>6446</v>
      </c>
      <c r="B6720" t="s">
        <v>2958</v>
      </c>
      <c r="C6720" t="s">
        <v>2959</v>
      </c>
    </row>
    <row r="6721" spans="1:6" x14ac:dyDescent="0.25">
      <c r="A6721" t="s">
        <v>6446</v>
      </c>
      <c r="B6721" t="s">
        <v>2960</v>
      </c>
      <c r="C6721" t="s">
        <v>2961</v>
      </c>
      <c r="D6721" t="str">
        <f>HYPERLINK("http://service.sap.com/sap/support/notes/1791383","1791383")</f>
        <v>1791383</v>
      </c>
      <c r="E6721">
        <v>1</v>
      </c>
      <c r="F6721" t="s">
        <v>8157</v>
      </c>
    </row>
    <row r="6722" spans="1:6" x14ac:dyDescent="0.25">
      <c r="A6722" t="s">
        <v>6446</v>
      </c>
      <c r="B6722" t="s">
        <v>5730</v>
      </c>
      <c r="C6722" t="s">
        <v>5731</v>
      </c>
      <c r="D6722" t="str">
        <f>HYPERLINK("http://service.sap.com/sap/support/notes/1817104","1817104")</f>
        <v>1817104</v>
      </c>
      <c r="E6722">
        <v>4</v>
      </c>
      <c r="F6722" t="s">
        <v>8158</v>
      </c>
    </row>
    <row r="6723" spans="1:6" x14ac:dyDescent="0.25">
      <c r="A6723" t="s">
        <v>6446</v>
      </c>
      <c r="B6723" t="s">
        <v>2964</v>
      </c>
      <c r="C6723" t="s">
        <v>2959</v>
      </c>
      <c r="D6723" t="str">
        <f>HYPERLINK("http://service.sap.com/sap/support/notes/1798123","1798123")</f>
        <v>1798123</v>
      </c>
      <c r="E6723">
        <v>3</v>
      </c>
      <c r="F6723" t="s">
        <v>8159</v>
      </c>
    </row>
    <row r="6724" spans="1:6" x14ac:dyDescent="0.25">
      <c r="A6724" t="s">
        <v>6446</v>
      </c>
      <c r="B6724" t="s">
        <v>2964</v>
      </c>
      <c r="C6724" t="s">
        <v>2959</v>
      </c>
      <c r="D6724" t="str">
        <f>HYPERLINK("http://service.sap.com/sap/support/notes/1808551","1808551")</f>
        <v>1808551</v>
      </c>
      <c r="E6724">
        <v>2</v>
      </c>
      <c r="F6724" t="s">
        <v>8160</v>
      </c>
    </row>
    <row r="6725" spans="1:6" x14ac:dyDescent="0.25">
      <c r="A6725" t="s">
        <v>6446</v>
      </c>
      <c r="B6725" t="s">
        <v>2964</v>
      </c>
      <c r="C6725" t="s">
        <v>2959</v>
      </c>
      <c r="D6725" t="str">
        <f>HYPERLINK("http://service.sap.com/sap/support/notes/1814305","1814305")</f>
        <v>1814305</v>
      </c>
      <c r="E6725">
        <v>1</v>
      </c>
      <c r="F6725" t="s">
        <v>8161</v>
      </c>
    </row>
    <row r="6726" spans="1:6" x14ac:dyDescent="0.25">
      <c r="A6726" t="s">
        <v>6446</v>
      </c>
      <c r="B6726" t="s">
        <v>2965</v>
      </c>
      <c r="C6726" t="s">
        <v>2966</v>
      </c>
      <c r="D6726" t="str">
        <f>HYPERLINK("http://service.sap.com/sap/support/notes/1751771","1751771")</f>
        <v>1751771</v>
      </c>
      <c r="E6726">
        <v>3</v>
      </c>
      <c r="F6726" t="s">
        <v>2968</v>
      </c>
    </row>
    <row r="6727" spans="1:6" x14ac:dyDescent="0.25">
      <c r="A6727" t="s">
        <v>6446</v>
      </c>
      <c r="B6727" t="s">
        <v>2965</v>
      </c>
      <c r="C6727" t="s">
        <v>2966</v>
      </c>
      <c r="D6727" t="str">
        <f>HYPERLINK("http://service.sap.com/sap/support/notes/1763415","1763415")</f>
        <v>1763415</v>
      </c>
      <c r="E6727">
        <v>1</v>
      </c>
      <c r="F6727" t="s">
        <v>2969</v>
      </c>
    </row>
    <row r="6728" spans="1:6" x14ac:dyDescent="0.25">
      <c r="A6728" t="s">
        <v>6446</v>
      </c>
      <c r="B6728" t="s">
        <v>2965</v>
      </c>
      <c r="C6728" t="s">
        <v>2966</v>
      </c>
      <c r="D6728" t="str">
        <f>HYPERLINK("http://service.sap.com/sap/support/notes/1798785","1798785")</f>
        <v>1798785</v>
      </c>
      <c r="E6728">
        <v>2</v>
      </c>
      <c r="F6728" t="s">
        <v>8162</v>
      </c>
    </row>
    <row r="6729" spans="1:6" x14ac:dyDescent="0.25">
      <c r="A6729" t="s">
        <v>6446</v>
      </c>
      <c r="B6729" t="s">
        <v>2965</v>
      </c>
      <c r="C6729" t="s">
        <v>2966</v>
      </c>
      <c r="D6729" t="str">
        <f>HYPERLINK("http://service.sap.com/sap/support/notes/1810664","1810664")</f>
        <v>1810664</v>
      </c>
      <c r="E6729">
        <v>9</v>
      </c>
      <c r="F6729" t="s">
        <v>8163</v>
      </c>
    </row>
    <row r="6730" spans="1:6" x14ac:dyDescent="0.25">
      <c r="A6730" t="s">
        <v>6446</v>
      </c>
      <c r="B6730" t="s">
        <v>2970</v>
      </c>
      <c r="C6730" t="s">
        <v>2971</v>
      </c>
      <c r="D6730" t="str">
        <f>HYPERLINK("http://service.sap.com/sap/support/notes/1759593","1759593")</f>
        <v>1759593</v>
      </c>
      <c r="E6730">
        <v>2</v>
      </c>
      <c r="F6730" t="s">
        <v>8164</v>
      </c>
    </row>
    <row r="6731" spans="1:6" x14ac:dyDescent="0.25">
      <c r="A6731" t="s">
        <v>6446</v>
      </c>
      <c r="B6731" t="s">
        <v>2970</v>
      </c>
      <c r="C6731" t="s">
        <v>2971</v>
      </c>
      <c r="D6731" t="str">
        <f>HYPERLINK("http://service.sap.com/sap/support/notes/1807817","1807817")</f>
        <v>1807817</v>
      </c>
      <c r="E6731">
        <v>2</v>
      </c>
      <c r="F6731" t="s">
        <v>8164</v>
      </c>
    </row>
    <row r="6732" spans="1:6" x14ac:dyDescent="0.25">
      <c r="A6732" t="s">
        <v>6446</v>
      </c>
      <c r="B6732" t="s">
        <v>2972</v>
      </c>
      <c r="C6732" t="s">
        <v>2973</v>
      </c>
      <c r="D6732" t="str">
        <f>HYPERLINK("http://service.sap.com/sap/support/notes/1789165","1789165")</f>
        <v>1789165</v>
      </c>
      <c r="E6732">
        <v>1</v>
      </c>
      <c r="F6732" t="s">
        <v>8165</v>
      </c>
    </row>
    <row r="6733" spans="1:6" x14ac:dyDescent="0.25">
      <c r="A6733" t="s">
        <v>6446</v>
      </c>
      <c r="B6733" t="s">
        <v>2972</v>
      </c>
      <c r="C6733" t="s">
        <v>2973</v>
      </c>
      <c r="D6733" t="str">
        <f>HYPERLINK("http://service.sap.com/sap/support/notes/1794338","1794338")</f>
        <v>1794338</v>
      </c>
      <c r="E6733">
        <v>2</v>
      </c>
      <c r="F6733" t="s">
        <v>8166</v>
      </c>
    </row>
    <row r="6734" spans="1:6" x14ac:dyDescent="0.25">
      <c r="A6734" t="s">
        <v>6446</v>
      </c>
      <c r="B6734" t="s">
        <v>8167</v>
      </c>
      <c r="C6734" t="s">
        <v>2945</v>
      </c>
      <c r="D6734" t="str">
        <f>HYPERLINK("http://service.sap.com/sap/support/notes/1781221","1781221")</f>
        <v>1781221</v>
      </c>
      <c r="E6734">
        <v>2</v>
      </c>
      <c r="F6734" t="s">
        <v>8168</v>
      </c>
    </row>
    <row r="6735" spans="1:6" x14ac:dyDescent="0.25">
      <c r="A6735" t="s">
        <v>6446</v>
      </c>
      <c r="B6735" t="s">
        <v>2975</v>
      </c>
      <c r="C6735" t="s">
        <v>824</v>
      </c>
    </row>
    <row r="6736" spans="1:6" x14ac:dyDescent="0.25">
      <c r="A6736" t="s">
        <v>6446</v>
      </c>
      <c r="B6736" t="s">
        <v>2978</v>
      </c>
      <c r="C6736" t="s">
        <v>2979</v>
      </c>
      <c r="D6736" t="str">
        <f>HYPERLINK("http://service.sap.com/sap/support/notes/1817015","1817015")</f>
        <v>1817015</v>
      </c>
      <c r="E6736">
        <v>2</v>
      </c>
      <c r="F6736" t="s">
        <v>8169</v>
      </c>
    </row>
    <row r="6737" spans="1:6" x14ac:dyDescent="0.25">
      <c r="A6737" t="s">
        <v>6446</v>
      </c>
      <c r="B6737" t="s">
        <v>2989</v>
      </c>
      <c r="C6737" t="s">
        <v>2990</v>
      </c>
      <c r="D6737" t="str">
        <f>HYPERLINK("http://service.sap.com/sap/support/notes/1800586","1800586")</f>
        <v>1800586</v>
      </c>
      <c r="E6737">
        <v>3</v>
      </c>
      <c r="F6737" t="s">
        <v>8170</v>
      </c>
    </row>
    <row r="6738" spans="1:6" x14ac:dyDescent="0.25">
      <c r="A6738" t="s">
        <v>6446</v>
      </c>
      <c r="B6738" t="s">
        <v>2989</v>
      </c>
      <c r="C6738" t="s">
        <v>2990</v>
      </c>
      <c r="D6738" t="str">
        <f>HYPERLINK("http://service.sap.com/sap/support/notes/1811239","1811239")</f>
        <v>1811239</v>
      </c>
      <c r="E6738">
        <v>2</v>
      </c>
      <c r="F6738" t="s">
        <v>8171</v>
      </c>
    </row>
    <row r="6739" spans="1:6" x14ac:dyDescent="0.25">
      <c r="A6739" t="s">
        <v>6446</v>
      </c>
      <c r="B6739" t="s">
        <v>2998</v>
      </c>
      <c r="C6739" t="s">
        <v>2999</v>
      </c>
      <c r="D6739" t="str">
        <f>HYPERLINK("http://service.sap.com/sap/support/notes/1803904","1803904")</f>
        <v>1803904</v>
      </c>
      <c r="E6739">
        <v>2</v>
      </c>
      <c r="F6739" t="s">
        <v>8172</v>
      </c>
    </row>
    <row r="6740" spans="1:6" x14ac:dyDescent="0.25">
      <c r="A6740" t="s">
        <v>6446</v>
      </c>
      <c r="B6740" t="s">
        <v>3001</v>
      </c>
      <c r="C6740" t="s">
        <v>3002</v>
      </c>
      <c r="D6740" t="str">
        <f>HYPERLINK("http://service.sap.com/sap/support/notes/1787169","1787169")</f>
        <v>1787169</v>
      </c>
      <c r="E6740">
        <v>2</v>
      </c>
      <c r="F6740" t="s">
        <v>8173</v>
      </c>
    </row>
    <row r="6741" spans="1:6" x14ac:dyDescent="0.25">
      <c r="A6741" t="s">
        <v>6446</v>
      </c>
      <c r="B6741" t="s">
        <v>3001</v>
      </c>
      <c r="C6741" t="s">
        <v>3002</v>
      </c>
      <c r="D6741" t="str">
        <f>HYPERLINK("http://service.sap.com/sap/support/notes/1801084","1801084")</f>
        <v>1801084</v>
      </c>
      <c r="E6741">
        <v>2</v>
      </c>
      <c r="F6741" t="s">
        <v>8174</v>
      </c>
    </row>
    <row r="6742" spans="1:6" x14ac:dyDescent="0.25">
      <c r="A6742" t="s">
        <v>6446</v>
      </c>
      <c r="B6742" t="s">
        <v>3001</v>
      </c>
      <c r="C6742" t="s">
        <v>3002</v>
      </c>
      <c r="D6742" t="str">
        <f>HYPERLINK("http://service.sap.com/sap/support/notes/1804759","1804759")</f>
        <v>1804759</v>
      </c>
      <c r="E6742">
        <v>3</v>
      </c>
      <c r="F6742" t="s">
        <v>8175</v>
      </c>
    </row>
    <row r="6743" spans="1:6" x14ac:dyDescent="0.25">
      <c r="A6743" t="s">
        <v>6446</v>
      </c>
      <c r="B6743" t="s">
        <v>3016</v>
      </c>
      <c r="C6743" t="s">
        <v>3017</v>
      </c>
      <c r="D6743" t="str">
        <f>HYPERLINK("http://service.sap.com/sap/support/notes/1748794","1748794")</f>
        <v>1748794</v>
      </c>
      <c r="E6743">
        <v>3</v>
      </c>
      <c r="F6743" t="s">
        <v>8176</v>
      </c>
    </row>
    <row r="6744" spans="1:6" x14ac:dyDescent="0.25">
      <c r="A6744" t="s">
        <v>6446</v>
      </c>
      <c r="B6744" t="s">
        <v>3016</v>
      </c>
      <c r="C6744" t="s">
        <v>3017</v>
      </c>
      <c r="D6744" t="str">
        <f>HYPERLINK("http://service.sap.com/sap/support/notes/1818578","1818578")</f>
        <v>1818578</v>
      </c>
      <c r="E6744">
        <v>1</v>
      </c>
      <c r="F6744" t="s">
        <v>8177</v>
      </c>
    </row>
    <row r="6745" spans="1:6" x14ac:dyDescent="0.25">
      <c r="A6745" t="s">
        <v>6446</v>
      </c>
      <c r="B6745" t="s">
        <v>8178</v>
      </c>
      <c r="C6745" t="s">
        <v>8179</v>
      </c>
      <c r="D6745" t="str">
        <f>HYPERLINK("http://service.sap.com/sap/support/notes/1725505","1725505")</f>
        <v>1725505</v>
      </c>
      <c r="E6745">
        <v>2</v>
      </c>
      <c r="F6745" t="s">
        <v>8180</v>
      </c>
    </row>
    <row r="6746" spans="1:6" x14ac:dyDescent="0.25">
      <c r="A6746" t="s">
        <v>6446</v>
      </c>
      <c r="B6746" t="s">
        <v>3019</v>
      </c>
      <c r="C6746" t="s">
        <v>3020</v>
      </c>
      <c r="D6746" t="str">
        <f>HYPERLINK("http://service.sap.com/sap/support/notes/1705288","1705288")</f>
        <v>1705288</v>
      </c>
      <c r="E6746">
        <v>5</v>
      </c>
      <c r="F6746" t="s">
        <v>8181</v>
      </c>
    </row>
    <row r="6747" spans="1:6" x14ac:dyDescent="0.25">
      <c r="A6747" t="s">
        <v>6446</v>
      </c>
      <c r="B6747" t="s">
        <v>3019</v>
      </c>
      <c r="C6747" t="s">
        <v>3020</v>
      </c>
      <c r="D6747" t="str">
        <f>HYPERLINK("http://service.sap.com/sap/support/notes/1804449","1804449")</f>
        <v>1804449</v>
      </c>
      <c r="E6747">
        <v>1</v>
      </c>
      <c r="F6747" t="s">
        <v>8182</v>
      </c>
    </row>
    <row r="6748" spans="1:6" x14ac:dyDescent="0.25">
      <c r="A6748" t="s">
        <v>6446</v>
      </c>
      <c r="B6748" t="s">
        <v>3019</v>
      </c>
      <c r="C6748" t="s">
        <v>3020</v>
      </c>
      <c r="D6748" t="str">
        <f>HYPERLINK("http://service.sap.com/sap/support/notes/1806210","1806210")</f>
        <v>1806210</v>
      </c>
      <c r="E6748">
        <v>1</v>
      </c>
      <c r="F6748" t="s">
        <v>8183</v>
      </c>
    </row>
    <row r="6749" spans="1:6" x14ac:dyDescent="0.25">
      <c r="A6749" t="s">
        <v>6446</v>
      </c>
      <c r="B6749" t="s">
        <v>3019</v>
      </c>
      <c r="C6749" t="s">
        <v>3020</v>
      </c>
      <c r="D6749" t="str">
        <f>HYPERLINK("http://service.sap.com/sap/support/notes/1808182","1808182")</f>
        <v>1808182</v>
      </c>
      <c r="E6749">
        <v>1</v>
      </c>
      <c r="F6749" t="s">
        <v>8184</v>
      </c>
    </row>
    <row r="6750" spans="1:6" x14ac:dyDescent="0.25">
      <c r="A6750" t="s">
        <v>6446</v>
      </c>
      <c r="B6750" t="s">
        <v>3021</v>
      </c>
      <c r="C6750" t="s">
        <v>3022</v>
      </c>
      <c r="D6750" t="str">
        <f>HYPERLINK("http://service.sap.com/sap/support/notes/1703485","1703485")</f>
        <v>1703485</v>
      </c>
      <c r="E6750">
        <v>2</v>
      </c>
      <c r="F6750" t="s">
        <v>8185</v>
      </c>
    </row>
    <row r="6751" spans="1:6" x14ac:dyDescent="0.25">
      <c r="A6751" t="s">
        <v>6446</v>
      </c>
      <c r="B6751" t="s">
        <v>3021</v>
      </c>
      <c r="C6751" t="s">
        <v>3022</v>
      </c>
      <c r="D6751" t="str">
        <f>HYPERLINK("http://service.sap.com/sap/support/notes/1825510","1825510")</f>
        <v>1825510</v>
      </c>
      <c r="E6751">
        <v>2</v>
      </c>
      <c r="F6751" t="s">
        <v>8186</v>
      </c>
    </row>
    <row r="6752" spans="1:6" x14ac:dyDescent="0.25">
      <c r="A6752" t="s">
        <v>6446</v>
      </c>
      <c r="B6752" t="s">
        <v>3025</v>
      </c>
      <c r="C6752" t="s">
        <v>3026</v>
      </c>
    </row>
    <row r="6753" spans="1:6" x14ac:dyDescent="0.25">
      <c r="A6753" t="s">
        <v>6446</v>
      </c>
      <c r="B6753" t="s">
        <v>3027</v>
      </c>
      <c r="C6753" t="s">
        <v>3028</v>
      </c>
      <c r="D6753" t="str">
        <f>HYPERLINK("http://service.sap.com/sap/support/notes/1797746","1797746")</f>
        <v>1797746</v>
      </c>
      <c r="E6753">
        <v>3</v>
      </c>
      <c r="F6753" t="s">
        <v>8187</v>
      </c>
    </row>
    <row r="6754" spans="1:6" x14ac:dyDescent="0.25">
      <c r="A6754" t="s">
        <v>6446</v>
      </c>
      <c r="B6754" t="s">
        <v>3027</v>
      </c>
      <c r="C6754" t="s">
        <v>3028</v>
      </c>
      <c r="D6754" t="str">
        <f>HYPERLINK("http://service.sap.com/sap/support/notes/1806084","1806084")</f>
        <v>1806084</v>
      </c>
      <c r="E6754">
        <v>1</v>
      </c>
      <c r="F6754" t="s">
        <v>8188</v>
      </c>
    </row>
    <row r="6755" spans="1:6" x14ac:dyDescent="0.25">
      <c r="A6755" t="s">
        <v>6446</v>
      </c>
      <c r="B6755" t="s">
        <v>3037</v>
      </c>
      <c r="C6755" t="s">
        <v>3038</v>
      </c>
      <c r="D6755" t="str">
        <f>HYPERLINK("http://service.sap.com/sap/support/notes/1821313","1821313")</f>
        <v>1821313</v>
      </c>
    </row>
    <row r="6756" spans="1:6" x14ac:dyDescent="0.25">
      <c r="A6756" t="s">
        <v>6446</v>
      </c>
      <c r="B6756" t="s">
        <v>3040</v>
      </c>
      <c r="C6756" t="s">
        <v>3041</v>
      </c>
      <c r="D6756" t="str">
        <f>HYPERLINK("http://service.sap.com/sap/support/notes/1626217","1626217")</f>
        <v>1626217</v>
      </c>
      <c r="E6756">
        <v>1</v>
      </c>
      <c r="F6756" t="s">
        <v>8189</v>
      </c>
    </row>
    <row r="6757" spans="1:6" x14ac:dyDescent="0.25">
      <c r="A6757" t="s">
        <v>6446</v>
      </c>
      <c r="B6757" t="s">
        <v>3040</v>
      </c>
      <c r="C6757" t="s">
        <v>3041</v>
      </c>
      <c r="D6757" t="str">
        <f>HYPERLINK("http://service.sap.com/sap/support/notes/1631113","1631113")</f>
        <v>1631113</v>
      </c>
      <c r="E6757">
        <v>9</v>
      </c>
      <c r="F6757" t="s">
        <v>8190</v>
      </c>
    </row>
    <row r="6758" spans="1:6" x14ac:dyDescent="0.25">
      <c r="A6758" t="s">
        <v>6446</v>
      </c>
      <c r="B6758" t="s">
        <v>3040</v>
      </c>
      <c r="C6758" t="s">
        <v>3041</v>
      </c>
      <c r="D6758" t="str">
        <f>HYPERLINK("http://service.sap.com/sap/support/notes/1718014","1718014")</f>
        <v>1718014</v>
      </c>
      <c r="E6758">
        <v>3</v>
      </c>
      <c r="F6758" t="s">
        <v>8191</v>
      </c>
    </row>
    <row r="6759" spans="1:6" x14ac:dyDescent="0.25">
      <c r="A6759" t="s">
        <v>6446</v>
      </c>
      <c r="B6759" t="s">
        <v>3040</v>
      </c>
      <c r="C6759" t="s">
        <v>3041</v>
      </c>
      <c r="D6759" t="str">
        <f>HYPERLINK("http://service.sap.com/sap/support/notes/1731707","1731707")</f>
        <v>1731707</v>
      </c>
      <c r="E6759">
        <v>2</v>
      </c>
      <c r="F6759" t="s">
        <v>8192</v>
      </c>
    </row>
    <row r="6760" spans="1:6" x14ac:dyDescent="0.25">
      <c r="A6760" t="s">
        <v>6446</v>
      </c>
      <c r="B6760" t="s">
        <v>3040</v>
      </c>
      <c r="C6760" t="s">
        <v>3041</v>
      </c>
      <c r="D6760" t="str">
        <f>HYPERLINK("http://service.sap.com/sap/support/notes/1757888","1757888")</f>
        <v>1757888</v>
      </c>
      <c r="E6760">
        <v>4</v>
      </c>
      <c r="F6760" t="s">
        <v>8193</v>
      </c>
    </row>
    <row r="6761" spans="1:6" x14ac:dyDescent="0.25">
      <c r="A6761" t="s">
        <v>6446</v>
      </c>
      <c r="B6761" t="s">
        <v>3040</v>
      </c>
      <c r="C6761" t="s">
        <v>3041</v>
      </c>
      <c r="D6761" t="str">
        <f>HYPERLINK("http://service.sap.com/sap/support/notes/1796894","1796894")</f>
        <v>1796894</v>
      </c>
      <c r="E6761">
        <v>1</v>
      </c>
      <c r="F6761" t="s">
        <v>8194</v>
      </c>
    </row>
    <row r="6762" spans="1:6" x14ac:dyDescent="0.25">
      <c r="A6762" t="s">
        <v>6446</v>
      </c>
      <c r="B6762" t="s">
        <v>3040</v>
      </c>
      <c r="C6762" t="s">
        <v>3041</v>
      </c>
      <c r="D6762" t="str">
        <f>HYPERLINK("http://service.sap.com/sap/support/notes/1802591","1802591")</f>
        <v>1802591</v>
      </c>
      <c r="E6762">
        <v>1</v>
      </c>
      <c r="F6762" t="s">
        <v>8195</v>
      </c>
    </row>
    <row r="6763" spans="1:6" x14ac:dyDescent="0.25">
      <c r="A6763" t="s">
        <v>6446</v>
      </c>
      <c r="B6763" t="s">
        <v>3040</v>
      </c>
      <c r="C6763" t="s">
        <v>3041</v>
      </c>
      <c r="D6763" t="str">
        <f>HYPERLINK("http://service.sap.com/sap/support/notes/1827567","1827567")</f>
        <v>1827567</v>
      </c>
      <c r="E6763">
        <v>1</v>
      </c>
      <c r="F6763" t="s">
        <v>8196</v>
      </c>
    </row>
    <row r="6764" spans="1:6" x14ac:dyDescent="0.25">
      <c r="A6764" t="s">
        <v>6446</v>
      </c>
      <c r="B6764" t="s">
        <v>3048</v>
      </c>
      <c r="C6764" t="s">
        <v>3049</v>
      </c>
    </row>
    <row r="6765" spans="1:6" x14ac:dyDescent="0.25">
      <c r="A6765" t="s">
        <v>6446</v>
      </c>
      <c r="B6765" t="s">
        <v>3050</v>
      </c>
      <c r="C6765" t="s">
        <v>3051</v>
      </c>
      <c r="D6765" t="str">
        <f>HYPERLINK("http://service.sap.com/sap/support/notes/1747210","1747210")</f>
        <v>1747210</v>
      </c>
      <c r="E6765">
        <v>2</v>
      </c>
      <c r="F6765" t="s">
        <v>8197</v>
      </c>
    </row>
    <row r="6766" spans="1:6" x14ac:dyDescent="0.25">
      <c r="A6766" t="s">
        <v>6446</v>
      </c>
      <c r="B6766" t="s">
        <v>3050</v>
      </c>
      <c r="C6766" t="s">
        <v>3051</v>
      </c>
      <c r="D6766" t="str">
        <f>HYPERLINK("http://service.sap.com/sap/support/notes/1748323","1748323")</f>
        <v>1748323</v>
      </c>
      <c r="E6766">
        <v>3</v>
      </c>
      <c r="F6766" t="s">
        <v>8198</v>
      </c>
    </row>
    <row r="6767" spans="1:6" x14ac:dyDescent="0.25">
      <c r="A6767" t="s">
        <v>6446</v>
      </c>
      <c r="B6767" t="s">
        <v>3050</v>
      </c>
      <c r="C6767" t="s">
        <v>3051</v>
      </c>
      <c r="D6767" t="str">
        <f>HYPERLINK("http://service.sap.com/sap/support/notes/1765215","1765215")</f>
        <v>1765215</v>
      </c>
      <c r="E6767">
        <v>3</v>
      </c>
      <c r="F6767" t="s">
        <v>8199</v>
      </c>
    </row>
    <row r="6768" spans="1:6" x14ac:dyDescent="0.25">
      <c r="A6768" t="s">
        <v>6446</v>
      </c>
      <c r="B6768" t="s">
        <v>3050</v>
      </c>
      <c r="C6768" t="s">
        <v>3051</v>
      </c>
      <c r="D6768" t="str">
        <f>HYPERLINK("http://service.sap.com/sap/support/notes/1789790","1789790")</f>
        <v>1789790</v>
      </c>
      <c r="E6768">
        <v>1</v>
      </c>
      <c r="F6768" t="s">
        <v>8200</v>
      </c>
    </row>
    <row r="6769" spans="1:6" x14ac:dyDescent="0.25">
      <c r="A6769" t="s">
        <v>6446</v>
      </c>
      <c r="B6769" t="s">
        <v>3050</v>
      </c>
      <c r="C6769" t="s">
        <v>3051</v>
      </c>
      <c r="D6769" t="str">
        <f>HYPERLINK("http://service.sap.com/sap/support/notes/1792310","1792310")</f>
        <v>1792310</v>
      </c>
      <c r="E6769">
        <v>1</v>
      </c>
      <c r="F6769" t="s">
        <v>8201</v>
      </c>
    </row>
    <row r="6770" spans="1:6" x14ac:dyDescent="0.25">
      <c r="A6770" t="s">
        <v>6446</v>
      </c>
      <c r="B6770" t="s">
        <v>3050</v>
      </c>
      <c r="C6770" t="s">
        <v>3051</v>
      </c>
      <c r="D6770" t="str">
        <f>HYPERLINK("http://service.sap.com/sap/support/notes/1810848","1810848")</f>
        <v>1810848</v>
      </c>
      <c r="E6770">
        <v>1</v>
      </c>
      <c r="F6770" t="s">
        <v>8202</v>
      </c>
    </row>
    <row r="6771" spans="1:6" x14ac:dyDescent="0.25">
      <c r="A6771" t="s">
        <v>6446</v>
      </c>
      <c r="B6771" t="s">
        <v>3050</v>
      </c>
      <c r="C6771" t="s">
        <v>3051</v>
      </c>
      <c r="D6771" t="str">
        <f>HYPERLINK("http://service.sap.com/sap/support/notes/1814828","1814828")</f>
        <v>1814828</v>
      </c>
      <c r="E6771">
        <v>1</v>
      </c>
      <c r="F6771" t="s">
        <v>8203</v>
      </c>
    </row>
    <row r="6772" spans="1:6" x14ac:dyDescent="0.25">
      <c r="A6772" t="s">
        <v>6446</v>
      </c>
      <c r="B6772" t="s">
        <v>3050</v>
      </c>
      <c r="C6772" t="s">
        <v>3051</v>
      </c>
      <c r="D6772" t="str">
        <f>HYPERLINK("http://service.sap.com/sap/support/notes/1821227","1821227")</f>
        <v>1821227</v>
      </c>
      <c r="E6772">
        <v>1</v>
      </c>
      <c r="F6772" t="s">
        <v>8204</v>
      </c>
    </row>
    <row r="6773" spans="1:6" x14ac:dyDescent="0.25">
      <c r="A6773" t="s">
        <v>6446</v>
      </c>
      <c r="B6773" t="s">
        <v>5766</v>
      </c>
      <c r="C6773" t="s">
        <v>5767</v>
      </c>
      <c r="D6773" t="str">
        <f>HYPERLINK("http://service.sap.com/sap/support/notes/1807066","1807066")</f>
        <v>1807066</v>
      </c>
      <c r="E6773">
        <v>1</v>
      </c>
      <c r="F6773" t="s">
        <v>8205</v>
      </c>
    </row>
    <row r="6774" spans="1:6" x14ac:dyDescent="0.25">
      <c r="A6774" t="s">
        <v>6446</v>
      </c>
      <c r="B6774" t="s">
        <v>3055</v>
      </c>
      <c r="C6774" t="s">
        <v>3056</v>
      </c>
      <c r="D6774" t="str">
        <f>HYPERLINK("http://service.sap.com/sap/support/notes/1720769","1720769")</f>
        <v>1720769</v>
      </c>
      <c r="E6774">
        <v>2</v>
      </c>
      <c r="F6774" t="s">
        <v>8206</v>
      </c>
    </row>
    <row r="6775" spans="1:6" x14ac:dyDescent="0.25">
      <c r="A6775" t="s">
        <v>6446</v>
      </c>
      <c r="B6775" t="s">
        <v>3055</v>
      </c>
      <c r="C6775" t="s">
        <v>3056</v>
      </c>
      <c r="D6775" t="str">
        <f>HYPERLINK("http://service.sap.com/sap/support/notes/1720964","1720964")</f>
        <v>1720964</v>
      </c>
      <c r="E6775">
        <v>2</v>
      </c>
      <c r="F6775" t="s">
        <v>8207</v>
      </c>
    </row>
    <row r="6776" spans="1:6" x14ac:dyDescent="0.25">
      <c r="A6776" t="s">
        <v>6446</v>
      </c>
      <c r="B6776" t="s">
        <v>3055</v>
      </c>
      <c r="C6776" t="s">
        <v>3056</v>
      </c>
      <c r="D6776" t="str">
        <f>HYPERLINK("http://service.sap.com/sap/support/notes/1786005","1786005")</f>
        <v>1786005</v>
      </c>
      <c r="E6776">
        <v>1</v>
      </c>
      <c r="F6776" t="s">
        <v>8208</v>
      </c>
    </row>
    <row r="6777" spans="1:6" x14ac:dyDescent="0.25">
      <c r="A6777" t="s">
        <v>6446</v>
      </c>
      <c r="B6777" t="s">
        <v>3055</v>
      </c>
      <c r="C6777" t="s">
        <v>3056</v>
      </c>
      <c r="D6777" t="str">
        <f>HYPERLINK("http://service.sap.com/sap/support/notes/1796394","1796394")</f>
        <v>1796394</v>
      </c>
      <c r="E6777">
        <v>1</v>
      </c>
      <c r="F6777" t="s">
        <v>8209</v>
      </c>
    </row>
    <row r="6778" spans="1:6" x14ac:dyDescent="0.25">
      <c r="A6778" t="s">
        <v>6446</v>
      </c>
      <c r="B6778" t="s">
        <v>3055</v>
      </c>
      <c r="C6778" t="s">
        <v>3056</v>
      </c>
      <c r="D6778" t="str">
        <f>HYPERLINK("http://service.sap.com/sap/support/notes/1797321","1797321")</f>
        <v>1797321</v>
      </c>
      <c r="E6778">
        <v>4</v>
      </c>
      <c r="F6778" t="s">
        <v>8210</v>
      </c>
    </row>
    <row r="6779" spans="1:6" x14ac:dyDescent="0.25">
      <c r="A6779" t="s">
        <v>6446</v>
      </c>
      <c r="B6779" t="s">
        <v>3055</v>
      </c>
      <c r="C6779" t="s">
        <v>3056</v>
      </c>
      <c r="D6779" t="str">
        <f>HYPERLINK("http://service.sap.com/sap/support/notes/1801429","1801429")</f>
        <v>1801429</v>
      </c>
      <c r="E6779">
        <v>1</v>
      </c>
      <c r="F6779" t="s">
        <v>8211</v>
      </c>
    </row>
    <row r="6780" spans="1:6" x14ac:dyDescent="0.25">
      <c r="A6780" t="s">
        <v>6446</v>
      </c>
      <c r="B6780" t="s">
        <v>3055</v>
      </c>
      <c r="C6780" t="s">
        <v>3056</v>
      </c>
      <c r="D6780" t="str">
        <f>HYPERLINK("http://service.sap.com/sap/support/notes/1806542","1806542")</f>
        <v>1806542</v>
      </c>
      <c r="E6780">
        <v>2</v>
      </c>
      <c r="F6780" t="s">
        <v>8212</v>
      </c>
    </row>
    <row r="6781" spans="1:6" x14ac:dyDescent="0.25">
      <c r="A6781" t="s">
        <v>6446</v>
      </c>
      <c r="B6781" t="s">
        <v>3055</v>
      </c>
      <c r="C6781" t="s">
        <v>3056</v>
      </c>
      <c r="D6781" t="str">
        <f>HYPERLINK("http://service.sap.com/sap/support/notes/1810344","1810344")</f>
        <v>1810344</v>
      </c>
      <c r="E6781">
        <v>2</v>
      </c>
      <c r="F6781" t="s">
        <v>8213</v>
      </c>
    </row>
    <row r="6782" spans="1:6" x14ac:dyDescent="0.25">
      <c r="A6782" t="s">
        <v>6446</v>
      </c>
      <c r="B6782" t="s">
        <v>3055</v>
      </c>
      <c r="C6782" t="s">
        <v>3056</v>
      </c>
      <c r="D6782" t="str">
        <f>HYPERLINK("http://service.sap.com/sap/support/notes/1812709","1812709")</f>
        <v>1812709</v>
      </c>
      <c r="E6782">
        <v>1</v>
      </c>
      <c r="F6782" t="s">
        <v>8214</v>
      </c>
    </row>
    <row r="6783" spans="1:6" x14ac:dyDescent="0.25">
      <c r="A6783" t="s">
        <v>6446</v>
      </c>
      <c r="B6783" t="s">
        <v>3055</v>
      </c>
      <c r="C6783" t="s">
        <v>3056</v>
      </c>
      <c r="D6783" t="str">
        <f>HYPERLINK("http://service.sap.com/sap/support/notes/1824432","1824432")</f>
        <v>1824432</v>
      </c>
      <c r="E6783">
        <v>1</v>
      </c>
      <c r="F6783" t="s">
        <v>8215</v>
      </c>
    </row>
    <row r="6784" spans="1:6" x14ac:dyDescent="0.25">
      <c r="A6784" t="s">
        <v>6446</v>
      </c>
      <c r="B6784" t="s">
        <v>3055</v>
      </c>
      <c r="C6784" t="s">
        <v>3056</v>
      </c>
      <c r="D6784" t="str">
        <f>HYPERLINK("http://service.sap.com/sap/support/notes/1826126","1826126")</f>
        <v>1826126</v>
      </c>
      <c r="E6784">
        <v>1</v>
      </c>
      <c r="F6784" t="s">
        <v>8216</v>
      </c>
    </row>
    <row r="6785" spans="1:6" x14ac:dyDescent="0.25">
      <c r="A6785" t="s">
        <v>6446</v>
      </c>
      <c r="B6785" t="s">
        <v>8217</v>
      </c>
      <c r="C6785" t="s">
        <v>8218</v>
      </c>
      <c r="D6785" t="str">
        <f>HYPERLINK("http://service.sap.com/sap/support/notes/1811535","1811535")</f>
        <v>1811535</v>
      </c>
      <c r="E6785">
        <v>1</v>
      </c>
      <c r="F6785" t="s">
        <v>8219</v>
      </c>
    </row>
    <row r="6786" spans="1:6" x14ac:dyDescent="0.25">
      <c r="A6786" t="s">
        <v>6446</v>
      </c>
      <c r="B6786" t="s">
        <v>3061</v>
      </c>
      <c r="C6786" t="s">
        <v>3062</v>
      </c>
      <c r="D6786" t="str">
        <f>HYPERLINK("http://service.sap.com/sap/support/notes/1791433","1791433")</f>
        <v>1791433</v>
      </c>
    </row>
    <row r="6787" spans="1:6" x14ac:dyDescent="0.25">
      <c r="A6787" t="s">
        <v>6446</v>
      </c>
      <c r="B6787" t="s">
        <v>3064</v>
      </c>
      <c r="C6787" t="s">
        <v>3065</v>
      </c>
      <c r="D6787" t="str">
        <f>HYPERLINK("http://service.sap.com/sap/support/notes/1608913","1608913")</f>
        <v>1608913</v>
      </c>
      <c r="E6787">
        <v>12</v>
      </c>
      <c r="F6787" t="s">
        <v>8220</v>
      </c>
    </row>
    <row r="6788" spans="1:6" x14ac:dyDescent="0.25">
      <c r="A6788" t="s">
        <v>6446</v>
      </c>
      <c r="B6788" t="s">
        <v>3064</v>
      </c>
      <c r="C6788" t="s">
        <v>3065</v>
      </c>
      <c r="D6788" t="str">
        <f>HYPERLINK("http://service.sap.com/sap/support/notes/1735933","1735933")</f>
        <v>1735933</v>
      </c>
      <c r="E6788">
        <v>2</v>
      </c>
      <c r="F6788" t="s">
        <v>8221</v>
      </c>
    </row>
    <row r="6789" spans="1:6" x14ac:dyDescent="0.25">
      <c r="A6789" t="s">
        <v>6446</v>
      </c>
      <c r="B6789" t="s">
        <v>3064</v>
      </c>
      <c r="C6789" t="s">
        <v>3065</v>
      </c>
      <c r="D6789" t="str">
        <f>HYPERLINK("http://service.sap.com/sap/support/notes/1773847","1773847")</f>
        <v>1773847</v>
      </c>
      <c r="E6789">
        <v>2</v>
      </c>
      <c r="F6789" t="s">
        <v>8222</v>
      </c>
    </row>
    <row r="6790" spans="1:6" x14ac:dyDescent="0.25">
      <c r="A6790" t="s">
        <v>6446</v>
      </c>
      <c r="B6790" t="s">
        <v>3064</v>
      </c>
      <c r="C6790" t="s">
        <v>3065</v>
      </c>
      <c r="D6790" t="str">
        <f>HYPERLINK("http://service.sap.com/sap/support/notes/1784270","1784270")</f>
        <v>1784270</v>
      </c>
      <c r="E6790">
        <v>2</v>
      </c>
      <c r="F6790" t="s">
        <v>8223</v>
      </c>
    </row>
    <row r="6791" spans="1:6" x14ac:dyDescent="0.25">
      <c r="A6791" t="s">
        <v>6446</v>
      </c>
      <c r="B6791" t="s">
        <v>3064</v>
      </c>
      <c r="C6791" t="s">
        <v>3065</v>
      </c>
      <c r="D6791" t="str">
        <f>HYPERLINK("http://service.sap.com/sap/support/notes/1790626","1790626")</f>
        <v>1790626</v>
      </c>
      <c r="E6791">
        <v>1</v>
      </c>
      <c r="F6791" t="s">
        <v>8224</v>
      </c>
    </row>
    <row r="6792" spans="1:6" x14ac:dyDescent="0.25">
      <c r="A6792" t="s">
        <v>6446</v>
      </c>
      <c r="B6792" t="s">
        <v>3064</v>
      </c>
      <c r="C6792" t="s">
        <v>3065</v>
      </c>
      <c r="D6792" t="str">
        <f>HYPERLINK("http://service.sap.com/sap/support/notes/1803739","1803739")</f>
        <v>1803739</v>
      </c>
      <c r="E6792">
        <v>2</v>
      </c>
      <c r="F6792" t="s">
        <v>8225</v>
      </c>
    </row>
    <row r="6793" spans="1:6" x14ac:dyDescent="0.25">
      <c r="A6793" t="s">
        <v>6446</v>
      </c>
      <c r="B6793" t="s">
        <v>3064</v>
      </c>
      <c r="C6793" t="s">
        <v>3065</v>
      </c>
      <c r="D6793" t="str">
        <f>HYPERLINK("http://service.sap.com/sap/support/notes/1825720","1825720")</f>
        <v>1825720</v>
      </c>
      <c r="E6793">
        <v>2</v>
      </c>
      <c r="F6793" t="s">
        <v>8226</v>
      </c>
    </row>
    <row r="6794" spans="1:6" x14ac:dyDescent="0.25">
      <c r="A6794" t="s">
        <v>6446</v>
      </c>
      <c r="B6794" t="s">
        <v>3075</v>
      </c>
      <c r="C6794" t="s">
        <v>3076</v>
      </c>
      <c r="D6794" t="str">
        <f>HYPERLINK("http://service.sap.com/sap/support/notes/1826152","1826152")</f>
        <v>1826152</v>
      </c>
    </row>
    <row r="6795" spans="1:6" x14ac:dyDescent="0.25">
      <c r="A6795" t="s">
        <v>6446</v>
      </c>
      <c r="B6795" t="s">
        <v>3078</v>
      </c>
      <c r="C6795" t="s">
        <v>3079</v>
      </c>
      <c r="D6795" t="str">
        <f>HYPERLINK("http://service.sap.com/sap/support/notes/1718799","1718799")</f>
        <v>1718799</v>
      </c>
      <c r="E6795">
        <v>2</v>
      </c>
      <c r="F6795" t="s">
        <v>8227</v>
      </c>
    </row>
    <row r="6796" spans="1:6" x14ac:dyDescent="0.25">
      <c r="A6796" t="s">
        <v>6446</v>
      </c>
      <c r="B6796" t="s">
        <v>3078</v>
      </c>
      <c r="C6796" t="s">
        <v>3079</v>
      </c>
      <c r="D6796" t="str">
        <f>HYPERLINK("http://service.sap.com/sap/support/notes/1722016","1722016")</f>
        <v>1722016</v>
      </c>
      <c r="E6796">
        <v>2</v>
      </c>
      <c r="F6796" t="s">
        <v>8228</v>
      </c>
    </row>
    <row r="6797" spans="1:6" x14ac:dyDescent="0.25">
      <c r="A6797" t="s">
        <v>6446</v>
      </c>
      <c r="B6797" t="s">
        <v>3078</v>
      </c>
      <c r="C6797" t="s">
        <v>3079</v>
      </c>
      <c r="D6797" t="str">
        <f>HYPERLINK("http://service.sap.com/sap/support/notes/1791983","1791983")</f>
        <v>1791983</v>
      </c>
      <c r="E6797">
        <v>1</v>
      </c>
      <c r="F6797" t="s">
        <v>8229</v>
      </c>
    </row>
    <row r="6798" spans="1:6" x14ac:dyDescent="0.25">
      <c r="A6798" t="s">
        <v>6446</v>
      </c>
      <c r="B6798" t="s">
        <v>3078</v>
      </c>
      <c r="C6798" t="s">
        <v>3079</v>
      </c>
      <c r="D6798" t="str">
        <f>HYPERLINK("http://service.sap.com/sap/support/notes/1808166","1808166")</f>
        <v>1808166</v>
      </c>
      <c r="E6798">
        <v>2</v>
      </c>
      <c r="F6798" t="s">
        <v>8230</v>
      </c>
    </row>
    <row r="6799" spans="1:6" x14ac:dyDescent="0.25">
      <c r="A6799" t="s">
        <v>6446</v>
      </c>
      <c r="B6799" t="s">
        <v>3078</v>
      </c>
      <c r="C6799" t="s">
        <v>3079</v>
      </c>
      <c r="D6799" t="str">
        <f>HYPERLINK("http://service.sap.com/sap/support/notes/1813611","1813611")</f>
        <v>1813611</v>
      </c>
      <c r="E6799">
        <v>2</v>
      </c>
      <c r="F6799" t="s">
        <v>8231</v>
      </c>
    </row>
    <row r="6800" spans="1:6" x14ac:dyDescent="0.25">
      <c r="A6800" t="s">
        <v>6446</v>
      </c>
      <c r="B6800" t="s">
        <v>8232</v>
      </c>
      <c r="C6800" t="s">
        <v>8233</v>
      </c>
      <c r="D6800" t="str">
        <f>HYPERLINK("http://service.sap.com/sap/support/notes/1817363","1817363")</f>
        <v>1817363</v>
      </c>
      <c r="E6800">
        <v>2</v>
      </c>
      <c r="F6800" t="s">
        <v>8234</v>
      </c>
    </row>
    <row r="6801" spans="1:6" x14ac:dyDescent="0.25">
      <c r="A6801" t="s">
        <v>6446</v>
      </c>
      <c r="B6801" t="s">
        <v>3084</v>
      </c>
      <c r="C6801" t="s">
        <v>3085</v>
      </c>
    </row>
    <row r="6802" spans="1:6" x14ac:dyDescent="0.25">
      <c r="A6802" t="s">
        <v>6446</v>
      </c>
      <c r="B6802" t="s">
        <v>3097</v>
      </c>
      <c r="C6802" t="s">
        <v>1066</v>
      </c>
    </row>
    <row r="6803" spans="1:6" x14ac:dyDescent="0.25">
      <c r="A6803" t="s">
        <v>6446</v>
      </c>
      <c r="B6803" t="s">
        <v>8235</v>
      </c>
      <c r="C6803" t="s">
        <v>8236</v>
      </c>
    </row>
    <row r="6804" spans="1:6" x14ac:dyDescent="0.25">
      <c r="A6804" t="s">
        <v>6446</v>
      </c>
      <c r="B6804" t="s">
        <v>8237</v>
      </c>
      <c r="C6804" t="s">
        <v>8238</v>
      </c>
      <c r="D6804" t="str">
        <f>HYPERLINK("http://service.sap.com/sap/support/notes/1810503","1810503")</f>
        <v>1810503</v>
      </c>
      <c r="E6804">
        <v>1</v>
      </c>
      <c r="F6804" t="s">
        <v>8239</v>
      </c>
    </row>
    <row r="6805" spans="1:6" x14ac:dyDescent="0.25">
      <c r="A6805" t="s">
        <v>6446</v>
      </c>
      <c r="B6805" t="s">
        <v>8237</v>
      </c>
      <c r="C6805" t="s">
        <v>8238</v>
      </c>
      <c r="D6805" t="str">
        <f>HYPERLINK("http://service.sap.com/sap/support/notes/1817080","1817080")</f>
        <v>1817080</v>
      </c>
      <c r="E6805">
        <v>1</v>
      </c>
      <c r="F6805" t="s">
        <v>8240</v>
      </c>
    </row>
    <row r="6806" spans="1:6" x14ac:dyDescent="0.25">
      <c r="A6806" t="s">
        <v>6446</v>
      </c>
      <c r="B6806" t="s">
        <v>8241</v>
      </c>
      <c r="C6806" t="s">
        <v>490</v>
      </c>
      <c r="D6806" t="str">
        <f>HYPERLINK("http://service.sap.com/sap/support/notes/1779844","1779844")</f>
        <v>1779844</v>
      </c>
      <c r="E6806">
        <v>7</v>
      </c>
      <c r="F6806" t="s">
        <v>8242</v>
      </c>
    </row>
    <row r="6807" spans="1:6" x14ac:dyDescent="0.25">
      <c r="A6807" t="s">
        <v>6446</v>
      </c>
      <c r="B6807" t="s">
        <v>8243</v>
      </c>
      <c r="C6807" t="s">
        <v>8238</v>
      </c>
      <c r="D6807" t="str">
        <f>HYPERLINK("http://service.sap.com/sap/support/notes/1817079","1817079")</f>
        <v>1817079</v>
      </c>
      <c r="E6807">
        <v>1</v>
      </c>
      <c r="F6807" t="s">
        <v>8244</v>
      </c>
    </row>
    <row r="6808" spans="1:6" x14ac:dyDescent="0.25">
      <c r="A6808" t="s">
        <v>6446</v>
      </c>
      <c r="B6808" t="s">
        <v>3103</v>
      </c>
      <c r="C6808" t="s">
        <v>824</v>
      </c>
      <c r="D6808" t="str">
        <f>HYPERLINK("http://service.sap.com/sap/support/notes/1490851","1490851")</f>
        <v>1490851</v>
      </c>
      <c r="E6808">
        <v>4</v>
      </c>
      <c r="F6808" t="s">
        <v>8245</v>
      </c>
    </row>
    <row r="6809" spans="1:6" x14ac:dyDescent="0.25">
      <c r="A6809" t="s">
        <v>6446</v>
      </c>
      <c r="B6809" t="s">
        <v>3103</v>
      </c>
      <c r="C6809" t="s">
        <v>824</v>
      </c>
      <c r="D6809" t="str">
        <f>HYPERLINK("http://service.sap.com/sap/support/notes/1819046","1819046")</f>
        <v>1819046</v>
      </c>
      <c r="E6809">
        <v>1</v>
      </c>
      <c r="F6809" t="s">
        <v>8246</v>
      </c>
    </row>
    <row r="6810" spans="1:6" x14ac:dyDescent="0.25">
      <c r="A6810" t="s">
        <v>6446</v>
      </c>
      <c r="B6810" t="s">
        <v>3106</v>
      </c>
      <c r="C6810" t="s">
        <v>29</v>
      </c>
      <c r="D6810" t="str">
        <f>HYPERLINK("http://service.sap.com/sap/support/notes/1830813","1830813")</f>
        <v>1830813</v>
      </c>
      <c r="E6810">
        <v>1</v>
      </c>
      <c r="F6810" t="s">
        <v>8247</v>
      </c>
    </row>
    <row r="6811" spans="1:6" x14ac:dyDescent="0.25">
      <c r="A6811" t="s">
        <v>6446</v>
      </c>
      <c r="B6811" t="s">
        <v>3106</v>
      </c>
      <c r="C6811" t="s">
        <v>29</v>
      </c>
      <c r="D6811" t="str">
        <f>HYPERLINK("http://service.sap.com/sap/support/notes/1830817","1830817")</f>
        <v>1830817</v>
      </c>
      <c r="E6811">
        <v>1</v>
      </c>
      <c r="F6811" t="s">
        <v>8248</v>
      </c>
    </row>
    <row r="6812" spans="1:6" x14ac:dyDescent="0.25">
      <c r="A6812" t="s">
        <v>6446</v>
      </c>
      <c r="B6812" t="s">
        <v>3106</v>
      </c>
      <c r="C6812" t="s">
        <v>29</v>
      </c>
      <c r="D6812" t="str">
        <f>HYPERLINK("http://service.sap.com/sap/support/notes/1831141","1831141")</f>
        <v>1831141</v>
      </c>
      <c r="E6812">
        <v>1</v>
      </c>
      <c r="F6812" t="s">
        <v>8249</v>
      </c>
    </row>
    <row r="6813" spans="1:6" x14ac:dyDescent="0.25">
      <c r="A6813" t="s">
        <v>6446</v>
      </c>
      <c r="B6813" t="s">
        <v>3108</v>
      </c>
      <c r="C6813" t="s">
        <v>3109</v>
      </c>
    </row>
    <row r="6814" spans="1:6" x14ac:dyDescent="0.25">
      <c r="A6814" t="s">
        <v>6446</v>
      </c>
      <c r="B6814" t="s">
        <v>3110</v>
      </c>
      <c r="C6814" t="s">
        <v>3111</v>
      </c>
    </row>
    <row r="6815" spans="1:6" x14ac:dyDescent="0.25">
      <c r="A6815" t="s">
        <v>6446</v>
      </c>
      <c r="B6815" t="s">
        <v>8250</v>
      </c>
      <c r="C6815" t="s">
        <v>3113</v>
      </c>
      <c r="D6815" t="str">
        <f>HYPERLINK("http://service.sap.com/sap/support/notes/1678867","1678867")</f>
        <v>1678867</v>
      </c>
      <c r="E6815">
        <v>1</v>
      </c>
      <c r="F6815" t="s">
        <v>8251</v>
      </c>
    </row>
    <row r="6816" spans="1:6" x14ac:dyDescent="0.25">
      <c r="A6816" t="s">
        <v>6446</v>
      </c>
      <c r="B6816" t="s">
        <v>3116</v>
      </c>
      <c r="C6816" t="s">
        <v>3117</v>
      </c>
      <c r="D6816" t="str">
        <f>HYPERLINK("http://service.sap.com/sap/support/notes/809312","809312")</f>
        <v>809312</v>
      </c>
      <c r="E6816">
        <v>6</v>
      </c>
      <c r="F6816" t="s">
        <v>8252</v>
      </c>
    </row>
    <row r="6817" spans="1:6" x14ac:dyDescent="0.25">
      <c r="A6817" t="s">
        <v>6446</v>
      </c>
      <c r="B6817" t="s">
        <v>3116</v>
      </c>
      <c r="C6817" t="s">
        <v>3117</v>
      </c>
      <c r="D6817" t="str">
        <f>HYPERLINK("http://service.sap.com/sap/support/notes/1491783","1491783")</f>
        <v>1491783</v>
      </c>
      <c r="E6817">
        <v>6</v>
      </c>
      <c r="F6817" t="s">
        <v>8253</v>
      </c>
    </row>
    <row r="6818" spans="1:6" x14ac:dyDescent="0.25">
      <c r="A6818" t="s">
        <v>6446</v>
      </c>
      <c r="B6818" t="s">
        <v>3116</v>
      </c>
      <c r="C6818" t="s">
        <v>3117</v>
      </c>
      <c r="D6818" t="str">
        <f>HYPERLINK("http://service.sap.com/sap/support/notes/1783227","1783227")</f>
        <v>1783227</v>
      </c>
      <c r="E6818">
        <v>1</v>
      </c>
      <c r="F6818" t="s">
        <v>8254</v>
      </c>
    </row>
    <row r="6819" spans="1:6" x14ac:dyDescent="0.25">
      <c r="A6819" t="s">
        <v>6446</v>
      </c>
      <c r="B6819" t="s">
        <v>3116</v>
      </c>
      <c r="C6819" t="s">
        <v>3117</v>
      </c>
      <c r="D6819" t="str">
        <f>HYPERLINK("http://service.sap.com/sap/support/notes/1803979","1803979")</f>
        <v>1803979</v>
      </c>
      <c r="E6819">
        <v>2</v>
      </c>
      <c r="F6819" t="s">
        <v>8255</v>
      </c>
    </row>
    <row r="6820" spans="1:6" x14ac:dyDescent="0.25">
      <c r="A6820" t="s">
        <v>6446</v>
      </c>
      <c r="B6820" t="s">
        <v>3116</v>
      </c>
      <c r="C6820" t="s">
        <v>3117</v>
      </c>
      <c r="D6820" t="str">
        <f>HYPERLINK("http://service.sap.com/sap/support/notes/1806085","1806085")</f>
        <v>1806085</v>
      </c>
      <c r="E6820">
        <v>1</v>
      </c>
      <c r="F6820" t="s">
        <v>8256</v>
      </c>
    </row>
    <row r="6821" spans="1:6" x14ac:dyDescent="0.25">
      <c r="A6821" t="s">
        <v>6446</v>
      </c>
      <c r="B6821" t="s">
        <v>3116</v>
      </c>
      <c r="C6821" t="s">
        <v>3117</v>
      </c>
      <c r="D6821" t="str">
        <f>HYPERLINK("http://service.sap.com/sap/support/notes/1806840","1806840")</f>
        <v>1806840</v>
      </c>
      <c r="E6821">
        <v>2</v>
      </c>
      <c r="F6821" t="s">
        <v>8257</v>
      </c>
    </row>
    <row r="6822" spans="1:6" x14ac:dyDescent="0.25">
      <c r="A6822" t="s">
        <v>6446</v>
      </c>
      <c r="B6822" t="s">
        <v>3116</v>
      </c>
      <c r="C6822" t="s">
        <v>3117</v>
      </c>
      <c r="D6822" t="str">
        <f>HYPERLINK("http://service.sap.com/sap/support/notes/1807453","1807453")</f>
        <v>1807453</v>
      </c>
      <c r="E6822">
        <v>2</v>
      </c>
      <c r="F6822" t="s">
        <v>8258</v>
      </c>
    </row>
    <row r="6823" spans="1:6" x14ac:dyDescent="0.25">
      <c r="A6823" t="s">
        <v>6446</v>
      </c>
      <c r="B6823" t="s">
        <v>3116</v>
      </c>
      <c r="C6823" t="s">
        <v>3117</v>
      </c>
      <c r="D6823" t="str">
        <f>HYPERLINK("http://service.sap.com/sap/support/notes/1810504","1810504")</f>
        <v>1810504</v>
      </c>
      <c r="E6823">
        <v>2</v>
      </c>
      <c r="F6823" t="s">
        <v>8259</v>
      </c>
    </row>
    <row r="6824" spans="1:6" x14ac:dyDescent="0.25">
      <c r="A6824" t="s">
        <v>6446</v>
      </c>
      <c r="B6824" t="s">
        <v>3116</v>
      </c>
      <c r="C6824" t="s">
        <v>3117</v>
      </c>
      <c r="D6824" t="str">
        <f>HYPERLINK("http://service.sap.com/sap/support/notes/1819853","1819853")</f>
        <v>1819853</v>
      </c>
      <c r="E6824">
        <v>1</v>
      </c>
      <c r="F6824" t="s">
        <v>8260</v>
      </c>
    </row>
    <row r="6825" spans="1:6" x14ac:dyDescent="0.25">
      <c r="A6825" t="s">
        <v>6446</v>
      </c>
      <c r="B6825" t="s">
        <v>3116</v>
      </c>
      <c r="C6825" t="s">
        <v>3117</v>
      </c>
      <c r="D6825" t="str">
        <f>HYPERLINK("http://service.sap.com/sap/support/notes/1822124","1822124")</f>
        <v>1822124</v>
      </c>
      <c r="E6825">
        <v>1</v>
      </c>
      <c r="F6825" t="s">
        <v>8261</v>
      </c>
    </row>
    <row r="6826" spans="1:6" x14ac:dyDescent="0.25">
      <c r="A6826" t="s">
        <v>6446</v>
      </c>
      <c r="B6826" t="s">
        <v>3124</v>
      </c>
      <c r="C6826" t="s">
        <v>3125</v>
      </c>
    </row>
    <row r="6827" spans="1:6" x14ac:dyDescent="0.25">
      <c r="A6827" t="s">
        <v>6446</v>
      </c>
      <c r="B6827" t="s">
        <v>3126</v>
      </c>
      <c r="C6827" t="s">
        <v>2400</v>
      </c>
      <c r="D6827" t="str">
        <f>HYPERLINK("http://service.sap.com/sap/support/notes/1806170","1806170")</f>
        <v>1806170</v>
      </c>
      <c r="E6827">
        <v>2</v>
      </c>
      <c r="F6827" t="s">
        <v>8262</v>
      </c>
    </row>
    <row r="6828" spans="1:6" x14ac:dyDescent="0.25">
      <c r="A6828" t="s">
        <v>6446</v>
      </c>
      <c r="B6828" t="s">
        <v>8263</v>
      </c>
      <c r="C6828" t="s">
        <v>502</v>
      </c>
      <c r="D6828" t="str">
        <f>HYPERLINK("http://service.sap.com/sap/support/notes/1797592","1797592")</f>
        <v>1797592</v>
      </c>
      <c r="E6828">
        <v>6</v>
      </c>
      <c r="F6828" t="s">
        <v>8264</v>
      </c>
    </row>
    <row r="6829" spans="1:6" x14ac:dyDescent="0.25">
      <c r="A6829" t="s">
        <v>6446</v>
      </c>
      <c r="B6829" t="s">
        <v>8263</v>
      </c>
      <c r="C6829" t="s">
        <v>502</v>
      </c>
      <c r="D6829" t="str">
        <f>HYPERLINK("http://service.sap.com/sap/support/notes/1798393","1798393")</f>
        <v>1798393</v>
      </c>
      <c r="E6829">
        <v>3</v>
      </c>
      <c r="F6829" t="s">
        <v>8265</v>
      </c>
    </row>
    <row r="6830" spans="1:6" x14ac:dyDescent="0.25">
      <c r="A6830" t="s">
        <v>6446</v>
      </c>
      <c r="B6830" t="s">
        <v>8263</v>
      </c>
      <c r="C6830" t="s">
        <v>502</v>
      </c>
      <c r="D6830" t="str">
        <f>HYPERLINK("http://service.sap.com/sap/support/notes/1808540","1808540")</f>
        <v>1808540</v>
      </c>
      <c r="E6830">
        <v>3</v>
      </c>
      <c r="F6830" t="s">
        <v>8266</v>
      </c>
    </row>
    <row r="6831" spans="1:6" x14ac:dyDescent="0.25">
      <c r="A6831" t="s">
        <v>6446</v>
      </c>
      <c r="B6831" t="s">
        <v>8263</v>
      </c>
      <c r="C6831" t="s">
        <v>502</v>
      </c>
      <c r="D6831" t="str">
        <f>HYPERLINK("http://service.sap.com/sap/support/notes/1810702","1810702")</f>
        <v>1810702</v>
      </c>
      <c r="E6831">
        <v>7</v>
      </c>
      <c r="F6831" t="s">
        <v>8267</v>
      </c>
    </row>
    <row r="6832" spans="1:6" x14ac:dyDescent="0.25">
      <c r="A6832" t="s">
        <v>6446</v>
      </c>
      <c r="B6832" t="s">
        <v>8263</v>
      </c>
      <c r="C6832" t="s">
        <v>502</v>
      </c>
      <c r="D6832" t="str">
        <f>HYPERLINK("http://service.sap.com/sap/support/notes/1812926","1812926")</f>
        <v>1812926</v>
      </c>
      <c r="E6832">
        <v>3</v>
      </c>
      <c r="F6832" t="s">
        <v>8268</v>
      </c>
    </row>
    <row r="6833" spans="1:6" x14ac:dyDescent="0.25">
      <c r="A6833" t="s">
        <v>6446</v>
      </c>
      <c r="B6833" t="s">
        <v>8263</v>
      </c>
      <c r="C6833" t="s">
        <v>502</v>
      </c>
      <c r="D6833" t="str">
        <f>HYPERLINK("http://service.sap.com/sap/support/notes/1818864","1818864")</f>
        <v>1818864</v>
      </c>
      <c r="E6833">
        <v>2</v>
      </c>
      <c r="F6833" t="s">
        <v>8269</v>
      </c>
    </row>
    <row r="6834" spans="1:6" x14ac:dyDescent="0.25">
      <c r="A6834" t="s">
        <v>6446</v>
      </c>
      <c r="B6834" t="s">
        <v>8263</v>
      </c>
      <c r="C6834" t="s">
        <v>502</v>
      </c>
      <c r="D6834" t="str">
        <f>HYPERLINK("http://service.sap.com/sap/support/notes/1823083","1823083")</f>
        <v>1823083</v>
      </c>
      <c r="E6834">
        <v>1</v>
      </c>
      <c r="F6834" t="s">
        <v>8270</v>
      </c>
    </row>
    <row r="6835" spans="1:6" x14ac:dyDescent="0.25">
      <c r="A6835" t="s">
        <v>6446</v>
      </c>
      <c r="B6835" t="s">
        <v>3130</v>
      </c>
      <c r="C6835" t="s">
        <v>3131</v>
      </c>
      <c r="D6835" t="str">
        <f>HYPERLINK("http://service.sap.com/sap/support/notes/1798235","1798235")</f>
        <v>1798235</v>
      </c>
      <c r="E6835">
        <v>5</v>
      </c>
      <c r="F6835" t="s">
        <v>8271</v>
      </c>
    </row>
    <row r="6836" spans="1:6" x14ac:dyDescent="0.25">
      <c r="A6836" t="s">
        <v>6446</v>
      </c>
      <c r="B6836" t="s">
        <v>3130</v>
      </c>
      <c r="C6836" t="s">
        <v>3131</v>
      </c>
      <c r="D6836" t="str">
        <f>HYPERLINK("http://service.sap.com/sap/support/notes/1807288","1807288")</f>
        <v>1807288</v>
      </c>
      <c r="E6836">
        <v>6</v>
      </c>
      <c r="F6836" t="s">
        <v>8272</v>
      </c>
    </row>
    <row r="6837" spans="1:6" x14ac:dyDescent="0.25">
      <c r="A6837" t="s">
        <v>6446</v>
      </c>
      <c r="B6837" t="s">
        <v>3130</v>
      </c>
      <c r="C6837" t="s">
        <v>3131</v>
      </c>
      <c r="D6837" t="str">
        <f>HYPERLINK("http://service.sap.com/sap/support/notes/1810842","1810842")</f>
        <v>1810842</v>
      </c>
      <c r="E6837">
        <v>7</v>
      </c>
      <c r="F6837" t="s">
        <v>8273</v>
      </c>
    </row>
    <row r="6838" spans="1:6" x14ac:dyDescent="0.25">
      <c r="A6838" t="s">
        <v>6446</v>
      </c>
      <c r="B6838" t="s">
        <v>3130</v>
      </c>
      <c r="C6838" t="s">
        <v>3131</v>
      </c>
      <c r="D6838" t="str">
        <f>HYPERLINK("http://service.sap.com/sap/support/notes/1818126","1818126")</f>
        <v>1818126</v>
      </c>
      <c r="E6838">
        <v>1</v>
      </c>
      <c r="F6838" t="s">
        <v>8274</v>
      </c>
    </row>
    <row r="6839" spans="1:6" x14ac:dyDescent="0.25">
      <c r="A6839" t="s">
        <v>6446</v>
      </c>
      <c r="B6839" t="s">
        <v>3130</v>
      </c>
      <c r="C6839" t="s">
        <v>3131</v>
      </c>
      <c r="D6839" t="str">
        <f>HYPERLINK("http://service.sap.com/sap/support/notes/1818383","1818383")</f>
        <v>1818383</v>
      </c>
      <c r="E6839">
        <v>1</v>
      </c>
      <c r="F6839" t="s">
        <v>8275</v>
      </c>
    </row>
    <row r="6840" spans="1:6" x14ac:dyDescent="0.25">
      <c r="A6840" t="s">
        <v>6446</v>
      </c>
      <c r="B6840" t="s">
        <v>8276</v>
      </c>
      <c r="C6840" t="s">
        <v>8277</v>
      </c>
      <c r="D6840" t="str">
        <f>HYPERLINK("http://service.sap.com/sap/support/notes/1809830","1809830")</f>
        <v>1809830</v>
      </c>
      <c r="E6840">
        <v>3</v>
      </c>
      <c r="F6840" t="s">
        <v>8278</v>
      </c>
    </row>
    <row r="6841" spans="1:6" x14ac:dyDescent="0.25">
      <c r="A6841" t="s">
        <v>6446</v>
      </c>
      <c r="B6841" t="s">
        <v>3134</v>
      </c>
      <c r="C6841" t="s">
        <v>3135</v>
      </c>
    </row>
    <row r="6842" spans="1:6" x14ac:dyDescent="0.25">
      <c r="A6842" t="s">
        <v>6446</v>
      </c>
      <c r="B6842" t="s">
        <v>8279</v>
      </c>
      <c r="C6842" t="s">
        <v>8280</v>
      </c>
      <c r="D6842" t="str">
        <f>HYPERLINK("http://service.sap.com/sap/support/notes/1796683","1796683")</f>
        <v>1796683</v>
      </c>
      <c r="E6842">
        <v>4</v>
      </c>
      <c r="F6842" t="s">
        <v>8281</v>
      </c>
    </row>
    <row r="6843" spans="1:6" x14ac:dyDescent="0.25">
      <c r="A6843" t="s">
        <v>6446</v>
      </c>
      <c r="B6843" t="s">
        <v>3139</v>
      </c>
      <c r="C6843" t="s">
        <v>3140</v>
      </c>
      <c r="D6843" t="str">
        <f>HYPERLINK("http://service.sap.com/sap/support/notes/1807219","1807219")</f>
        <v>1807219</v>
      </c>
    </row>
    <row r="6844" spans="1:6" x14ac:dyDescent="0.25">
      <c r="A6844" t="s">
        <v>6446</v>
      </c>
      <c r="B6844" t="s">
        <v>3142</v>
      </c>
      <c r="C6844" t="s">
        <v>3143</v>
      </c>
    </row>
    <row r="6845" spans="1:6" x14ac:dyDescent="0.25">
      <c r="A6845" t="s">
        <v>6446</v>
      </c>
      <c r="B6845" t="s">
        <v>3144</v>
      </c>
      <c r="C6845" t="s">
        <v>3145</v>
      </c>
      <c r="D6845" t="str">
        <f>HYPERLINK("http://service.sap.com/sap/support/notes/1788301","1788301")</f>
        <v>1788301</v>
      </c>
      <c r="E6845">
        <v>2</v>
      </c>
      <c r="F6845" t="s">
        <v>8282</v>
      </c>
    </row>
    <row r="6846" spans="1:6" x14ac:dyDescent="0.25">
      <c r="A6846" t="s">
        <v>6446</v>
      </c>
      <c r="B6846" t="s">
        <v>5804</v>
      </c>
      <c r="C6846" t="s">
        <v>5805</v>
      </c>
      <c r="D6846" t="str">
        <f>HYPERLINK("http://service.sap.com/sap/support/notes/1794562","1794562")</f>
        <v>1794562</v>
      </c>
      <c r="E6846">
        <v>3</v>
      </c>
      <c r="F6846" t="s">
        <v>8283</v>
      </c>
    </row>
    <row r="6847" spans="1:6" x14ac:dyDescent="0.25">
      <c r="A6847" t="s">
        <v>6446</v>
      </c>
      <c r="B6847" t="s">
        <v>5804</v>
      </c>
      <c r="C6847" t="s">
        <v>5805</v>
      </c>
      <c r="D6847" t="str">
        <f>HYPERLINK("http://service.sap.com/sap/support/notes/1802178","1802178")</f>
        <v>1802178</v>
      </c>
      <c r="E6847">
        <v>2</v>
      </c>
      <c r="F6847" t="s">
        <v>8284</v>
      </c>
    </row>
    <row r="6848" spans="1:6" x14ac:dyDescent="0.25">
      <c r="A6848" t="s">
        <v>6446</v>
      </c>
      <c r="B6848" t="s">
        <v>5804</v>
      </c>
      <c r="C6848" t="s">
        <v>5805</v>
      </c>
      <c r="D6848" t="str">
        <f>HYPERLINK("http://service.sap.com/sap/support/notes/1811093","1811093")</f>
        <v>1811093</v>
      </c>
      <c r="E6848">
        <v>2</v>
      </c>
      <c r="F6848" t="s">
        <v>8285</v>
      </c>
    </row>
    <row r="6849" spans="1:6" x14ac:dyDescent="0.25">
      <c r="A6849" t="s">
        <v>6446</v>
      </c>
      <c r="B6849" t="s">
        <v>3146</v>
      </c>
      <c r="C6849" t="s">
        <v>3147</v>
      </c>
      <c r="D6849" t="str">
        <f>HYPERLINK("http://service.sap.com/sap/support/notes/1822936","1822936")</f>
        <v>1822936</v>
      </c>
      <c r="E6849">
        <v>2</v>
      </c>
      <c r="F6849" t="s">
        <v>8286</v>
      </c>
    </row>
    <row r="6850" spans="1:6" x14ac:dyDescent="0.25">
      <c r="A6850" t="s">
        <v>6446</v>
      </c>
      <c r="B6850" t="s">
        <v>8287</v>
      </c>
      <c r="C6850" t="s">
        <v>8288</v>
      </c>
      <c r="D6850" t="str">
        <f>HYPERLINK("http://service.sap.com/sap/support/notes/1815498","1815498")</f>
        <v>1815498</v>
      </c>
      <c r="E6850">
        <v>2</v>
      </c>
      <c r="F6850" t="s">
        <v>8289</v>
      </c>
    </row>
    <row r="6851" spans="1:6" x14ac:dyDescent="0.25">
      <c r="A6851" t="s">
        <v>6446</v>
      </c>
      <c r="B6851" t="s">
        <v>3150</v>
      </c>
      <c r="C6851" t="s">
        <v>3151</v>
      </c>
    </row>
    <row r="6852" spans="1:6" x14ac:dyDescent="0.25">
      <c r="A6852" t="s">
        <v>6446</v>
      </c>
      <c r="B6852" t="s">
        <v>3153</v>
      </c>
      <c r="C6852" t="s">
        <v>3154</v>
      </c>
      <c r="D6852" t="str">
        <f>HYPERLINK("http://service.sap.com/sap/support/notes/1799884","1799884")</f>
        <v>1799884</v>
      </c>
      <c r="E6852">
        <v>2</v>
      </c>
      <c r="F6852" t="s">
        <v>8290</v>
      </c>
    </row>
    <row r="6853" spans="1:6" x14ac:dyDescent="0.25">
      <c r="A6853" t="s">
        <v>6446</v>
      </c>
      <c r="B6853" t="s">
        <v>3153</v>
      </c>
      <c r="C6853" t="s">
        <v>3154</v>
      </c>
      <c r="D6853" t="str">
        <f>HYPERLINK("http://service.sap.com/sap/support/notes/1806849","1806849")</f>
        <v>1806849</v>
      </c>
      <c r="E6853">
        <v>2</v>
      </c>
      <c r="F6853" t="s">
        <v>8291</v>
      </c>
    </row>
    <row r="6854" spans="1:6" x14ac:dyDescent="0.25">
      <c r="A6854" t="s">
        <v>6446</v>
      </c>
      <c r="B6854" t="s">
        <v>3156</v>
      </c>
      <c r="C6854" t="s">
        <v>3157</v>
      </c>
      <c r="D6854" t="str">
        <f>HYPERLINK("http://service.sap.com/sap/support/notes/1788299","1788299")</f>
        <v>1788299</v>
      </c>
      <c r="E6854">
        <v>3</v>
      </c>
      <c r="F6854" t="s">
        <v>8292</v>
      </c>
    </row>
    <row r="6855" spans="1:6" x14ac:dyDescent="0.25">
      <c r="A6855" t="s">
        <v>6446</v>
      </c>
      <c r="B6855" t="s">
        <v>3156</v>
      </c>
      <c r="C6855" t="s">
        <v>3157</v>
      </c>
      <c r="D6855" t="str">
        <f>HYPERLINK("http://service.sap.com/sap/support/notes/1799145","1799145")</f>
        <v>1799145</v>
      </c>
      <c r="E6855">
        <v>1</v>
      </c>
      <c r="F6855" t="s">
        <v>8293</v>
      </c>
    </row>
    <row r="6856" spans="1:6" x14ac:dyDescent="0.25">
      <c r="A6856" t="s">
        <v>6446</v>
      </c>
      <c r="B6856" t="s">
        <v>3156</v>
      </c>
      <c r="C6856" t="s">
        <v>3157</v>
      </c>
      <c r="D6856" t="str">
        <f>HYPERLINK("http://service.sap.com/sap/support/notes/1803044","1803044")</f>
        <v>1803044</v>
      </c>
      <c r="E6856">
        <v>4</v>
      </c>
      <c r="F6856" t="s">
        <v>8294</v>
      </c>
    </row>
    <row r="6857" spans="1:6" x14ac:dyDescent="0.25">
      <c r="A6857" t="s">
        <v>6446</v>
      </c>
      <c r="B6857" t="s">
        <v>3156</v>
      </c>
      <c r="C6857" t="s">
        <v>3157</v>
      </c>
      <c r="D6857" t="str">
        <f>HYPERLINK("http://service.sap.com/sap/support/notes/1803376","1803376")</f>
        <v>1803376</v>
      </c>
      <c r="E6857">
        <v>3</v>
      </c>
      <c r="F6857" t="s">
        <v>8295</v>
      </c>
    </row>
    <row r="6858" spans="1:6" x14ac:dyDescent="0.25">
      <c r="A6858" t="s">
        <v>6446</v>
      </c>
      <c r="B6858" t="s">
        <v>3156</v>
      </c>
      <c r="C6858" t="s">
        <v>3157</v>
      </c>
      <c r="D6858" t="str">
        <f>HYPERLINK("http://service.sap.com/sap/support/notes/1807488","1807488")</f>
        <v>1807488</v>
      </c>
      <c r="E6858">
        <v>2</v>
      </c>
      <c r="F6858" t="s">
        <v>8296</v>
      </c>
    </row>
    <row r="6859" spans="1:6" x14ac:dyDescent="0.25">
      <c r="A6859" t="s">
        <v>6446</v>
      </c>
      <c r="B6859" t="s">
        <v>3160</v>
      </c>
      <c r="C6859" t="s">
        <v>3161</v>
      </c>
      <c r="D6859" t="str">
        <f>HYPERLINK("http://service.sap.com/sap/support/notes/1820800","1820800")</f>
        <v>1820800</v>
      </c>
      <c r="E6859">
        <v>3</v>
      </c>
      <c r="F6859" t="s">
        <v>8297</v>
      </c>
    </row>
    <row r="6860" spans="1:6" x14ac:dyDescent="0.25">
      <c r="A6860" t="s">
        <v>6446</v>
      </c>
      <c r="B6860" t="s">
        <v>5815</v>
      </c>
      <c r="C6860" t="s">
        <v>5816</v>
      </c>
      <c r="D6860" t="str">
        <f>HYPERLINK("http://service.sap.com/sap/support/notes/1807677","1807677")</f>
        <v>1807677</v>
      </c>
      <c r="E6860">
        <v>5</v>
      </c>
      <c r="F6860" t="s">
        <v>8298</v>
      </c>
    </row>
    <row r="6861" spans="1:6" x14ac:dyDescent="0.25">
      <c r="A6861" t="s">
        <v>6446</v>
      </c>
      <c r="B6861" t="s">
        <v>5819</v>
      </c>
      <c r="C6861" t="s">
        <v>5820</v>
      </c>
      <c r="D6861" t="str">
        <f>HYPERLINK("http://service.sap.com/sap/support/notes/1791280","1791280")</f>
        <v>1791280</v>
      </c>
      <c r="E6861">
        <v>2</v>
      </c>
      <c r="F6861" t="s">
        <v>8299</v>
      </c>
    </row>
    <row r="6862" spans="1:6" x14ac:dyDescent="0.25">
      <c r="A6862" t="s">
        <v>6446</v>
      </c>
      <c r="B6862" t="s">
        <v>5819</v>
      </c>
      <c r="C6862" t="s">
        <v>5820</v>
      </c>
      <c r="D6862" t="str">
        <f>HYPERLINK("http://service.sap.com/sap/support/notes/1814272","1814272")</f>
        <v>1814272</v>
      </c>
      <c r="E6862">
        <v>2</v>
      </c>
      <c r="F6862" t="s">
        <v>8300</v>
      </c>
    </row>
    <row r="6863" spans="1:6" x14ac:dyDescent="0.25">
      <c r="A6863" t="s">
        <v>6446</v>
      </c>
      <c r="B6863" t="s">
        <v>3163</v>
      </c>
      <c r="C6863" t="s">
        <v>3164</v>
      </c>
      <c r="D6863" t="str">
        <f>HYPERLINK("http://service.sap.com/sap/support/notes/1805920","1805920")</f>
        <v>1805920</v>
      </c>
      <c r="E6863">
        <v>2</v>
      </c>
      <c r="F6863" t="s">
        <v>8301</v>
      </c>
    </row>
    <row r="6864" spans="1:6" x14ac:dyDescent="0.25">
      <c r="A6864" t="s">
        <v>6446</v>
      </c>
      <c r="B6864" t="s">
        <v>3163</v>
      </c>
      <c r="C6864" t="s">
        <v>3164</v>
      </c>
      <c r="D6864" t="str">
        <f>HYPERLINK("http://service.sap.com/sap/support/notes/1810164","1810164")</f>
        <v>1810164</v>
      </c>
      <c r="E6864">
        <v>3</v>
      </c>
      <c r="F6864" t="s">
        <v>8302</v>
      </c>
    </row>
    <row r="6865" spans="1:6" x14ac:dyDescent="0.25">
      <c r="A6865" t="s">
        <v>6446</v>
      </c>
      <c r="B6865" t="s">
        <v>3171</v>
      </c>
      <c r="C6865" t="s">
        <v>3172</v>
      </c>
    </row>
    <row r="6866" spans="1:6" x14ac:dyDescent="0.25">
      <c r="A6866" t="s">
        <v>6446</v>
      </c>
      <c r="B6866" t="s">
        <v>3174</v>
      </c>
      <c r="C6866" t="s">
        <v>1588</v>
      </c>
    </row>
    <row r="6867" spans="1:6" x14ac:dyDescent="0.25">
      <c r="A6867" t="s">
        <v>6446</v>
      </c>
      <c r="B6867" t="s">
        <v>5822</v>
      </c>
      <c r="C6867" t="s">
        <v>5823</v>
      </c>
      <c r="D6867" t="str">
        <f>HYPERLINK("http://service.sap.com/sap/support/notes/736920","736920")</f>
        <v>736920</v>
      </c>
      <c r="E6867">
        <v>7</v>
      </c>
      <c r="F6867" t="s">
        <v>8303</v>
      </c>
    </row>
    <row r="6868" spans="1:6" x14ac:dyDescent="0.25">
      <c r="A6868" t="s">
        <v>6446</v>
      </c>
      <c r="B6868" t="s">
        <v>5822</v>
      </c>
      <c r="C6868" t="s">
        <v>5823</v>
      </c>
      <c r="D6868" t="str">
        <f>HYPERLINK("http://service.sap.com/sap/support/notes/1821621","1821621")</f>
        <v>1821621</v>
      </c>
      <c r="E6868">
        <v>1</v>
      </c>
      <c r="F6868" t="s">
        <v>8304</v>
      </c>
    </row>
    <row r="6869" spans="1:6" x14ac:dyDescent="0.25">
      <c r="A6869" t="s">
        <v>6446</v>
      </c>
      <c r="B6869" t="s">
        <v>5826</v>
      </c>
      <c r="C6869" t="s">
        <v>5827</v>
      </c>
      <c r="D6869" t="str">
        <f>HYPERLINK("http://service.sap.com/sap/support/notes/1762294","1762294")</f>
        <v>1762294</v>
      </c>
      <c r="E6869">
        <v>7</v>
      </c>
      <c r="F6869" t="s">
        <v>5830</v>
      </c>
    </row>
    <row r="6870" spans="1:6" x14ac:dyDescent="0.25">
      <c r="A6870" t="s">
        <v>6446</v>
      </c>
      <c r="B6870" t="s">
        <v>3178</v>
      </c>
      <c r="C6870" t="s">
        <v>3179</v>
      </c>
      <c r="D6870" t="str">
        <f>HYPERLINK("http://service.sap.com/sap/support/notes/1785549","1785549")</f>
        <v>1785549</v>
      </c>
      <c r="E6870">
        <v>3</v>
      </c>
      <c r="F6870" t="s">
        <v>8305</v>
      </c>
    </row>
    <row r="6871" spans="1:6" x14ac:dyDescent="0.25">
      <c r="A6871" t="s">
        <v>6446</v>
      </c>
      <c r="B6871" t="s">
        <v>3178</v>
      </c>
      <c r="C6871" t="s">
        <v>3179</v>
      </c>
      <c r="D6871" t="str">
        <f>HYPERLINK("http://service.sap.com/sap/support/notes/1808228","1808228")</f>
        <v>1808228</v>
      </c>
      <c r="E6871">
        <v>2</v>
      </c>
      <c r="F6871" t="s">
        <v>8306</v>
      </c>
    </row>
    <row r="6872" spans="1:6" x14ac:dyDescent="0.25">
      <c r="A6872" t="s">
        <v>6446</v>
      </c>
      <c r="B6872" t="s">
        <v>8307</v>
      </c>
      <c r="C6872" t="s">
        <v>8308</v>
      </c>
    </row>
    <row r="6873" spans="1:6" x14ac:dyDescent="0.25">
      <c r="A6873" t="s">
        <v>6446</v>
      </c>
      <c r="B6873" t="s">
        <v>8309</v>
      </c>
      <c r="C6873" t="s">
        <v>8310</v>
      </c>
      <c r="D6873" t="str">
        <f>HYPERLINK("http://service.sap.com/sap/support/notes/1795863","1795863")</f>
        <v>1795863</v>
      </c>
      <c r="E6873">
        <v>2</v>
      </c>
      <c r="F6873" t="s">
        <v>8311</v>
      </c>
    </row>
    <row r="6874" spans="1:6" x14ac:dyDescent="0.25">
      <c r="A6874" t="s">
        <v>6446</v>
      </c>
      <c r="B6874" t="s">
        <v>3185</v>
      </c>
      <c r="C6874" t="s">
        <v>3186</v>
      </c>
      <c r="D6874" t="str">
        <f>HYPERLINK("http://service.sap.com/sap/support/notes/1791808","1791808")</f>
        <v>1791808</v>
      </c>
      <c r="E6874">
        <v>2</v>
      </c>
      <c r="F6874" t="s">
        <v>8312</v>
      </c>
    </row>
    <row r="6875" spans="1:6" x14ac:dyDescent="0.25">
      <c r="A6875" t="s">
        <v>6446</v>
      </c>
      <c r="B6875" t="s">
        <v>3185</v>
      </c>
      <c r="C6875" t="s">
        <v>3186</v>
      </c>
      <c r="D6875" t="str">
        <f>HYPERLINK("http://service.sap.com/sap/support/notes/1794007","1794007")</f>
        <v>1794007</v>
      </c>
      <c r="E6875">
        <v>4</v>
      </c>
      <c r="F6875" t="s">
        <v>8313</v>
      </c>
    </row>
    <row r="6876" spans="1:6" x14ac:dyDescent="0.25">
      <c r="A6876" t="s">
        <v>6446</v>
      </c>
      <c r="B6876" t="s">
        <v>3185</v>
      </c>
      <c r="C6876" t="s">
        <v>3186</v>
      </c>
      <c r="D6876" t="str">
        <f>HYPERLINK("http://service.sap.com/sap/support/notes/1794939","1794939")</f>
        <v>1794939</v>
      </c>
      <c r="E6876">
        <v>2</v>
      </c>
      <c r="F6876" t="s">
        <v>8314</v>
      </c>
    </row>
    <row r="6877" spans="1:6" x14ac:dyDescent="0.25">
      <c r="A6877" t="s">
        <v>6446</v>
      </c>
      <c r="B6877" t="s">
        <v>3185</v>
      </c>
      <c r="C6877" t="s">
        <v>3186</v>
      </c>
      <c r="D6877" t="str">
        <f>HYPERLINK("http://service.sap.com/sap/support/notes/1797416","1797416")</f>
        <v>1797416</v>
      </c>
      <c r="E6877">
        <v>2</v>
      </c>
      <c r="F6877" t="s">
        <v>8315</v>
      </c>
    </row>
    <row r="6878" spans="1:6" x14ac:dyDescent="0.25">
      <c r="A6878" t="s">
        <v>6446</v>
      </c>
      <c r="B6878" t="s">
        <v>3185</v>
      </c>
      <c r="C6878" t="s">
        <v>3186</v>
      </c>
      <c r="D6878" t="str">
        <f>HYPERLINK("http://service.sap.com/sap/support/notes/1798792","1798792")</f>
        <v>1798792</v>
      </c>
      <c r="E6878">
        <v>2</v>
      </c>
      <c r="F6878" t="s">
        <v>8316</v>
      </c>
    </row>
    <row r="6879" spans="1:6" x14ac:dyDescent="0.25">
      <c r="A6879" t="s">
        <v>6446</v>
      </c>
      <c r="B6879" t="s">
        <v>3185</v>
      </c>
      <c r="C6879" t="s">
        <v>3186</v>
      </c>
      <c r="D6879" t="str">
        <f>HYPERLINK("http://service.sap.com/sap/support/notes/1800154","1800154")</f>
        <v>1800154</v>
      </c>
      <c r="E6879">
        <v>2</v>
      </c>
      <c r="F6879" t="s">
        <v>8317</v>
      </c>
    </row>
    <row r="6880" spans="1:6" x14ac:dyDescent="0.25">
      <c r="A6880" t="s">
        <v>6446</v>
      </c>
      <c r="B6880" t="s">
        <v>3185</v>
      </c>
      <c r="C6880" t="s">
        <v>3186</v>
      </c>
      <c r="D6880" t="str">
        <f>HYPERLINK("http://service.sap.com/sap/support/notes/1803267","1803267")</f>
        <v>1803267</v>
      </c>
      <c r="E6880">
        <v>5</v>
      </c>
      <c r="F6880" t="s">
        <v>8318</v>
      </c>
    </row>
    <row r="6881" spans="1:6" x14ac:dyDescent="0.25">
      <c r="A6881" t="s">
        <v>6446</v>
      </c>
      <c r="B6881" t="s">
        <v>3185</v>
      </c>
      <c r="C6881" t="s">
        <v>3186</v>
      </c>
      <c r="D6881" t="str">
        <f>HYPERLINK("http://service.sap.com/sap/support/notes/1804662","1804662")</f>
        <v>1804662</v>
      </c>
      <c r="E6881">
        <v>2</v>
      </c>
      <c r="F6881" t="s">
        <v>8319</v>
      </c>
    </row>
    <row r="6882" spans="1:6" x14ac:dyDescent="0.25">
      <c r="A6882" t="s">
        <v>6446</v>
      </c>
      <c r="B6882" t="s">
        <v>3185</v>
      </c>
      <c r="C6882" t="s">
        <v>3186</v>
      </c>
      <c r="D6882" t="str">
        <f>HYPERLINK("http://service.sap.com/sap/support/notes/1813137","1813137")</f>
        <v>1813137</v>
      </c>
      <c r="E6882">
        <v>2</v>
      </c>
      <c r="F6882" t="s">
        <v>8320</v>
      </c>
    </row>
    <row r="6883" spans="1:6" x14ac:dyDescent="0.25">
      <c r="A6883" t="s">
        <v>6446</v>
      </c>
      <c r="B6883" t="s">
        <v>3185</v>
      </c>
      <c r="C6883" t="s">
        <v>3186</v>
      </c>
      <c r="D6883" t="str">
        <f>HYPERLINK("http://service.sap.com/sap/support/notes/1814456","1814456")</f>
        <v>1814456</v>
      </c>
      <c r="E6883">
        <v>1</v>
      </c>
      <c r="F6883" t="s">
        <v>8321</v>
      </c>
    </row>
    <row r="6884" spans="1:6" x14ac:dyDescent="0.25">
      <c r="A6884" t="s">
        <v>6446</v>
      </c>
      <c r="B6884" t="s">
        <v>3185</v>
      </c>
      <c r="C6884" t="s">
        <v>3186</v>
      </c>
      <c r="D6884" t="str">
        <f>HYPERLINK("http://service.sap.com/sap/support/notes/1826884","1826884")</f>
        <v>1826884</v>
      </c>
      <c r="E6884">
        <v>1</v>
      </c>
      <c r="F6884" t="s">
        <v>8322</v>
      </c>
    </row>
    <row r="6885" spans="1:6" x14ac:dyDescent="0.25">
      <c r="A6885" t="s">
        <v>6446</v>
      </c>
      <c r="B6885" t="s">
        <v>3185</v>
      </c>
      <c r="C6885" t="s">
        <v>3186</v>
      </c>
      <c r="D6885" t="str">
        <f>HYPERLINK("http://service.sap.com/sap/support/notes/1827136","1827136")</f>
        <v>1827136</v>
      </c>
      <c r="E6885">
        <v>1</v>
      </c>
      <c r="F6885" t="s">
        <v>8323</v>
      </c>
    </row>
    <row r="6886" spans="1:6" x14ac:dyDescent="0.25">
      <c r="A6886" t="s">
        <v>6446</v>
      </c>
      <c r="B6886" t="s">
        <v>3195</v>
      </c>
      <c r="C6886" t="s">
        <v>3196</v>
      </c>
    </row>
    <row r="6887" spans="1:6" x14ac:dyDescent="0.25">
      <c r="A6887" t="s">
        <v>6446</v>
      </c>
      <c r="B6887" t="s">
        <v>3197</v>
      </c>
      <c r="C6887" t="s">
        <v>1588</v>
      </c>
      <c r="D6887" t="str">
        <f>HYPERLINK("http://service.sap.com/sap/support/notes/1153922","1153922")</f>
        <v>1153922</v>
      </c>
      <c r="E6887">
        <v>1</v>
      </c>
      <c r="F6887" t="s">
        <v>8324</v>
      </c>
    </row>
    <row r="6888" spans="1:6" x14ac:dyDescent="0.25">
      <c r="A6888" t="s">
        <v>6446</v>
      </c>
      <c r="B6888" t="s">
        <v>8325</v>
      </c>
      <c r="C6888" t="s">
        <v>8326</v>
      </c>
    </row>
    <row r="6889" spans="1:6" x14ac:dyDescent="0.25">
      <c r="A6889" t="s">
        <v>6446</v>
      </c>
      <c r="B6889" t="s">
        <v>8327</v>
      </c>
      <c r="C6889" t="s">
        <v>8328</v>
      </c>
      <c r="D6889" t="str">
        <f>HYPERLINK("http://service.sap.com/sap/support/notes/1792505","1792505")</f>
        <v>1792505</v>
      </c>
      <c r="E6889">
        <v>1</v>
      </c>
      <c r="F6889" t="s">
        <v>8329</v>
      </c>
    </row>
    <row r="6890" spans="1:6" x14ac:dyDescent="0.25">
      <c r="A6890" t="s">
        <v>6446</v>
      </c>
      <c r="B6890" t="s">
        <v>3204</v>
      </c>
      <c r="C6890" t="s">
        <v>3205</v>
      </c>
      <c r="D6890" t="str">
        <f>HYPERLINK("http://service.sap.com/sap/support/notes/1802176","1802176")</f>
        <v>1802176</v>
      </c>
      <c r="E6890">
        <v>1</v>
      </c>
      <c r="F6890" t="s">
        <v>5860</v>
      </c>
    </row>
    <row r="6891" spans="1:6" x14ac:dyDescent="0.25">
      <c r="A6891" t="s">
        <v>6446</v>
      </c>
      <c r="B6891" t="s">
        <v>3215</v>
      </c>
      <c r="C6891" t="s">
        <v>3216</v>
      </c>
    </row>
    <row r="6892" spans="1:6" x14ac:dyDescent="0.25">
      <c r="A6892" t="s">
        <v>6446</v>
      </c>
      <c r="B6892" t="s">
        <v>3217</v>
      </c>
      <c r="C6892" t="s">
        <v>3218</v>
      </c>
    </row>
    <row r="6893" spans="1:6" x14ac:dyDescent="0.25">
      <c r="A6893" t="s">
        <v>6446</v>
      </c>
      <c r="B6893" t="s">
        <v>3219</v>
      </c>
      <c r="C6893" t="s">
        <v>8330</v>
      </c>
      <c r="D6893" t="str">
        <f>HYPERLINK("http://service.sap.com/sap/support/notes/1803522","1803522")</f>
        <v>1803522</v>
      </c>
      <c r="E6893">
        <v>1</v>
      </c>
      <c r="F6893" t="s">
        <v>8331</v>
      </c>
    </row>
    <row r="6894" spans="1:6" x14ac:dyDescent="0.25">
      <c r="A6894" t="s">
        <v>6446</v>
      </c>
      <c r="B6894" t="s">
        <v>8332</v>
      </c>
      <c r="C6894" t="s">
        <v>8333</v>
      </c>
      <c r="D6894" t="str">
        <f>HYPERLINK("http://service.sap.com/sap/support/notes/1795604","1795604")</f>
        <v>1795604</v>
      </c>
      <c r="E6894">
        <v>4</v>
      </c>
      <c r="F6894" t="s">
        <v>8334</v>
      </c>
    </row>
    <row r="6895" spans="1:6" x14ac:dyDescent="0.25">
      <c r="A6895" t="s">
        <v>6446</v>
      </c>
      <c r="B6895" t="s">
        <v>3231</v>
      </c>
      <c r="C6895" t="s">
        <v>1784</v>
      </c>
      <c r="D6895" t="str">
        <f>HYPERLINK("http://service.sap.com/sap/support/notes/1803583","1803583")</f>
        <v>1803583</v>
      </c>
      <c r="E6895">
        <v>2</v>
      </c>
      <c r="F6895" t="s">
        <v>8335</v>
      </c>
    </row>
    <row r="6896" spans="1:6" x14ac:dyDescent="0.25">
      <c r="A6896" t="s">
        <v>6446</v>
      </c>
      <c r="B6896" t="s">
        <v>3231</v>
      </c>
      <c r="C6896" t="s">
        <v>1784</v>
      </c>
      <c r="D6896" t="str">
        <f>HYPERLINK("http://service.sap.com/sap/support/notes/1813115","1813115")</f>
        <v>1813115</v>
      </c>
      <c r="E6896">
        <v>2</v>
      </c>
      <c r="F6896" t="s">
        <v>8336</v>
      </c>
    </row>
    <row r="6897" spans="1:6" x14ac:dyDescent="0.25">
      <c r="A6897" t="s">
        <v>6446</v>
      </c>
      <c r="B6897" t="s">
        <v>3231</v>
      </c>
      <c r="C6897" t="s">
        <v>1784</v>
      </c>
      <c r="D6897" t="str">
        <f>HYPERLINK("http://service.sap.com/sap/support/notes/1814309","1814309")</f>
        <v>1814309</v>
      </c>
      <c r="E6897">
        <v>1</v>
      </c>
      <c r="F6897" t="s">
        <v>8337</v>
      </c>
    </row>
    <row r="6898" spans="1:6" x14ac:dyDescent="0.25">
      <c r="A6898" t="s">
        <v>6446</v>
      </c>
      <c r="B6898" t="s">
        <v>3233</v>
      </c>
      <c r="C6898" t="s">
        <v>3234</v>
      </c>
    </row>
    <row r="6899" spans="1:6" x14ac:dyDescent="0.25">
      <c r="A6899" t="s">
        <v>6446</v>
      </c>
      <c r="B6899" t="s">
        <v>5882</v>
      </c>
      <c r="C6899" t="s">
        <v>1638</v>
      </c>
      <c r="D6899" t="str">
        <f>HYPERLINK("http://service.sap.com/sap/support/notes/1796416","1796416")</f>
        <v>1796416</v>
      </c>
      <c r="E6899">
        <v>2</v>
      </c>
      <c r="F6899" t="s">
        <v>8338</v>
      </c>
    </row>
    <row r="6900" spans="1:6" x14ac:dyDescent="0.25">
      <c r="A6900" t="s">
        <v>6446</v>
      </c>
      <c r="B6900" t="s">
        <v>5882</v>
      </c>
      <c r="C6900" t="s">
        <v>1638</v>
      </c>
      <c r="D6900" t="str">
        <f>HYPERLINK("http://service.sap.com/sap/support/notes/1809693","1809693")</f>
        <v>1809693</v>
      </c>
      <c r="E6900">
        <v>2</v>
      </c>
      <c r="F6900" t="s">
        <v>8339</v>
      </c>
    </row>
    <row r="6901" spans="1:6" x14ac:dyDescent="0.25">
      <c r="A6901" t="s">
        <v>6446</v>
      </c>
      <c r="B6901" t="s">
        <v>3238</v>
      </c>
      <c r="C6901" t="s">
        <v>3239</v>
      </c>
      <c r="D6901" t="str">
        <f>HYPERLINK("http://service.sap.com/sap/support/notes/1794036","1794036")</f>
        <v>1794036</v>
      </c>
      <c r="E6901">
        <v>3</v>
      </c>
      <c r="F6901" t="s">
        <v>5892</v>
      </c>
    </row>
    <row r="6902" spans="1:6" x14ac:dyDescent="0.25">
      <c r="A6902" t="s">
        <v>6446</v>
      </c>
      <c r="B6902" t="s">
        <v>3238</v>
      </c>
      <c r="C6902" t="s">
        <v>3239</v>
      </c>
      <c r="D6902" t="str">
        <f>HYPERLINK("http://service.sap.com/sap/support/notes/1821988","1821988")</f>
        <v>1821988</v>
      </c>
      <c r="E6902">
        <v>3</v>
      </c>
      <c r="F6902" t="s">
        <v>8340</v>
      </c>
    </row>
    <row r="6903" spans="1:6" x14ac:dyDescent="0.25">
      <c r="A6903" t="s">
        <v>6446</v>
      </c>
      <c r="B6903" t="s">
        <v>3238</v>
      </c>
      <c r="C6903" t="s">
        <v>3239</v>
      </c>
      <c r="D6903" t="str">
        <f>HYPERLINK("http://service.sap.com/sap/support/notes/1823767","1823767")</f>
        <v>1823767</v>
      </c>
      <c r="E6903">
        <v>2</v>
      </c>
      <c r="F6903" t="s">
        <v>8341</v>
      </c>
    </row>
    <row r="6904" spans="1:6" x14ac:dyDescent="0.25">
      <c r="A6904" t="s">
        <v>6446</v>
      </c>
      <c r="B6904" t="s">
        <v>3241</v>
      </c>
      <c r="C6904" t="s">
        <v>3242</v>
      </c>
      <c r="D6904" t="str">
        <f>HYPERLINK("http://service.sap.com/sap/support/notes/1798288","1798288")</f>
        <v>1798288</v>
      </c>
      <c r="E6904">
        <v>2</v>
      </c>
      <c r="F6904" t="s">
        <v>8342</v>
      </c>
    </row>
    <row r="6905" spans="1:6" x14ac:dyDescent="0.25">
      <c r="A6905" t="s">
        <v>6446</v>
      </c>
      <c r="B6905" t="s">
        <v>8343</v>
      </c>
      <c r="C6905" t="s">
        <v>8344</v>
      </c>
      <c r="D6905" t="str">
        <f>HYPERLINK("http://service.sap.com/sap/support/notes/1825755","1825755")</f>
        <v>1825755</v>
      </c>
      <c r="E6905">
        <v>1</v>
      </c>
      <c r="F6905" t="s">
        <v>8345</v>
      </c>
    </row>
    <row r="6906" spans="1:6" x14ac:dyDescent="0.25">
      <c r="A6906" t="s">
        <v>6446</v>
      </c>
      <c r="B6906" t="s">
        <v>8346</v>
      </c>
      <c r="C6906" t="s">
        <v>8347</v>
      </c>
      <c r="D6906" t="str">
        <f>HYPERLINK("http://service.sap.com/sap/support/notes/1804054","1804054")</f>
        <v>1804054</v>
      </c>
      <c r="E6906">
        <v>1</v>
      </c>
      <c r="F6906" t="s">
        <v>8348</v>
      </c>
    </row>
    <row r="6907" spans="1:6" x14ac:dyDescent="0.25">
      <c r="A6907" t="s">
        <v>6446</v>
      </c>
      <c r="B6907" t="s">
        <v>3251</v>
      </c>
      <c r="C6907" t="s">
        <v>29</v>
      </c>
    </row>
    <row r="6908" spans="1:6" x14ac:dyDescent="0.25">
      <c r="A6908" t="s">
        <v>6446</v>
      </c>
      <c r="B6908" t="s">
        <v>3252</v>
      </c>
      <c r="C6908" t="s">
        <v>3253</v>
      </c>
      <c r="D6908" t="str">
        <f>HYPERLINK("http://service.sap.com/sap/support/notes/1796793","1796793")</f>
        <v>1796793</v>
      </c>
      <c r="E6908">
        <v>3</v>
      </c>
      <c r="F6908" t="s">
        <v>5913</v>
      </c>
    </row>
    <row r="6909" spans="1:6" x14ac:dyDescent="0.25">
      <c r="A6909" t="s">
        <v>6446</v>
      </c>
      <c r="B6909" t="s">
        <v>3252</v>
      </c>
      <c r="C6909" t="s">
        <v>3253</v>
      </c>
      <c r="D6909" t="str">
        <f>HYPERLINK("http://service.sap.com/sap/support/notes/1797604","1797604")</f>
        <v>1797604</v>
      </c>
      <c r="E6909">
        <v>1</v>
      </c>
      <c r="F6909" t="s">
        <v>8349</v>
      </c>
    </row>
    <row r="6910" spans="1:6" x14ac:dyDescent="0.25">
      <c r="A6910" t="s">
        <v>6446</v>
      </c>
      <c r="B6910" t="s">
        <v>3252</v>
      </c>
      <c r="C6910" t="s">
        <v>3253</v>
      </c>
      <c r="D6910" t="str">
        <f>HYPERLINK("http://service.sap.com/sap/support/notes/1802948","1802948")</f>
        <v>1802948</v>
      </c>
      <c r="E6910">
        <v>2</v>
      </c>
      <c r="F6910" t="s">
        <v>8350</v>
      </c>
    </row>
    <row r="6911" spans="1:6" x14ac:dyDescent="0.25">
      <c r="A6911" t="s">
        <v>6446</v>
      </c>
      <c r="B6911" t="s">
        <v>3252</v>
      </c>
      <c r="C6911" t="s">
        <v>3253</v>
      </c>
      <c r="D6911" t="str">
        <f>HYPERLINK("http://service.sap.com/sap/support/notes/1808497","1808497")</f>
        <v>1808497</v>
      </c>
      <c r="E6911">
        <v>2</v>
      </c>
      <c r="F6911" t="s">
        <v>8351</v>
      </c>
    </row>
    <row r="6912" spans="1:6" x14ac:dyDescent="0.25">
      <c r="A6912" t="s">
        <v>6446</v>
      </c>
      <c r="B6912" t="s">
        <v>3252</v>
      </c>
      <c r="C6912" t="s">
        <v>3253</v>
      </c>
      <c r="D6912" t="str">
        <f>HYPERLINK("http://service.sap.com/sap/support/notes/1814500","1814500")</f>
        <v>1814500</v>
      </c>
      <c r="E6912">
        <v>1</v>
      </c>
      <c r="F6912" t="s">
        <v>8352</v>
      </c>
    </row>
    <row r="6913" spans="1:6" x14ac:dyDescent="0.25">
      <c r="A6913" t="s">
        <v>6446</v>
      </c>
      <c r="B6913" t="s">
        <v>3252</v>
      </c>
      <c r="C6913" t="s">
        <v>3253</v>
      </c>
      <c r="D6913" t="str">
        <f>HYPERLINK("http://service.sap.com/sap/support/notes/1826431","1826431")</f>
        <v>1826431</v>
      </c>
      <c r="E6913">
        <v>1</v>
      </c>
      <c r="F6913" t="s">
        <v>8353</v>
      </c>
    </row>
    <row r="6914" spans="1:6" x14ac:dyDescent="0.25">
      <c r="A6914" t="s">
        <v>6446</v>
      </c>
      <c r="B6914" t="s">
        <v>3252</v>
      </c>
      <c r="C6914" t="s">
        <v>3253</v>
      </c>
      <c r="D6914" t="str">
        <f>HYPERLINK("http://service.sap.com/sap/support/notes/1830451","1830451")</f>
        <v>1830451</v>
      </c>
      <c r="E6914">
        <v>1</v>
      </c>
      <c r="F6914" t="s">
        <v>8354</v>
      </c>
    </row>
    <row r="6915" spans="1:6" x14ac:dyDescent="0.25">
      <c r="A6915" t="s">
        <v>6446</v>
      </c>
      <c r="B6915" t="s">
        <v>8355</v>
      </c>
      <c r="C6915" t="s">
        <v>6468</v>
      </c>
      <c r="D6915" t="str">
        <f>HYPERLINK("http://service.sap.com/sap/support/notes/1785721","1785721")</f>
        <v>1785721</v>
      </c>
      <c r="E6915">
        <v>2</v>
      </c>
      <c r="F6915" t="s">
        <v>8356</v>
      </c>
    </row>
    <row r="6916" spans="1:6" x14ac:dyDescent="0.25">
      <c r="A6916" t="s">
        <v>6446</v>
      </c>
      <c r="B6916" t="s">
        <v>8357</v>
      </c>
      <c r="C6916" t="s">
        <v>8358</v>
      </c>
      <c r="D6916" t="str">
        <f>HYPERLINK("http://service.sap.com/sap/support/notes/1700933","1700933")</f>
        <v>1700933</v>
      </c>
      <c r="E6916">
        <v>8</v>
      </c>
      <c r="F6916" t="s">
        <v>8359</v>
      </c>
    </row>
    <row r="6917" spans="1:6" x14ac:dyDescent="0.25">
      <c r="A6917" t="s">
        <v>6446</v>
      </c>
      <c r="B6917" t="s">
        <v>8357</v>
      </c>
      <c r="C6917" t="s">
        <v>8358</v>
      </c>
      <c r="D6917" t="str">
        <f>HYPERLINK("http://service.sap.com/sap/support/notes/1783208","1783208")</f>
        <v>1783208</v>
      </c>
      <c r="E6917">
        <v>2</v>
      </c>
      <c r="F6917" t="s">
        <v>8360</v>
      </c>
    </row>
    <row r="6918" spans="1:6" x14ac:dyDescent="0.25">
      <c r="A6918" t="s">
        <v>6446</v>
      </c>
      <c r="B6918" t="s">
        <v>8357</v>
      </c>
      <c r="C6918" t="s">
        <v>8358</v>
      </c>
      <c r="D6918" t="str">
        <f>HYPERLINK("http://service.sap.com/sap/support/notes/1785979","1785979")</f>
        <v>1785979</v>
      </c>
      <c r="E6918">
        <v>1</v>
      </c>
      <c r="F6918" t="s">
        <v>8361</v>
      </c>
    </row>
    <row r="6919" spans="1:6" x14ac:dyDescent="0.25">
      <c r="A6919" t="s">
        <v>6446</v>
      </c>
      <c r="B6919" t="s">
        <v>8357</v>
      </c>
      <c r="C6919" t="s">
        <v>8358</v>
      </c>
      <c r="D6919" t="str">
        <f>HYPERLINK("http://service.sap.com/sap/support/notes/1795492","1795492")</f>
        <v>1795492</v>
      </c>
      <c r="E6919">
        <v>1</v>
      </c>
      <c r="F6919" t="s">
        <v>8362</v>
      </c>
    </row>
    <row r="6920" spans="1:6" x14ac:dyDescent="0.25">
      <c r="A6920" t="s">
        <v>6446</v>
      </c>
      <c r="B6920" t="s">
        <v>8357</v>
      </c>
      <c r="C6920" t="s">
        <v>8358</v>
      </c>
      <c r="D6920" t="str">
        <f>HYPERLINK("http://service.sap.com/sap/support/notes/1820237","1820237")</f>
        <v>1820237</v>
      </c>
      <c r="E6920">
        <v>1</v>
      </c>
      <c r="F6920" t="s">
        <v>8363</v>
      </c>
    </row>
    <row r="6921" spans="1:6" x14ac:dyDescent="0.25">
      <c r="A6921" t="s">
        <v>6446</v>
      </c>
      <c r="B6921" t="s">
        <v>3273</v>
      </c>
      <c r="C6921" t="s">
        <v>3274</v>
      </c>
      <c r="D6921" t="str">
        <f>HYPERLINK("http://service.sap.com/sap/support/notes/1776772","1776772")</f>
        <v>1776772</v>
      </c>
      <c r="E6921">
        <v>2</v>
      </c>
      <c r="F6921" t="s">
        <v>8364</v>
      </c>
    </row>
    <row r="6922" spans="1:6" x14ac:dyDescent="0.25">
      <c r="A6922" t="s">
        <v>6446</v>
      </c>
      <c r="B6922" t="s">
        <v>3273</v>
      </c>
      <c r="C6922" t="s">
        <v>3274</v>
      </c>
      <c r="D6922" t="str">
        <f>HYPERLINK("http://service.sap.com/sap/support/notes/1801029","1801029")</f>
        <v>1801029</v>
      </c>
      <c r="E6922">
        <v>2</v>
      </c>
      <c r="F6922" t="s">
        <v>8365</v>
      </c>
    </row>
    <row r="6923" spans="1:6" x14ac:dyDescent="0.25">
      <c r="A6923" t="s">
        <v>6446</v>
      </c>
      <c r="B6923" t="s">
        <v>3273</v>
      </c>
      <c r="C6923" t="s">
        <v>3274</v>
      </c>
      <c r="D6923" t="str">
        <f>HYPERLINK("http://service.sap.com/sap/support/notes/1803491","1803491")</f>
        <v>1803491</v>
      </c>
      <c r="E6923">
        <v>2</v>
      </c>
      <c r="F6923" t="s">
        <v>8366</v>
      </c>
    </row>
    <row r="6924" spans="1:6" x14ac:dyDescent="0.25">
      <c r="A6924" t="s">
        <v>6446</v>
      </c>
      <c r="B6924" t="s">
        <v>3273</v>
      </c>
      <c r="C6924" t="s">
        <v>3274</v>
      </c>
      <c r="D6924" t="str">
        <f>HYPERLINK("http://service.sap.com/sap/support/notes/1814270","1814270")</f>
        <v>1814270</v>
      </c>
      <c r="E6924">
        <v>1</v>
      </c>
      <c r="F6924" t="s">
        <v>8367</v>
      </c>
    </row>
    <row r="6925" spans="1:6" x14ac:dyDescent="0.25">
      <c r="A6925" t="s">
        <v>6446</v>
      </c>
      <c r="B6925" t="s">
        <v>3273</v>
      </c>
      <c r="C6925" t="s">
        <v>3274</v>
      </c>
      <c r="D6925" t="str">
        <f>HYPERLINK("http://service.sap.com/sap/support/notes/1819682","1819682")</f>
        <v>1819682</v>
      </c>
      <c r="E6925">
        <v>1</v>
      </c>
      <c r="F6925" t="s">
        <v>8368</v>
      </c>
    </row>
    <row r="6926" spans="1:6" x14ac:dyDescent="0.25">
      <c r="A6926" t="s">
        <v>6446</v>
      </c>
      <c r="B6926" t="s">
        <v>3273</v>
      </c>
      <c r="C6926" t="s">
        <v>3274</v>
      </c>
      <c r="D6926" t="str">
        <f>HYPERLINK("http://service.sap.com/sap/support/notes/1822926","1822926")</f>
        <v>1822926</v>
      </c>
      <c r="E6926">
        <v>1</v>
      </c>
      <c r="F6926" t="s">
        <v>8369</v>
      </c>
    </row>
    <row r="6927" spans="1:6" x14ac:dyDescent="0.25">
      <c r="A6927" t="s">
        <v>6446</v>
      </c>
      <c r="B6927" t="s">
        <v>3285</v>
      </c>
      <c r="C6927" t="s">
        <v>3286</v>
      </c>
      <c r="D6927" t="str">
        <f>HYPERLINK("http://service.sap.com/sap/support/notes/1787290","1787290")</f>
        <v>1787290</v>
      </c>
      <c r="E6927">
        <v>5</v>
      </c>
      <c r="F6927" t="s">
        <v>8370</v>
      </c>
    </row>
    <row r="6928" spans="1:6" x14ac:dyDescent="0.25">
      <c r="A6928" t="s">
        <v>6446</v>
      </c>
      <c r="B6928" t="s">
        <v>8371</v>
      </c>
      <c r="C6928" t="s">
        <v>8372</v>
      </c>
      <c r="D6928" t="str">
        <f>HYPERLINK("http://service.sap.com/sap/support/notes/1715467","1715467")</f>
        <v>1715467</v>
      </c>
      <c r="E6928">
        <v>2</v>
      </c>
      <c r="F6928" t="s">
        <v>8373</v>
      </c>
    </row>
    <row r="6929" spans="1:6" x14ac:dyDescent="0.25">
      <c r="A6929" t="s">
        <v>6446</v>
      </c>
      <c r="B6929" t="s">
        <v>3289</v>
      </c>
      <c r="C6929" t="s">
        <v>1878</v>
      </c>
      <c r="D6929" t="str">
        <f>HYPERLINK("http://service.sap.com/sap/support/notes/1791040","1791040")</f>
        <v>1791040</v>
      </c>
      <c r="E6929">
        <v>1</v>
      </c>
      <c r="F6929" t="s">
        <v>8374</v>
      </c>
    </row>
    <row r="6930" spans="1:6" x14ac:dyDescent="0.25">
      <c r="A6930" t="s">
        <v>6446</v>
      </c>
      <c r="B6930" t="s">
        <v>3289</v>
      </c>
      <c r="C6930" t="s">
        <v>1878</v>
      </c>
      <c r="D6930" t="str">
        <f>HYPERLINK("http://service.sap.com/sap/support/notes/1799233","1799233")</f>
        <v>1799233</v>
      </c>
      <c r="E6930">
        <v>1</v>
      </c>
      <c r="F6930" t="s">
        <v>8375</v>
      </c>
    </row>
    <row r="6931" spans="1:6" x14ac:dyDescent="0.25">
      <c r="A6931" t="s">
        <v>6446</v>
      </c>
      <c r="B6931" t="s">
        <v>8376</v>
      </c>
      <c r="C6931" t="s">
        <v>8377</v>
      </c>
    </row>
    <row r="6932" spans="1:6" x14ac:dyDescent="0.25">
      <c r="A6932" t="s">
        <v>6446</v>
      </c>
      <c r="B6932" t="s">
        <v>8378</v>
      </c>
      <c r="C6932" t="s">
        <v>8379</v>
      </c>
      <c r="D6932" t="str">
        <f>HYPERLINK("http://service.sap.com/sap/support/notes/1819625","1819625")</f>
        <v>1819625</v>
      </c>
      <c r="E6932">
        <v>1</v>
      </c>
      <c r="F6932" t="s">
        <v>8380</v>
      </c>
    </row>
    <row r="6933" spans="1:6" x14ac:dyDescent="0.25">
      <c r="A6933" t="s">
        <v>6446</v>
      </c>
      <c r="B6933" t="s">
        <v>8381</v>
      </c>
      <c r="C6933" t="s">
        <v>8382</v>
      </c>
    </row>
    <row r="6934" spans="1:6" x14ac:dyDescent="0.25">
      <c r="A6934" t="s">
        <v>6446</v>
      </c>
      <c r="B6934" t="s">
        <v>8383</v>
      </c>
      <c r="C6934" t="s">
        <v>1784</v>
      </c>
      <c r="D6934" t="str">
        <f>HYPERLINK("http://service.sap.com/sap/support/notes/1816974","1816974")</f>
        <v>1816974</v>
      </c>
      <c r="E6934">
        <v>2</v>
      </c>
      <c r="F6934" t="s">
        <v>8384</v>
      </c>
    </row>
    <row r="6935" spans="1:6" x14ac:dyDescent="0.25">
      <c r="A6935" t="s">
        <v>6446</v>
      </c>
      <c r="B6935" t="s">
        <v>3301</v>
      </c>
      <c r="C6935" t="s">
        <v>3302</v>
      </c>
    </row>
    <row r="6936" spans="1:6" x14ac:dyDescent="0.25">
      <c r="A6936" t="s">
        <v>6446</v>
      </c>
      <c r="B6936" t="s">
        <v>3303</v>
      </c>
      <c r="C6936" t="s">
        <v>3304</v>
      </c>
      <c r="D6936" t="str">
        <f>HYPERLINK("http://service.sap.com/sap/support/notes/1775702","1775702")</f>
        <v>1775702</v>
      </c>
      <c r="E6936">
        <v>2</v>
      </c>
      <c r="F6936" t="s">
        <v>8385</v>
      </c>
    </row>
    <row r="6937" spans="1:6" x14ac:dyDescent="0.25">
      <c r="A6937" t="s">
        <v>6446</v>
      </c>
      <c r="B6937" t="s">
        <v>3303</v>
      </c>
      <c r="C6937" t="s">
        <v>3304</v>
      </c>
      <c r="D6937" t="str">
        <f>HYPERLINK("http://service.sap.com/sap/support/notes/1780975","1780975")</f>
        <v>1780975</v>
      </c>
      <c r="E6937">
        <v>2</v>
      </c>
      <c r="F6937" t="s">
        <v>8386</v>
      </c>
    </row>
    <row r="6938" spans="1:6" x14ac:dyDescent="0.25">
      <c r="A6938" t="s">
        <v>6446</v>
      </c>
      <c r="B6938" t="s">
        <v>3303</v>
      </c>
      <c r="C6938" t="s">
        <v>3304</v>
      </c>
      <c r="D6938" t="str">
        <f>HYPERLINK("http://service.sap.com/sap/support/notes/1787966","1787966")</f>
        <v>1787966</v>
      </c>
      <c r="E6938">
        <v>3</v>
      </c>
      <c r="F6938" t="s">
        <v>8387</v>
      </c>
    </row>
    <row r="6939" spans="1:6" x14ac:dyDescent="0.25">
      <c r="A6939" t="s">
        <v>6446</v>
      </c>
      <c r="B6939" t="s">
        <v>3303</v>
      </c>
      <c r="C6939" t="s">
        <v>3304</v>
      </c>
      <c r="D6939" t="str">
        <f>HYPERLINK("http://service.sap.com/sap/support/notes/1793990","1793990")</f>
        <v>1793990</v>
      </c>
      <c r="E6939">
        <v>2</v>
      </c>
      <c r="F6939" t="s">
        <v>8388</v>
      </c>
    </row>
    <row r="6940" spans="1:6" x14ac:dyDescent="0.25">
      <c r="A6940" t="s">
        <v>6446</v>
      </c>
      <c r="B6940" t="s">
        <v>3303</v>
      </c>
      <c r="C6940" t="s">
        <v>3304</v>
      </c>
      <c r="D6940" t="str">
        <f>HYPERLINK("http://service.sap.com/sap/support/notes/1798366","1798366")</f>
        <v>1798366</v>
      </c>
      <c r="E6940">
        <v>1</v>
      </c>
      <c r="F6940" t="s">
        <v>8389</v>
      </c>
    </row>
    <row r="6941" spans="1:6" x14ac:dyDescent="0.25">
      <c r="A6941" t="s">
        <v>6446</v>
      </c>
      <c r="B6941" t="s">
        <v>3303</v>
      </c>
      <c r="C6941" t="s">
        <v>3304</v>
      </c>
      <c r="D6941" t="str">
        <f>HYPERLINK("http://service.sap.com/sap/support/notes/1798890","1798890")</f>
        <v>1798890</v>
      </c>
      <c r="E6941">
        <v>2</v>
      </c>
      <c r="F6941" t="s">
        <v>8390</v>
      </c>
    </row>
    <row r="6942" spans="1:6" x14ac:dyDescent="0.25">
      <c r="A6942" t="s">
        <v>6446</v>
      </c>
      <c r="B6942" t="s">
        <v>3303</v>
      </c>
      <c r="C6942" t="s">
        <v>3304</v>
      </c>
      <c r="D6942" t="str">
        <f>HYPERLINK("http://service.sap.com/sap/support/notes/1805003","1805003")</f>
        <v>1805003</v>
      </c>
      <c r="E6942">
        <v>2</v>
      </c>
      <c r="F6942" t="s">
        <v>8391</v>
      </c>
    </row>
    <row r="6943" spans="1:6" x14ac:dyDescent="0.25">
      <c r="A6943" t="s">
        <v>6446</v>
      </c>
      <c r="B6943" t="s">
        <v>3303</v>
      </c>
      <c r="C6943" t="s">
        <v>3304</v>
      </c>
      <c r="D6943" t="str">
        <f>HYPERLINK("http://service.sap.com/sap/support/notes/1807099","1807099")</f>
        <v>1807099</v>
      </c>
      <c r="E6943">
        <v>2</v>
      </c>
      <c r="F6943" t="s">
        <v>8392</v>
      </c>
    </row>
    <row r="6944" spans="1:6" x14ac:dyDescent="0.25">
      <c r="A6944" t="s">
        <v>6446</v>
      </c>
      <c r="B6944" t="s">
        <v>3303</v>
      </c>
      <c r="C6944" t="s">
        <v>3304</v>
      </c>
      <c r="D6944" t="str">
        <f>HYPERLINK("http://service.sap.com/sap/support/notes/1809676","1809676")</f>
        <v>1809676</v>
      </c>
      <c r="E6944">
        <v>2</v>
      </c>
      <c r="F6944" t="s">
        <v>8393</v>
      </c>
    </row>
    <row r="6945" spans="1:6" x14ac:dyDescent="0.25">
      <c r="A6945" t="s">
        <v>6446</v>
      </c>
      <c r="B6945" t="s">
        <v>3303</v>
      </c>
      <c r="C6945" t="s">
        <v>3304</v>
      </c>
      <c r="D6945" t="str">
        <f>HYPERLINK("http://service.sap.com/sap/support/notes/1820846","1820846")</f>
        <v>1820846</v>
      </c>
      <c r="E6945">
        <v>1</v>
      </c>
      <c r="F6945" t="s">
        <v>8394</v>
      </c>
    </row>
    <row r="6946" spans="1:6" x14ac:dyDescent="0.25">
      <c r="A6946" t="s">
        <v>6446</v>
      </c>
      <c r="B6946" t="s">
        <v>3303</v>
      </c>
      <c r="C6946" t="s">
        <v>3304</v>
      </c>
      <c r="D6946" t="str">
        <f>HYPERLINK("http://service.sap.com/sap/support/notes/1820860","1820860")</f>
        <v>1820860</v>
      </c>
      <c r="E6946">
        <v>2</v>
      </c>
      <c r="F6946" t="s">
        <v>8395</v>
      </c>
    </row>
    <row r="6947" spans="1:6" x14ac:dyDescent="0.25">
      <c r="A6947" t="s">
        <v>6446</v>
      </c>
      <c r="B6947" t="s">
        <v>3303</v>
      </c>
      <c r="C6947" t="s">
        <v>3304</v>
      </c>
      <c r="D6947" t="str">
        <f>HYPERLINK("http://service.sap.com/sap/support/notes/1823163","1823163")</f>
        <v>1823163</v>
      </c>
      <c r="E6947">
        <v>2</v>
      </c>
      <c r="F6947" t="s">
        <v>8396</v>
      </c>
    </row>
    <row r="6948" spans="1:6" x14ac:dyDescent="0.25">
      <c r="A6948" t="s">
        <v>6446</v>
      </c>
      <c r="B6948" t="s">
        <v>3303</v>
      </c>
      <c r="C6948" t="s">
        <v>3304</v>
      </c>
      <c r="D6948" t="str">
        <f>HYPERLINK("http://service.sap.com/sap/support/notes/1823977","1823977")</f>
        <v>1823977</v>
      </c>
      <c r="E6948">
        <v>1</v>
      </c>
      <c r="F6948" t="s">
        <v>8397</v>
      </c>
    </row>
    <row r="6949" spans="1:6" x14ac:dyDescent="0.25">
      <c r="A6949" t="s">
        <v>6446</v>
      </c>
      <c r="B6949" t="s">
        <v>3303</v>
      </c>
      <c r="C6949" t="s">
        <v>3304</v>
      </c>
      <c r="D6949" t="str">
        <f>HYPERLINK("http://service.sap.com/sap/support/notes/1825972","1825972")</f>
        <v>1825972</v>
      </c>
      <c r="E6949">
        <v>2</v>
      </c>
      <c r="F6949" t="s">
        <v>8398</v>
      </c>
    </row>
    <row r="6950" spans="1:6" x14ac:dyDescent="0.25">
      <c r="A6950" t="s">
        <v>6446</v>
      </c>
      <c r="B6950" t="s">
        <v>3319</v>
      </c>
      <c r="C6950" t="s">
        <v>1784</v>
      </c>
      <c r="D6950" t="str">
        <f>HYPERLINK("http://service.sap.com/sap/support/notes/1785742","1785742")</f>
        <v>1785742</v>
      </c>
      <c r="E6950">
        <v>2</v>
      </c>
      <c r="F6950" t="s">
        <v>8399</v>
      </c>
    </row>
    <row r="6951" spans="1:6" x14ac:dyDescent="0.25">
      <c r="A6951" t="s">
        <v>6446</v>
      </c>
      <c r="B6951" t="s">
        <v>3319</v>
      </c>
      <c r="C6951" t="s">
        <v>1784</v>
      </c>
      <c r="D6951" t="str">
        <f>HYPERLINK("http://service.sap.com/sap/support/notes/1803984","1803984")</f>
        <v>1803984</v>
      </c>
      <c r="E6951">
        <v>2</v>
      </c>
      <c r="F6951" t="s">
        <v>8400</v>
      </c>
    </row>
    <row r="6952" spans="1:6" x14ac:dyDescent="0.25">
      <c r="A6952" t="s">
        <v>6446</v>
      </c>
      <c r="B6952" t="s">
        <v>3322</v>
      </c>
      <c r="C6952" t="s">
        <v>3323</v>
      </c>
    </row>
    <row r="6953" spans="1:6" x14ac:dyDescent="0.25">
      <c r="A6953" t="s">
        <v>6446</v>
      </c>
      <c r="B6953" t="s">
        <v>3324</v>
      </c>
      <c r="C6953" t="s">
        <v>3325</v>
      </c>
      <c r="D6953" t="str">
        <f>HYPERLINK("http://service.sap.com/sap/support/notes/1797813","1797813")</f>
        <v>1797813</v>
      </c>
      <c r="E6953">
        <v>3</v>
      </c>
      <c r="F6953" t="s">
        <v>8401</v>
      </c>
    </row>
    <row r="6954" spans="1:6" x14ac:dyDescent="0.25">
      <c r="A6954" t="s">
        <v>6446</v>
      </c>
      <c r="B6954" t="s">
        <v>3324</v>
      </c>
      <c r="C6954" t="s">
        <v>3325</v>
      </c>
      <c r="D6954" t="str">
        <f>HYPERLINK("http://service.sap.com/sap/support/notes/1800690","1800690")</f>
        <v>1800690</v>
      </c>
      <c r="E6954">
        <v>2</v>
      </c>
      <c r="F6954" t="s">
        <v>8402</v>
      </c>
    </row>
    <row r="6955" spans="1:6" x14ac:dyDescent="0.25">
      <c r="A6955" t="s">
        <v>6446</v>
      </c>
      <c r="B6955" t="s">
        <v>3324</v>
      </c>
      <c r="C6955" t="s">
        <v>3325</v>
      </c>
      <c r="D6955" t="str">
        <f>HYPERLINK("http://service.sap.com/sap/support/notes/1812552","1812552")</f>
        <v>1812552</v>
      </c>
      <c r="E6955">
        <v>3</v>
      </c>
      <c r="F6955" t="s">
        <v>8403</v>
      </c>
    </row>
    <row r="6956" spans="1:6" x14ac:dyDescent="0.25">
      <c r="A6956" t="s">
        <v>6446</v>
      </c>
      <c r="B6956" t="s">
        <v>3324</v>
      </c>
      <c r="C6956" t="s">
        <v>3325</v>
      </c>
      <c r="D6956" t="str">
        <f>HYPERLINK("http://service.sap.com/sap/support/notes/1815239","1815239")</f>
        <v>1815239</v>
      </c>
      <c r="E6956">
        <v>2</v>
      </c>
      <c r="F6956" t="s">
        <v>8404</v>
      </c>
    </row>
    <row r="6957" spans="1:6" x14ac:dyDescent="0.25">
      <c r="A6957" t="s">
        <v>6446</v>
      </c>
      <c r="B6957" t="s">
        <v>3324</v>
      </c>
      <c r="C6957" t="s">
        <v>3325</v>
      </c>
      <c r="D6957" t="str">
        <f>HYPERLINK("http://service.sap.com/sap/support/notes/1819544","1819544")</f>
        <v>1819544</v>
      </c>
      <c r="E6957">
        <v>1</v>
      </c>
      <c r="F6957" t="s">
        <v>8405</v>
      </c>
    </row>
    <row r="6958" spans="1:6" x14ac:dyDescent="0.25">
      <c r="A6958" t="s">
        <v>6446</v>
      </c>
      <c r="B6958" t="s">
        <v>3324</v>
      </c>
      <c r="C6958" t="s">
        <v>3325</v>
      </c>
      <c r="D6958" t="str">
        <f>HYPERLINK("http://service.sap.com/sap/support/notes/1823077","1823077")</f>
        <v>1823077</v>
      </c>
      <c r="E6958">
        <v>3</v>
      </c>
      <c r="F6958" t="s">
        <v>8406</v>
      </c>
    </row>
    <row r="6959" spans="1:6" x14ac:dyDescent="0.25">
      <c r="A6959" t="s">
        <v>6446</v>
      </c>
      <c r="B6959" t="s">
        <v>3324</v>
      </c>
      <c r="C6959" t="s">
        <v>3325</v>
      </c>
      <c r="D6959" t="str">
        <f>HYPERLINK("http://service.sap.com/sap/support/notes/1829824","1829824")</f>
        <v>1829824</v>
      </c>
      <c r="E6959">
        <v>2</v>
      </c>
      <c r="F6959" t="s">
        <v>8407</v>
      </c>
    </row>
    <row r="6960" spans="1:6" x14ac:dyDescent="0.25">
      <c r="A6960" t="s">
        <v>6446</v>
      </c>
      <c r="B6960" t="s">
        <v>3341</v>
      </c>
      <c r="C6960" t="s">
        <v>3342</v>
      </c>
    </row>
    <row r="6961" spans="1:6" x14ac:dyDescent="0.25">
      <c r="A6961" t="s">
        <v>6446</v>
      </c>
      <c r="B6961" t="s">
        <v>3343</v>
      </c>
      <c r="C6961" t="s">
        <v>151</v>
      </c>
    </row>
    <row r="6962" spans="1:6" x14ac:dyDescent="0.25">
      <c r="A6962" t="s">
        <v>6446</v>
      </c>
      <c r="B6962" t="s">
        <v>3344</v>
      </c>
      <c r="C6962" t="s">
        <v>621</v>
      </c>
      <c r="D6962" t="str">
        <f>HYPERLINK("http://service.sap.com/sap/support/notes/1699977","1699977")</f>
        <v>1699977</v>
      </c>
      <c r="E6962">
        <v>3</v>
      </c>
      <c r="F6962" t="s">
        <v>8408</v>
      </c>
    </row>
    <row r="6963" spans="1:6" x14ac:dyDescent="0.25">
      <c r="A6963" t="s">
        <v>6446</v>
      </c>
      <c r="B6963" t="s">
        <v>3344</v>
      </c>
      <c r="C6963" t="s">
        <v>621</v>
      </c>
      <c r="D6963" t="str">
        <f>HYPERLINK("http://service.sap.com/sap/support/notes/1772565","1772565")</f>
        <v>1772565</v>
      </c>
      <c r="E6963">
        <v>1</v>
      </c>
      <c r="F6963" t="s">
        <v>8409</v>
      </c>
    </row>
    <row r="6964" spans="1:6" x14ac:dyDescent="0.25">
      <c r="A6964" t="s">
        <v>6446</v>
      </c>
      <c r="B6964" t="s">
        <v>3344</v>
      </c>
      <c r="C6964" t="s">
        <v>621</v>
      </c>
      <c r="D6964" t="str">
        <f>HYPERLINK("http://service.sap.com/sap/support/notes/1799920","1799920")</f>
        <v>1799920</v>
      </c>
      <c r="E6964">
        <v>3</v>
      </c>
      <c r="F6964" t="s">
        <v>8410</v>
      </c>
    </row>
    <row r="6965" spans="1:6" x14ac:dyDescent="0.25">
      <c r="A6965" t="s">
        <v>6446</v>
      </c>
      <c r="B6965" t="s">
        <v>3344</v>
      </c>
      <c r="C6965" t="s">
        <v>621</v>
      </c>
      <c r="D6965" t="str">
        <f>HYPERLINK("http://service.sap.com/sap/support/notes/1806926","1806926")</f>
        <v>1806926</v>
      </c>
      <c r="E6965">
        <v>2</v>
      </c>
      <c r="F6965" t="s">
        <v>8411</v>
      </c>
    </row>
    <row r="6966" spans="1:6" x14ac:dyDescent="0.25">
      <c r="A6966" t="s">
        <v>6446</v>
      </c>
      <c r="B6966" t="s">
        <v>3344</v>
      </c>
      <c r="C6966" t="s">
        <v>621</v>
      </c>
      <c r="D6966" t="str">
        <f>HYPERLINK("http://service.sap.com/sap/support/notes/1818643","1818643")</f>
        <v>1818643</v>
      </c>
      <c r="E6966">
        <v>2</v>
      </c>
      <c r="F6966" t="s">
        <v>8412</v>
      </c>
    </row>
    <row r="6967" spans="1:6" x14ac:dyDescent="0.25">
      <c r="A6967" t="s">
        <v>6446</v>
      </c>
      <c r="B6967" t="s">
        <v>3351</v>
      </c>
      <c r="C6967" t="s">
        <v>3352</v>
      </c>
      <c r="D6967" t="str">
        <f>HYPERLINK("http://service.sap.com/sap/support/notes/1802772","1802772")</f>
        <v>1802772</v>
      </c>
      <c r="E6967">
        <v>2</v>
      </c>
      <c r="F6967" t="s">
        <v>8413</v>
      </c>
    </row>
    <row r="6968" spans="1:6" x14ac:dyDescent="0.25">
      <c r="A6968" t="s">
        <v>6446</v>
      </c>
      <c r="B6968" t="s">
        <v>3354</v>
      </c>
      <c r="C6968" t="s">
        <v>3226</v>
      </c>
      <c r="D6968" t="str">
        <f>HYPERLINK("http://service.sap.com/sap/support/notes/1371800","1371800")</f>
        <v>1371800</v>
      </c>
      <c r="E6968">
        <v>2</v>
      </c>
      <c r="F6968" t="s">
        <v>8414</v>
      </c>
    </row>
    <row r="6969" spans="1:6" x14ac:dyDescent="0.25">
      <c r="A6969" t="s">
        <v>6446</v>
      </c>
      <c r="B6969" t="s">
        <v>3354</v>
      </c>
      <c r="C6969" t="s">
        <v>3226</v>
      </c>
      <c r="D6969" t="str">
        <f>HYPERLINK("http://service.sap.com/sap/support/notes/1758558","1758558")</f>
        <v>1758558</v>
      </c>
      <c r="E6969">
        <v>4</v>
      </c>
      <c r="F6969" t="s">
        <v>8415</v>
      </c>
    </row>
    <row r="6970" spans="1:6" x14ac:dyDescent="0.25">
      <c r="A6970" t="s">
        <v>6446</v>
      </c>
      <c r="B6970" t="s">
        <v>3354</v>
      </c>
      <c r="C6970" t="s">
        <v>3226</v>
      </c>
      <c r="D6970" t="str">
        <f>HYPERLINK("http://service.sap.com/sap/support/notes/1820091","1820091")</f>
        <v>1820091</v>
      </c>
      <c r="E6970">
        <v>2</v>
      </c>
      <c r="F6970" t="s">
        <v>8416</v>
      </c>
    </row>
    <row r="6971" spans="1:6" x14ac:dyDescent="0.25">
      <c r="A6971" t="s">
        <v>6446</v>
      </c>
      <c r="B6971" t="s">
        <v>5966</v>
      </c>
      <c r="C6971" t="s">
        <v>5967</v>
      </c>
      <c r="D6971" t="str">
        <f>HYPERLINK("http://service.sap.com/sap/support/notes/1806479","1806479")</f>
        <v>1806479</v>
      </c>
      <c r="E6971">
        <v>2</v>
      </c>
      <c r="F6971" t="s">
        <v>8417</v>
      </c>
    </row>
    <row r="6972" spans="1:6" x14ac:dyDescent="0.25">
      <c r="A6972" t="s">
        <v>6446</v>
      </c>
      <c r="B6972" t="s">
        <v>3357</v>
      </c>
      <c r="C6972" t="s">
        <v>3358</v>
      </c>
      <c r="D6972" t="str">
        <f>HYPERLINK("http://service.sap.com/sap/support/notes/1790115","1790115")</f>
        <v>1790115</v>
      </c>
      <c r="E6972">
        <v>1</v>
      </c>
      <c r="F6972" t="s">
        <v>8418</v>
      </c>
    </row>
    <row r="6973" spans="1:6" x14ac:dyDescent="0.25">
      <c r="A6973" t="s">
        <v>6446</v>
      </c>
      <c r="B6973" t="s">
        <v>3365</v>
      </c>
      <c r="C6973" t="s">
        <v>998</v>
      </c>
      <c r="D6973" t="str">
        <f>HYPERLINK("http://service.sap.com/sap/support/notes/1791550","1791550")</f>
        <v>1791550</v>
      </c>
    </row>
    <row r="6974" spans="1:6" x14ac:dyDescent="0.25">
      <c r="A6974" t="s">
        <v>6446</v>
      </c>
      <c r="B6974" t="s">
        <v>3365</v>
      </c>
      <c r="C6974" t="s">
        <v>998</v>
      </c>
      <c r="D6974" t="str">
        <f>HYPERLINK("http://service.sap.com/sap/support/notes/1791551","1791551")</f>
        <v>1791551</v>
      </c>
    </row>
    <row r="6975" spans="1:6" x14ac:dyDescent="0.25">
      <c r="A6975" t="s">
        <v>6446</v>
      </c>
      <c r="B6975" t="s">
        <v>3365</v>
      </c>
      <c r="C6975" t="s">
        <v>998</v>
      </c>
      <c r="D6975" t="str">
        <f>HYPERLINK("http://service.sap.com/sap/support/notes/1797448","1797448")</f>
        <v>1797448</v>
      </c>
      <c r="E6975">
        <v>1</v>
      </c>
      <c r="F6975" t="s">
        <v>8419</v>
      </c>
    </row>
    <row r="6976" spans="1:6" x14ac:dyDescent="0.25">
      <c r="A6976" t="s">
        <v>6446</v>
      </c>
      <c r="B6976" t="s">
        <v>5970</v>
      </c>
      <c r="C6976" t="s">
        <v>5971</v>
      </c>
      <c r="D6976" t="str">
        <f>HYPERLINK("http://service.sap.com/sap/support/notes/1794942","1794942")</f>
        <v>1794942</v>
      </c>
      <c r="E6976">
        <v>2</v>
      </c>
      <c r="F6976" t="s">
        <v>5975</v>
      </c>
    </row>
    <row r="6977" spans="1:6" x14ac:dyDescent="0.25">
      <c r="A6977" t="s">
        <v>6446</v>
      </c>
      <c r="B6977" t="s">
        <v>5970</v>
      </c>
      <c r="C6977" t="s">
        <v>5971</v>
      </c>
      <c r="D6977" t="str">
        <f>HYPERLINK("http://service.sap.com/sap/support/notes/1799702","1799702")</f>
        <v>1799702</v>
      </c>
      <c r="E6977">
        <v>2</v>
      </c>
      <c r="F6977" t="s">
        <v>8420</v>
      </c>
    </row>
    <row r="6978" spans="1:6" x14ac:dyDescent="0.25">
      <c r="A6978" t="s">
        <v>6446</v>
      </c>
      <c r="B6978" t="s">
        <v>5970</v>
      </c>
      <c r="C6978" t="s">
        <v>5971</v>
      </c>
      <c r="D6978" t="str">
        <f>HYPERLINK("http://service.sap.com/sap/support/notes/1807476","1807476")</f>
        <v>1807476</v>
      </c>
      <c r="E6978">
        <v>2</v>
      </c>
      <c r="F6978" t="s">
        <v>8421</v>
      </c>
    </row>
    <row r="6979" spans="1:6" x14ac:dyDescent="0.25">
      <c r="A6979" t="s">
        <v>6446</v>
      </c>
      <c r="B6979" t="s">
        <v>5970</v>
      </c>
      <c r="C6979" t="s">
        <v>5971</v>
      </c>
      <c r="D6979" t="str">
        <f>HYPERLINK("http://service.sap.com/sap/support/notes/1826321","1826321")</f>
        <v>1826321</v>
      </c>
      <c r="E6979">
        <v>1</v>
      </c>
      <c r="F6979" t="s">
        <v>8422</v>
      </c>
    </row>
    <row r="6980" spans="1:6" x14ac:dyDescent="0.25">
      <c r="A6980" t="s">
        <v>6446</v>
      </c>
      <c r="B6980" t="s">
        <v>5984</v>
      </c>
      <c r="C6980" t="s">
        <v>5089</v>
      </c>
      <c r="D6980" t="str">
        <f>HYPERLINK("http://service.sap.com/sap/support/notes/1795983","1795983")</f>
        <v>1795983</v>
      </c>
      <c r="E6980">
        <v>2</v>
      </c>
      <c r="F6980" t="s">
        <v>8423</v>
      </c>
    </row>
    <row r="6981" spans="1:6" x14ac:dyDescent="0.25">
      <c r="A6981" t="s">
        <v>6446</v>
      </c>
      <c r="B6981" t="s">
        <v>5984</v>
      </c>
      <c r="C6981" t="s">
        <v>5089</v>
      </c>
      <c r="D6981" t="str">
        <f>HYPERLINK("http://service.sap.com/sap/support/notes/1803679","1803679")</f>
        <v>1803679</v>
      </c>
      <c r="E6981">
        <v>4</v>
      </c>
      <c r="F6981" t="s">
        <v>8424</v>
      </c>
    </row>
    <row r="6982" spans="1:6" x14ac:dyDescent="0.25">
      <c r="A6982" t="s">
        <v>6446</v>
      </c>
      <c r="B6982" t="s">
        <v>3378</v>
      </c>
      <c r="C6982" t="s">
        <v>48</v>
      </c>
      <c r="D6982" t="str">
        <f>HYPERLINK("http://service.sap.com/sap/support/notes/1738398","1738398")</f>
        <v>1738398</v>
      </c>
      <c r="E6982">
        <v>3</v>
      </c>
      <c r="F6982" t="s">
        <v>8425</v>
      </c>
    </row>
    <row r="6983" spans="1:6" x14ac:dyDescent="0.25">
      <c r="A6983" t="s">
        <v>6446</v>
      </c>
      <c r="B6983" t="s">
        <v>3378</v>
      </c>
      <c r="C6983" t="s">
        <v>48</v>
      </c>
      <c r="D6983" t="str">
        <f>HYPERLINK("http://service.sap.com/sap/support/notes/1769981","1769981")</f>
        <v>1769981</v>
      </c>
      <c r="E6983">
        <v>5</v>
      </c>
      <c r="F6983" t="s">
        <v>8426</v>
      </c>
    </row>
    <row r="6984" spans="1:6" x14ac:dyDescent="0.25">
      <c r="A6984" t="s">
        <v>6446</v>
      </c>
      <c r="B6984" t="s">
        <v>3378</v>
      </c>
      <c r="C6984" t="s">
        <v>48</v>
      </c>
      <c r="D6984" t="str">
        <f>HYPERLINK("http://service.sap.com/sap/support/notes/1779303","1779303")</f>
        <v>1779303</v>
      </c>
      <c r="E6984">
        <v>2</v>
      </c>
      <c r="F6984" t="s">
        <v>8427</v>
      </c>
    </row>
    <row r="6985" spans="1:6" x14ac:dyDescent="0.25">
      <c r="A6985" t="s">
        <v>6446</v>
      </c>
      <c r="B6985" t="s">
        <v>3383</v>
      </c>
      <c r="C6985" t="s">
        <v>3384</v>
      </c>
      <c r="D6985" t="str">
        <f>HYPERLINK("http://service.sap.com/sap/support/notes/1809374","1809374")</f>
        <v>1809374</v>
      </c>
      <c r="E6985">
        <v>2</v>
      </c>
      <c r="F6985" t="s">
        <v>8428</v>
      </c>
    </row>
    <row r="6986" spans="1:6" x14ac:dyDescent="0.25">
      <c r="A6986" t="s">
        <v>6446</v>
      </c>
      <c r="B6986" t="s">
        <v>3387</v>
      </c>
      <c r="C6986" t="s">
        <v>612</v>
      </c>
    </row>
    <row r="6987" spans="1:6" x14ac:dyDescent="0.25">
      <c r="A6987" t="s">
        <v>6446</v>
      </c>
      <c r="B6987" t="s">
        <v>3391</v>
      </c>
      <c r="C6987" t="s">
        <v>151</v>
      </c>
      <c r="D6987" t="str">
        <f>HYPERLINK("http://service.sap.com/sap/support/notes/1793137","1793137")</f>
        <v>1793137</v>
      </c>
      <c r="E6987">
        <v>1</v>
      </c>
      <c r="F6987" t="s">
        <v>8429</v>
      </c>
    </row>
    <row r="6988" spans="1:6" x14ac:dyDescent="0.25">
      <c r="A6988" t="s">
        <v>6446</v>
      </c>
      <c r="B6988" t="s">
        <v>3391</v>
      </c>
      <c r="C6988" t="s">
        <v>151</v>
      </c>
      <c r="D6988" t="str">
        <f>HYPERLINK("http://service.sap.com/sap/support/notes/1796048","1796048")</f>
        <v>1796048</v>
      </c>
      <c r="E6988">
        <v>2</v>
      </c>
      <c r="F6988" t="s">
        <v>8430</v>
      </c>
    </row>
    <row r="6989" spans="1:6" x14ac:dyDescent="0.25">
      <c r="A6989" t="s">
        <v>6446</v>
      </c>
      <c r="B6989" t="s">
        <v>3391</v>
      </c>
      <c r="C6989" t="s">
        <v>151</v>
      </c>
      <c r="D6989" t="str">
        <f>HYPERLINK("http://service.sap.com/sap/support/notes/1809440","1809440")</f>
        <v>1809440</v>
      </c>
      <c r="E6989">
        <v>5</v>
      </c>
      <c r="F6989" t="s">
        <v>8431</v>
      </c>
    </row>
    <row r="6990" spans="1:6" x14ac:dyDescent="0.25">
      <c r="A6990" t="s">
        <v>6446</v>
      </c>
      <c r="B6990" t="s">
        <v>3394</v>
      </c>
      <c r="C6990" t="s">
        <v>3395</v>
      </c>
      <c r="D6990" t="str">
        <f>HYPERLINK("http://service.sap.com/sap/support/notes/1814507","1814507")</f>
        <v>1814507</v>
      </c>
      <c r="E6990">
        <v>3</v>
      </c>
      <c r="F6990" t="s">
        <v>8432</v>
      </c>
    </row>
    <row r="6991" spans="1:6" x14ac:dyDescent="0.25">
      <c r="A6991" t="s">
        <v>6446</v>
      </c>
      <c r="B6991" t="s">
        <v>3394</v>
      </c>
      <c r="C6991" t="s">
        <v>3395</v>
      </c>
      <c r="D6991" t="str">
        <f>HYPERLINK("http://service.sap.com/sap/support/notes/1815802","1815802")</f>
        <v>1815802</v>
      </c>
      <c r="E6991">
        <v>1</v>
      </c>
      <c r="F6991" t="s">
        <v>8433</v>
      </c>
    </row>
    <row r="6992" spans="1:6" x14ac:dyDescent="0.25">
      <c r="A6992" t="s">
        <v>6446</v>
      </c>
      <c r="B6992" t="s">
        <v>3394</v>
      </c>
      <c r="C6992" t="s">
        <v>3395</v>
      </c>
      <c r="D6992" t="str">
        <f>HYPERLINK("http://service.sap.com/sap/support/notes/1817594","1817594")</f>
        <v>1817594</v>
      </c>
      <c r="E6992">
        <v>3</v>
      </c>
      <c r="F6992" t="s">
        <v>8434</v>
      </c>
    </row>
    <row r="6993" spans="1:6" x14ac:dyDescent="0.25">
      <c r="A6993" t="s">
        <v>6446</v>
      </c>
      <c r="B6993" t="s">
        <v>3394</v>
      </c>
      <c r="C6993" t="s">
        <v>3395</v>
      </c>
      <c r="D6993" t="str">
        <f>HYPERLINK("http://service.sap.com/sap/support/notes/1822073","1822073")</f>
        <v>1822073</v>
      </c>
    </row>
    <row r="6994" spans="1:6" x14ac:dyDescent="0.25">
      <c r="A6994" t="s">
        <v>6446</v>
      </c>
      <c r="B6994" t="s">
        <v>3397</v>
      </c>
      <c r="C6994" t="s">
        <v>3398</v>
      </c>
      <c r="D6994" t="str">
        <f>HYPERLINK("http://service.sap.com/sap/support/notes/1780104","1780104")</f>
        <v>1780104</v>
      </c>
      <c r="E6994">
        <v>1</v>
      </c>
      <c r="F6994" t="s">
        <v>8435</v>
      </c>
    </row>
    <row r="6995" spans="1:6" x14ac:dyDescent="0.25">
      <c r="A6995" t="s">
        <v>6446</v>
      </c>
      <c r="B6995" t="s">
        <v>3397</v>
      </c>
      <c r="C6995" t="s">
        <v>3398</v>
      </c>
      <c r="D6995" t="str">
        <f>HYPERLINK("http://service.sap.com/sap/support/notes/1807977","1807977")</f>
        <v>1807977</v>
      </c>
      <c r="E6995">
        <v>5</v>
      </c>
      <c r="F6995" t="s">
        <v>8436</v>
      </c>
    </row>
    <row r="6996" spans="1:6" x14ac:dyDescent="0.25">
      <c r="A6996" t="s">
        <v>6446</v>
      </c>
      <c r="B6996" t="s">
        <v>3397</v>
      </c>
      <c r="C6996" t="s">
        <v>3398</v>
      </c>
      <c r="D6996" t="str">
        <f>HYPERLINK("http://service.sap.com/sap/support/notes/1811164","1811164")</f>
        <v>1811164</v>
      </c>
      <c r="E6996">
        <v>2</v>
      </c>
      <c r="F6996" t="s">
        <v>8437</v>
      </c>
    </row>
    <row r="6997" spans="1:6" x14ac:dyDescent="0.25">
      <c r="A6997" t="s">
        <v>6446</v>
      </c>
      <c r="B6997" t="s">
        <v>3401</v>
      </c>
      <c r="C6997" t="s">
        <v>3402</v>
      </c>
      <c r="D6997" t="str">
        <f>HYPERLINK("http://service.sap.com/sap/support/notes/1660922","1660922")</f>
        <v>1660922</v>
      </c>
      <c r="E6997">
        <v>7</v>
      </c>
      <c r="F6997" t="s">
        <v>8438</v>
      </c>
    </row>
    <row r="6998" spans="1:6" x14ac:dyDescent="0.25">
      <c r="A6998" t="s">
        <v>6446</v>
      </c>
      <c r="B6998" t="s">
        <v>3401</v>
      </c>
      <c r="C6998" t="s">
        <v>3402</v>
      </c>
      <c r="D6998" t="str">
        <f>HYPERLINK("http://service.sap.com/sap/support/notes/1800044","1800044")</f>
        <v>1800044</v>
      </c>
      <c r="E6998">
        <v>1</v>
      </c>
      <c r="F6998" t="s">
        <v>8439</v>
      </c>
    </row>
    <row r="6999" spans="1:6" x14ac:dyDescent="0.25">
      <c r="A6999" t="s">
        <v>6446</v>
      </c>
      <c r="B6999" t="s">
        <v>3401</v>
      </c>
      <c r="C6999" t="s">
        <v>3402</v>
      </c>
      <c r="D6999" t="str">
        <f>HYPERLINK("http://service.sap.com/sap/support/notes/1807247","1807247")</f>
        <v>1807247</v>
      </c>
      <c r="E6999">
        <v>2</v>
      </c>
      <c r="F6999" t="s">
        <v>8440</v>
      </c>
    </row>
    <row r="7000" spans="1:6" x14ac:dyDescent="0.25">
      <c r="A7000" t="s">
        <v>6446</v>
      </c>
      <c r="B7000" t="s">
        <v>3410</v>
      </c>
      <c r="C7000" t="s">
        <v>3411</v>
      </c>
      <c r="D7000" t="str">
        <f>HYPERLINK("http://service.sap.com/sap/support/notes/1814220","1814220")</f>
        <v>1814220</v>
      </c>
      <c r="E7000">
        <v>2</v>
      </c>
      <c r="F7000" t="s">
        <v>8441</v>
      </c>
    </row>
    <row r="7001" spans="1:6" x14ac:dyDescent="0.25">
      <c r="A7001" t="s">
        <v>6446</v>
      </c>
      <c r="B7001" t="s">
        <v>3410</v>
      </c>
      <c r="C7001" t="s">
        <v>3411</v>
      </c>
      <c r="D7001" t="str">
        <f>HYPERLINK("http://service.sap.com/sap/support/notes/1816872","1816872")</f>
        <v>1816872</v>
      </c>
      <c r="E7001">
        <v>1</v>
      </c>
      <c r="F7001" t="s">
        <v>8442</v>
      </c>
    </row>
    <row r="7002" spans="1:6" x14ac:dyDescent="0.25">
      <c r="A7002" t="s">
        <v>6446</v>
      </c>
      <c r="B7002" t="s">
        <v>3410</v>
      </c>
      <c r="C7002" t="s">
        <v>3411</v>
      </c>
      <c r="D7002" t="str">
        <f>HYPERLINK("http://service.sap.com/sap/support/notes/1820117","1820117")</f>
        <v>1820117</v>
      </c>
      <c r="E7002">
        <v>2</v>
      </c>
      <c r="F7002" t="s">
        <v>8443</v>
      </c>
    </row>
    <row r="7003" spans="1:6" x14ac:dyDescent="0.25">
      <c r="A7003" t="s">
        <v>6446</v>
      </c>
      <c r="B7003" t="s">
        <v>3410</v>
      </c>
      <c r="C7003" t="s">
        <v>3411</v>
      </c>
      <c r="D7003" t="str">
        <f>HYPERLINK("http://service.sap.com/sap/support/notes/1823470","1823470")</f>
        <v>1823470</v>
      </c>
      <c r="E7003">
        <v>1</v>
      </c>
      <c r="F7003" t="s">
        <v>8444</v>
      </c>
    </row>
    <row r="7004" spans="1:6" x14ac:dyDescent="0.25">
      <c r="A7004" t="s">
        <v>6446</v>
      </c>
      <c r="B7004" t="s">
        <v>8445</v>
      </c>
      <c r="C7004" t="s">
        <v>8446</v>
      </c>
      <c r="D7004" t="str">
        <f>HYPERLINK("http://service.sap.com/sap/support/notes/1112690","1112690")</f>
        <v>1112690</v>
      </c>
      <c r="E7004">
        <v>8</v>
      </c>
      <c r="F7004" t="s">
        <v>8447</v>
      </c>
    </row>
    <row r="7005" spans="1:6" x14ac:dyDescent="0.25">
      <c r="A7005" t="s">
        <v>6446</v>
      </c>
      <c r="B7005" t="s">
        <v>8448</v>
      </c>
      <c r="C7005" t="s">
        <v>8449</v>
      </c>
      <c r="D7005" t="str">
        <f>HYPERLINK("http://service.sap.com/sap/support/notes/1797544","1797544")</f>
        <v>1797544</v>
      </c>
      <c r="E7005">
        <v>2</v>
      </c>
      <c r="F7005" t="s">
        <v>8450</v>
      </c>
    </row>
    <row r="7006" spans="1:6" x14ac:dyDescent="0.25">
      <c r="A7006" t="s">
        <v>6446</v>
      </c>
      <c r="B7006" t="s">
        <v>8448</v>
      </c>
      <c r="C7006" t="s">
        <v>8449</v>
      </c>
      <c r="D7006" t="str">
        <f>HYPERLINK("http://service.sap.com/sap/support/notes/1803989","1803989")</f>
        <v>1803989</v>
      </c>
      <c r="E7006">
        <v>2</v>
      </c>
      <c r="F7006" t="s">
        <v>8451</v>
      </c>
    </row>
    <row r="7007" spans="1:6" x14ac:dyDescent="0.25">
      <c r="A7007" t="s">
        <v>6446</v>
      </c>
      <c r="B7007" t="s">
        <v>3413</v>
      </c>
      <c r="C7007" t="s">
        <v>3414</v>
      </c>
      <c r="D7007" t="str">
        <f>HYPERLINK("http://service.sap.com/sap/support/notes/1817790","1817790")</f>
        <v>1817790</v>
      </c>
      <c r="E7007">
        <v>2</v>
      </c>
      <c r="F7007" t="s">
        <v>8452</v>
      </c>
    </row>
    <row r="7008" spans="1:6" x14ac:dyDescent="0.25">
      <c r="A7008" t="s">
        <v>6446</v>
      </c>
      <c r="B7008" t="s">
        <v>3418</v>
      </c>
      <c r="C7008" t="s">
        <v>3419</v>
      </c>
      <c r="D7008" t="str">
        <f>HYPERLINK("http://service.sap.com/sap/support/notes/1787042","1787042")</f>
        <v>1787042</v>
      </c>
      <c r="E7008">
        <v>2</v>
      </c>
      <c r="F7008" t="s">
        <v>8453</v>
      </c>
    </row>
    <row r="7009" spans="1:6" x14ac:dyDescent="0.25">
      <c r="A7009" t="s">
        <v>6446</v>
      </c>
      <c r="B7009" t="s">
        <v>3423</v>
      </c>
      <c r="C7009" t="s">
        <v>3424</v>
      </c>
      <c r="D7009" t="str">
        <f>HYPERLINK("http://service.sap.com/sap/support/notes/1765667","1765667")</f>
        <v>1765667</v>
      </c>
      <c r="E7009">
        <v>6</v>
      </c>
      <c r="F7009" t="s">
        <v>8454</v>
      </c>
    </row>
    <row r="7010" spans="1:6" x14ac:dyDescent="0.25">
      <c r="A7010" t="s">
        <v>6446</v>
      </c>
      <c r="B7010" t="s">
        <v>3423</v>
      </c>
      <c r="C7010" t="s">
        <v>3424</v>
      </c>
      <c r="D7010" t="str">
        <f>HYPERLINK("http://service.sap.com/sap/support/notes/1810293","1810293")</f>
        <v>1810293</v>
      </c>
      <c r="E7010">
        <v>2</v>
      </c>
      <c r="F7010" t="s">
        <v>8455</v>
      </c>
    </row>
    <row r="7011" spans="1:6" x14ac:dyDescent="0.25">
      <c r="A7011" t="s">
        <v>6446</v>
      </c>
      <c r="B7011" t="s">
        <v>3423</v>
      </c>
      <c r="C7011" t="s">
        <v>3424</v>
      </c>
      <c r="D7011" t="str">
        <f>HYPERLINK("http://service.sap.com/sap/support/notes/1819861","1819861")</f>
        <v>1819861</v>
      </c>
      <c r="E7011">
        <v>4</v>
      </c>
      <c r="F7011" t="s">
        <v>8456</v>
      </c>
    </row>
    <row r="7012" spans="1:6" x14ac:dyDescent="0.25">
      <c r="A7012" t="s">
        <v>6446</v>
      </c>
      <c r="B7012" t="s">
        <v>3423</v>
      </c>
      <c r="C7012" t="s">
        <v>3424</v>
      </c>
      <c r="D7012" t="str">
        <f>HYPERLINK("http://service.sap.com/sap/support/notes/1826374","1826374")</f>
        <v>1826374</v>
      </c>
      <c r="E7012">
        <v>1</v>
      </c>
      <c r="F7012" t="s">
        <v>8457</v>
      </c>
    </row>
    <row r="7013" spans="1:6" x14ac:dyDescent="0.25">
      <c r="A7013" t="s">
        <v>6446</v>
      </c>
      <c r="B7013" t="s">
        <v>3434</v>
      </c>
      <c r="C7013" t="s">
        <v>3435</v>
      </c>
      <c r="D7013" t="str">
        <f>HYPERLINK("http://service.sap.com/sap/support/notes/1823652","1823652")</f>
        <v>1823652</v>
      </c>
      <c r="E7013">
        <v>1</v>
      </c>
      <c r="F7013" t="s">
        <v>8458</v>
      </c>
    </row>
    <row r="7014" spans="1:6" x14ac:dyDescent="0.25">
      <c r="A7014" t="s">
        <v>6446</v>
      </c>
      <c r="B7014" t="s">
        <v>3436</v>
      </c>
      <c r="C7014" t="s">
        <v>3437</v>
      </c>
      <c r="D7014" t="str">
        <f>HYPERLINK("http://service.sap.com/sap/support/notes/1806634","1806634")</f>
        <v>1806634</v>
      </c>
    </row>
    <row r="7015" spans="1:6" x14ac:dyDescent="0.25">
      <c r="A7015" t="s">
        <v>6446</v>
      </c>
      <c r="B7015" t="s">
        <v>3439</v>
      </c>
      <c r="C7015" t="s">
        <v>3440</v>
      </c>
    </row>
    <row r="7016" spans="1:6" x14ac:dyDescent="0.25">
      <c r="A7016" t="s">
        <v>6446</v>
      </c>
      <c r="B7016" t="s">
        <v>8459</v>
      </c>
      <c r="C7016" t="s">
        <v>8460</v>
      </c>
      <c r="D7016" t="str">
        <f>HYPERLINK("http://service.sap.com/sap/support/notes/1815943","1815943")</f>
        <v>1815943</v>
      </c>
      <c r="E7016">
        <v>2</v>
      </c>
      <c r="F7016" t="s">
        <v>8461</v>
      </c>
    </row>
    <row r="7017" spans="1:6" x14ac:dyDescent="0.25">
      <c r="A7017" t="s">
        <v>6446</v>
      </c>
      <c r="B7017" t="s">
        <v>8459</v>
      </c>
      <c r="C7017" t="s">
        <v>8460</v>
      </c>
      <c r="D7017" t="str">
        <f>HYPERLINK("http://service.sap.com/sap/support/notes/1819491","1819491")</f>
        <v>1819491</v>
      </c>
      <c r="E7017">
        <v>1</v>
      </c>
      <c r="F7017" t="s">
        <v>8462</v>
      </c>
    </row>
    <row r="7018" spans="1:6" x14ac:dyDescent="0.25">
      <c r="A7018" t="s">
        <v>6446</v>
      </c>
      <c r="B7018" t="s">
        <v>3447</v>
      </c>
      <c r="C7018" t="s">
        <v>2205</v>
      </c>
    </row>
    <row r="7019" spans="1:6" x14ac:dyDescent="0.25">
      <c r="A7019" t="s">
        <v>6446</v>
      </c>
      <c r="B7019" t="s">
        <v>3448</v>
      </c>
      <c r="C7019" t="s">
        <v>3449</v>
      </c>
      <c r="D7019" t="str">
        <f>HYPERLINK("http://service.sap.com/sap/support/notes/1819248","1819248")</f>
        <v>1819248</v>
      </c>
    </row>
    <row r="7020" spans="1:6" x14ac:dyDescent="0.25">
      <c r="A7020" t="s">
        <v>6446</v>
      </c>
      <c r="B7020" t="s">
        <v>3455</v>
      </c>
      <c r="C7020" t="s">
        <v>2207</v>
      </c>
      <c r="D7020" t="str">
        <f>HYPERLINK("http://service.sap.com/sap/support/notes/1604446","1604446")</f>
        <v>1604446</v>
      </c>
      <c r="E7020">
        <v>4</v>
      </c>
      <c r="F7020" t="s">
        <v>8463</v>
      </c>
    </row>
    <row r="7021" spans="1:6" x14ac:dyDescent="0.25">
      <c r="A7021" t="s">
        <v>6446</v>
      </c>
      <c r="B7021" t="s">
        <v>3455</v>
      </c>
      <c r="C7021" t="s">
        <v>2207</v>
      </c>
      <c r="D7021" t="str">
        <f>HYPERLINK("http://service.sap.com/sap/support/notes/1647687","1647687")</f>
        <v>1647687</v>
      </c>
      <c r="E7021">
        <v>6</v>
      </c>
      <c r="F7021" t="s">
        <v>8464</v>
      </c>
    </row>
    <row r="7022" spans="1:6" x14ac:dyDescent="0.25">
      <c r="A7022" t="s">
        <v>6446</v>
      </c>
      <c r="B7022" t="s">
        <v>3455</v>
      </c>
      <c r="C7022" t="s">
        <v>2207</v>
      </c>
      <c r="D7022" t="str">
        <f>HYPERLINK("http://service.sap.com/sap/support/notes/1802307","1802307")</f>
        <v>1802307</v>
      </c>
      <c r="E7022">
        <v>3</v>
      </c>
      <c r="F7022" t="s">
        <v>8465</v>
      </c>
    </row>
    <row r="7023" spans="1:6" x14ac:dyDescent="0.25">
      <c r="A7023" t="s">
        <v>6446</v>
      </c>
      <c r="B7023" t="s">
        <v>3455</v>
      </c>
      <c r="C7023" t="s">
        <v>2207</v>
      </c>
      <c r="D7023" t="str">
        <f>HYPERLINK("http://service.sap.com/sap/support/notes/1805680","1805680")</f>
        <v>1805680</v>
      </c>
      <c r="E7023">
        <v>1</v>
      </c>
      <c r="F7023" t="s">
        <v>8466</v>
      </c>
    </row>
    <row r="7024" spans="1:6" x14ac:dyDescent="0.25">
      <c r="A7024" t="s">
        <v>6446</v>
      </c>
      <c r="B7024" t="s">
        <v>3455</v>
      </c>
      <c r="C7024" t="s">
        <v>2207</v>
      </c>
      <c r="D7024" t="str">
        <f>HYPERLINK("http://service.sap.com/sap/support/notes/1824026","1824026")</f>
        <v>1824026</v>
      </c>
      <c r="E7024">
        <v>1</v>
      </c>
      <c r="F7024" t="s">
        <v>8467</v>
      </c>
    </row>
    <row r="7025" spans="1:6" x14ac:dyDescent="0.25">
      <c r="A7025" t="s">
        <v>6446</v>
      </c>
      <c r="B7025" t="s">
        <v>3464</v>
      </c>
      <c r="C7025" t="s">
        <v>3465</v>
      </c>
      <c r="D7025" t="str">
        <f>HYPERLINK("http://service.sap.com/sap/support/notes/1590998","1590998")</f>
        <v>1590998</v>
      </c>
      <c r="E7025">
        <v>5</v>
      </c>
      <c r="F7025" t="s">
        <v>8468</v>
      </c>
    </row>
    <row r="7026" spans="1:6" x14ac:dyDescent="0.25">
      <c r="A7026" t="s">
        <v>6446</v>
      </c>
      <c r="B7026" t="s">
        <v>3464</v>
      </c>
      <c r="C7026" t="s">
        <v>3465</v>
      </c>
      <c r="D7026" t="str">
        <f>HYPERLINK("http://service.sap.com/sap/support/notes/1800155","1800155")</f>
        <v>1800155</v>
      </c>
    </row>
    <row r="7027" spans="1:6" x14ac:dyDescent="0.25">
      <c r="A7027" t="s">
        <v>6446</v>
      </c>
      <c r="B7027" t="s">
        <v>3464</v>
      </c>
      <c r="C7027" t="s">
        <v>3465</v>
      </c>
      <c r="D7027" t="str">
        <f>HYPERLINK("http://service.sap.com/sap/support/notes/1807877","1807877")</f>
        <v>1807877</v>
      </c>
      <c r="E7027">
        <v>2</v>
      </c>
      <c r="F7027" t="s">
        <v>8469</v>
      </c>
    </row>
    <row r="7028" spans="1:6" x14ac:dyDescent="0.25">
      <c r="A7028" t="s">
        <v>6446</v>
      </c>
      <c r="B7028" t="s">
        <v>3464</v>
      </c>
      <c r="C7028" t="s">
        <v>3465</v>
      </c>
      <c r="D7028" t="str">
        <f>HYPERLINK("http://service.sap.com/sap/support/notes/1818052","1818052")</f>
        <v>1818052</v>
      </c>
      <c r="E7028">
        <v>2</v>
      </c>
      <c r="F7028" t="s">
        <v>8470</v>
      </c>
    </row>
    <row r="7029" spans="1:6" x14ac:dyDescent="0.25">
      <c r="A7029" t="s">
        <v>6446</v>
      </c>
      <c r="B7029" t="s">
        <v>3467</v>
      </c>
      <c r="C7029" t="s">
        <v>151</v>
      </c>
      <c r="D7029" t="str">
        <f>HYPERLINK("http://service.sap.com/sap/support/notes/1799494","1799494")</f>
        <v>1799494</v>
      </c>
    </row>
    <row r="7030" spans="1:6" x14ac:dyDescent="0.25">
      <c r="A7030" t="s">
        <v>6446</v>
      </c>
      <c r="B7030" t="s">
        <v>3467</v>
      </c>
      <c r="C7030" t="s">
        <v>151</v>
      </c>
      <c r="D7030" t="str">
        <f>HYPERLINK("http://service.sap.com/sap/support/notes/1807839","1807839")</f>
        <v>1807839</v>
      </c>
    </row>
    <row r="7031" spans="1:6" x14ac:dyDescent="0.25">
      <c r="A7031" t="s">
        <v>6446</v>
      </c>
      <c r="B7031" t="s">
        <v>3471</v>
      </c>
      <c r="C7031" t="s">
        <v>29</v>
      </c>
    </row>
    <row r="7032" spans="1:6" x14ac:dyDescent="0.25">
      <c r="A7032" t="s">
        <v>6446</v>
      </c>
      <c r="B7032" t="s">
        <v>3472</v>
      </c>
      <c r="C7032" t="s">
        <v>3473</v>
      </c>
    </row>
    <row r="7033" spans="1:6" x14ac:dyDescent="0.25">
      <c r="A7033" t="s">
        <v>6446</v>
      </c>
      <c r="B7033" t="s">
        <v>8471</v>
      </c>
      <c r="C7033" t="s">
        <v>8472</v>
      </c>
      <c r="D7033" t="str">
        <f>HYPERLINK("http://service.sap.com/sap/support/notes/1819547","1819547")</f>
        <v>1819547</v>
      </c>
      <c r="E7033">
        <v>1</v>
      </c>
      <c r="F7033" t="s">
        <v>8473</v>
      </c>
    </row>
    <row r="7034" spans="1:6" x14ac:dyDescent="0.25">
      <c r="A7034" t="s">
        <v>6446</v>
      </c>
      <c r="B7034" t="s">
        <v>3478</v>
      </c>
      <c r="C7034" t="s">
        <v>3479</v>
      </c>
      <c r="D7034" t="str">
        <f>HYPERLINK("http://service.sap.com/sap/support/notes/1757687","1757687")</f>
        <v>1757687</v>
      </c>
      <c r="E7034">
        <v>3</v>
      </c>
      <c r="F7034" t="s">
        <v>8474</v>
      </c>
    </row>
    <row r="7035" spans="1:6" x14ac:dyDescent="0.25">
      <c r="A7035" t="s">
        <v>6446</v>
      </c>
      <c r="B7035" t="s">
        <v>3478</v>
      </c>
      <c r="C7035" t="s">
        <v>3479</v>
      </c>
      <c r="D7035" t="str">
        <f>HYPERLINK("http://service.sap.com/sap/support/notes/1804074","1804074")</f>
        <v>1804074</v>
      </c>
      <c r="E7035">
        <v>4</v>
      </c>
      <c r="F7035" t="s">
        <v>8475</v>
      </c>
    </row>
    <row r="7036" spans="1:6" x14ac:dyDescent="0.25">
      <c r="A7036" t="s">
        <v>6446</v>
      </c>
      <c r="B7036" t="s">
        <v>3481</v>
      </c>
      <c r="C7036" t="s">
        <v>3482</v>
      </c>
      <c r="D7036" t="str">
        <f>HYPERLINK("http://service.sap.com/sap/support/notes/1606077","1606077")</f>
        <v>1606077</v>
      </c>
      <c r="E7036">
        <v>5</v>
      </c>
      <c r="F7036" t="s">
        <v>8476</v>
      </c>
    </row>
    <row r="7037" spans="1:6" x14ac:dyDescent="0.25">
      <c r="A7037" t="s">
        <v>6446</v>
      </c>
      <c r="B7037" t="s">
        <v>3481</v>
      </c>
      <c r="C7037" t="s">
        <v>3482</v>
      </c>
      <c r="D7037" t="str">
        <f>HYPERLINK("http://service.sap.com/sap/support/notes/1617038","1617038")</f>
        <v>1617038</v>
      </c>
      <c r="E7037">
        <v>9</v>
      </c>
      <c r="F7037" t="s">
        <v>8477</v>
      </c>
    </row>
    <row r="7038" spans="1:6" x14ac:dyDescent="0.25">
      <c r="A7038" t="s">
        <v>6446</v>
      </c>
      <c r="B7038" t="s">
        <v>3481</v>
      </c>
      <c r="C7038" t="s">
        <v>3482</v>
      </c>
      <c r="D7038" t="str">
        <f>HYPERLINK("http://service.sap.com/sap/support/notes/1662442","1662442")</f>
        <v>1662442</v>
      </c>
      <c r="E7038">
        <v>3</v>
      </c>
      <c r="F7038" t="s">
        <v>8478</v>
      </c>
    </row>
    <row r="7039" spans="1:6" x14ac:dyDescent="0.25">
      <c r="A7039" t="s">
        <v>6446</v>
      </c>
      <c r="B7039" t="s">
        <v>3481</v>
      </c>
      <c r="C7039" t="s">
        <v>3482</v>
      </c>
      <c r="D7039" t="str">
        <f>HYPERLINK("http://service.sap.com/sap/support/notes/1822959","1822959")</f>
        <v>1822959</v>
      </c>
    </row>
    <row r="7040" spans="1:6" x14ac:dyDescent="0.25">
      <c r="A7040" t="s">
        <v>6446</v>
      </c>
      <c r="B7040" t="s">
        <v>3495</v>
      </c>
      <c r="C7040" t="s">
        <v>3496</v>
      </c>
      <c r="D7040" t="str">
        <f>HYPERLINK("http://service.sap.com/sap/support/notes/1821389","1821389")</f>
        <v>1821389</v>
      </c>
    </row>
    <row r="7041" spans="1:6" x14ac:dyDescent="0.25">
      <c r="A7041" t="s">
        <v>6446</v>
      </c>
      <c r="B7041" t="s">
        <v>3499</v>
      </c>
      <c r="C7041" t="s">
        <v>1878</v>
      </c>
      <c r="D7041" t="str">
        <f>HYPERLINK("http://service.sap.com/sap/support/notes/1763993","1763993")</f>
        <v>1763993</v>
      </c>
      <c r="E7041">
        <v>5</v>
      </c>
      <c r="F7041" t="s">
        <v>8479</v>
      </c>
    </row>
    <row r="7042" spans="1:6" x14ac:dyDescent="0.25">
      <c r="A7042" t="s">
        <v>6446</v>
      </c>
      <c r="B7042" t="s">
        <v>3499</v>
      </c>
      <c r="C7042" t="s">
        <v>1878</v>
      </c>
      <c r="D7042" t="str">
        <f>HYPERLINK("http://service.sap.com/sap/support/notes/1796202","1796202")</f>
        <v>1796202</v>
      </c>
      <c r="E7042">
        <v>2</v>
      </c>
      <c r="F7042" t="s">
        <v>8480</v>
      </c>
    </row>
    <row r="7043" spans="1:6" x14ac:dyDescent="0.25">
      <c r="A7043" t="s">
        <v>6446</v>
      </c>
      <c r="B7043" t="s">
        <v>3499</v>
      </c>
      <c r="C7043" t="s">
        <v>1878</v>
      </c>
      <c r="D7043" t="str">
        <f>HYPERLINK("http://service.sap.com/sap/support/notes/1796913","1796913")</f>
        <v>1796913</v>
      </c>
    </row>
    <row r="7044" spans="1:6" x14ac:dyDescent="0.25">
      <c r="A7044" t="s">
        <v>6446</v>
      </c>
      <c r="B7044" t="s">
        <v>3499</v>
      </c>
      <c r="C7044" t="s">
        <v>1878</v>
      </c>
      <c r="D7044" t="str">
        <f>HYPERLINK("http://service.sap.com/sap/support/notes/1798914","1798914")</f>
        <v>1798914</v>
      </c>
      <c r="E7044">
        <v>3</v>
      </c>
      <c r="F7044" t="s">
        <v>8481</v>
      </c>
    </row>
    <row r="7045" spans="1:6" x14ac:dyDescent="0.25">
      <c r="A7045" t="s">
        <v>6446</v>
      </c>
      <c r="B7045" t="s">
        <v>3499</v>
      </c>
      <c r="C7045" t="s">
        <v>1878</v>
      </c>
      <c r="D7045" t="str">
        <f>HYPERLINK("http://service.sap.com/sap/support/notes/1799328","1799328")</f>
        <v>1799328</v>
      </c>
      <c r="E7045">
        <v>2</v>
      </c>
      <c r="F7045" t="s">
        <v>8482</v>
      </c>
    </row>
    <row r="7046" spans="1:6" x14ac:dyDescent="0.25">
      <c r="A7046" t="s">
        <v>6446</v>
      </c>
      <c r="B7046" t="s">
        <v>3499</v>
      </c>
      <c r="C7046" t="s">
        <v>1878</v>
      </c>
      <c r="D7046" t="str">
        <f>HYPERLINK("http://service.sap.com/sap/support/notes/1799899","1799899")</f>
        <v>1799899</v>
      </c>
      <c r="E7046">
        <v>1</v>
      </c>
      <c r="F7046" t="s">
        <v>8483</v>
      </c>
    </row>
    <row r="7047" spans="1:6" x14ac:dyDescent="0.25">
      <c r="A7047" t="s">
        <v>6446</v>
      </c>
      <c r="B7047" t="s">
        <v>3499</v>
      </c>
      <c r="C7047" t="s">
        <v>1878</v>
      </c>
      <c r="D7047" t="str">
        <f>HYPERLINK("http://service.sap.com/sap/support/notes/1802080","1802080")</f>
        <v>1802080</v>
      </c>
      <c r="E7047">
        <v>1</v>
      </c>
      <c r="F7047" t="s">
        <v>8484</v>
      </c>
    </row>
    <row r="7048" spans="1:6" x14ac:dyDescent="0.25">
      <c r="A7048" t="s">
        <v>6446</v>
      </c>
      <c r="B7048" t="s">
        <v>3499</v>
      </c>
      <c r="C7048" t="s">
        <v>1878</v>
      </c>
      <c r="D7048" t="str">
        <f>HYPERLINK("http://service.sap.com/sap/support/notes/1804831","1804831")</f>
        <v>1804831</v>
      </c>
      <c r="E7048">
        <v>1</v>
      </c>
      <c r="F7048" t="s">
        <v>8485</v>
      </c>
    </row>
    <row r="7049" spans="1:6" x14ac:dyDescent="0.25">
      <c r="A7049" t="s">
        <v>6446</v>
      </c>
      <c r="B7049" t="s">
        <v>3499</v>
      </c>
      <c r="C7049" t="s">
        <v>1878</v>
      </c>
      <c r="D7049" t="str">
        <f>HYPERLINK("http://service.sap.com/sap/support/notes/1827135","1827135")</f>
        <v>1827135</v>
      </c>
      <c r="E7049">
        <v>1</v>
      </c>
      <c r="F7049" t="s">
        <v>8486</v>
      </c>
    </row>
    <row r="7050" spans="1:6" x14ac:dyDescent="0.25">
      <c r="A7050" t="s">
        <v>6446</v>
      </c>
      <c r="B7050" t="s">
        <v>3503</v>
      </c>
      <c r="C7050" t="s">
        <v>3504</v>
      </c>
      <c r="D7050" t="str">
        <f>HYPERLINK("http://service.sap.com/sap/support/notes/1659357","1659357")</f>
        <v>1659357</v>
      </c>
      <c r="E7050">
        <v>2</v>
      </c>
      <c r="F7050" t="s">
        <v>8487</v>
      </c>
    </row>
    <row r="7051" spans="1:6" x14ac:dyDescent="0.25">
      <c r="A7051" t="s">
        <v>6446</v>
      </c>
      <c r="B7051" t="s">
        <v>3503</v>
      </c>
      <c r="C7051" t="s">
        <v>3504</v>
      </c>
      <c r="D7051" t="str">
        <f>HYPERLINK("http://service.sap.com/sap/support/notes/1797697","1797697")</f>
        <v>1797697</v>
      </c>
      <c r="E7051">
        <v>2</v>
      </c>
      <c r="F7051" t="s">
        <v>8488</v>
      </c>
    </row>
    <row r="7052" spans="1:6" x14ac:dyDescent="0.25">
      <c r="A7052" t="s">
        <v>6446</v>
      </c>
      <c r="B7052" t="s">
        <v>3503</v>
      </c>
      <c r="C7052" t="s">
        <v>3504</v>
      </c>
      <c r="D7052" t="str">
        <f>HYPERLINK("http://service.sap.com/sap/support/notes/1807107","1807107")</f>
        <v>1807107</v>
      </c>
      <c r="E7052">
        <v>1</v>
      </c>
      <c r="F7052" t="s">
        <v>8489</v>
      </c>
    </row>
    <row r="7053" spans="1:6" x14ac:dyDescent="0.25">
      <c r="A7053" t="s">
        <v>6446</v>
      </c>
      <c r="B7053" t="s">
        <v>3503</v>
      </c>
      <c r="C7053" t="s">
        <v>3504</v>
      </c>
      <c r="D7053" t="str">
        <f>HYPERLINK("http://service.sap.com/sap/support/notes/1810619","1810619")</f>
        <v>1810619</v>
      </c>
      <c r="E7053">
        <v>1</v>
      </c>
      <c r="F7053" t="s">
        <v>8490</v>
      </c>
    </row>
    <row r="7054" spans="1:6" x14ac:dyDescent="0.25">
      <c r="A7054" t="s">
        <v>6446</v>
      </c>
      <c r="B7054" t="s">
        <v>3503</v>
      </c>
      <c r="C7054" t="s">
        <v>3504</v>
      </c>
      <c r="D7054" t="str">
        <f>HYPERLINK("http://service.sap.com/sap/support/notes/1816014","1816014")</f>
        <v>1816014</v>
      </c>
      <c r="E7054">
        <v>3</v>
      </c>
      <c r="F7054" t="s">
        <v>8491</v>
      </c>
    </row>
    <row r="7055" spans="1:6" x14ac:dyDescent="0.25">
      <c r="A7055" t="s">
        <v>6446</v>
      </c>
      <c r="B7055" t="s">
        <v>3503</v>
      </c>
      <c r="C7055" t="s">
        <v>3504</v>
      </c>
      <c r="D7055" t="str">
        <f>HYPERLINK("http://service.sap.com/sap/support/notes/1817375","1817375")</f>
        <v>1817375</v>
      </c>
      <c r="E7055">
        <v>1</v>
      </c>
      <c r="F7055" t="s">
        <v>8492</v>
      </c>
    </row>
    <row r="7056" spans="1:6" x14ac:dyDescent="0.25">
      <c r="A7056" t="s">
        <v>6446</v>
      </c>
      <c r="B7056" t="s">
        <v>8493</v>
      </c>
      <c r="C7056" t="s">
        <v>1743</v>
      </c>
      <c r="D7056" t="str">
        <f>HYPERLINK("http://service.sap.com/sap/support/notes/1819564","1819564")</f>
        <v>1819564</v>
      </c>
      <c r="E7056">
        <v>2</v>
      </c>
      <c r="F7056" t="s">
        <v>8494</v>
      </c>
    </row>
    <row r="7057" spans="1:6" x14ac:dyDescent="0.25">
      <c r="A7057" t="s">
        <v>6446</v>
      </c>
      <c r="B7057" t="s">
        <v>3508</v>
      </c>
      <c r="C7057" t="s">
        <v>151</v>
      </c>
    </row>
    <row r="7058" spans="1:6" x14ac:dyDescent="0.25">
      <c r="A7058" t="s">
        <v>6446</v>
      </c>
      <c r="B7058" t="s">
        <v>6044</v>
      </c>
      <c r="C7058" t="s">
        <v>6045</v>
      </c>
      <c r="D7058" t="str">
        <f>HYPERLINK("http://service.sap.com/sap/support/notes/1826351","1826351")</f>
        <v>1826351</v>
      </c>
      <c r="E7058">
        <v>1</v>
      </c>
      <c r="F7058" t="s">
        <v>8495</v>
      </c>
    </row>
    <row r="7059" spans="1:6" x14ac:dyDescent="0.25">
      <c r="A7059" t="s">
        <v>6446</v>
      </c>
      <c r="B7059" t="s">
        <v>3509</v>
      </c>
      <c r="C7059" t="s">
        <v>3510</v>
      </c>
      <c r="D7059" t="str">
        <f>HYPERLINK("http://service.sap.com/sap/support/notes/1795786","1795786")</f>
        <v>1795786</v>
      </c>
      <c r="E7059">
        <v>1</v>
      </c>
      <c r="F7059" t="s">
        <v>8496</v>
      </c>
    </row>
    <row r="7060" spans="1:6" x14ac:dyDescent="0.25">
      <c r="A7060" t="s">
        <v>6446</v>
      </c>
      <c r="B7060" t="s">
        <v>3509</v>
      </c>
      <c r="C7060" t="s">
        <v>3510</v>
      </c>
      <c r="D7060" t="str">
        <f>HYPERLINK("http://service.sap.com/sap/support/notes/1807670","1807670")</f>
        <v>1807670</v>
      </c>
      <c r="E7060">
        <v>1</v>
      </c>
      <c r="F7060" t="s">
        <v>8497</v>
      </c>
    </row>
    <row r="7061" spans="1:6" x14ac:dyDescent="0.25">
      <c r="A7061" t="s">
        <v>6446</v>
      </c>
      <c r="B7061" t="s">
        <v>3509</v>
      </c>
      <c r="C7061" t="s">
        <v>3510</v>
      </c>
      <c r="D7061" t="str">
        <f>HYPERLINK("http://service.sap.com/sap/support/notes/1824047","1824047")</f>
        <v>1824047</v>
      </c>
      <c r="E7061">
        <v>1</v>
      </c>
      <c r="F7061" t="s">
        <v>8498</v>
      </c>
    </row>
    <row r="7062" spans="1:6" x14ac:dyDescent="0.25">
      <c r="A7062" t="s">
        <v>6446</v>
      </c>
      <c r="B7062" t="s">
        <v>3516</v>
      </c>
      <c r="C7062" t="s">
        <v>3517</v>
      </c>
      <c r="D7062" t="str">
        <f>HYPERLINK("http://service.sap.com/sap/support/notes/1787799","1787799")</f>
        <v>1787799</v>
      </c>
      <c r="E7062">
        <v>1</v>
      </c>
      <c r="F7062" t="s">
        <v>8499</v>
      </c>
    </row>
    <row r="7063" spans="1:6" x14ac:dyDescent="0.25">
      <c r="A7063" t="s">
        <v>6446</v>
      </c>
      <c r="B7063" t="s">
        <v>3523</v>
      </c>
      <c r="C7063" t="s">
        <v>3524</v>
      </c>
      <c r="D7063" t="str">
        <f>HYPERLINK("http://service.sap.com/sap/support/notes/1787118","1787118")</f>
        <v>1787118</v>
      </c>
    </row>
    <row r="7064" spans="1:6" x14ac:dyDescent="0.25">
      <c r="A7064" t="s">
        <v>6446</v>
      </c>
      <c r="B7064" t="s">
        <v>3523</v>
      </c>
      <c r="C7064" t="s">
        <v>3524</v>
      </c>
      <c r="D7064" t="str">
        <f>HYPERLINK("http://service.sap.com/sap/support/notes/1797567","1797567")</f>
        <v>1797567</v>
      </c>
    </row>
    <row r="7065" spans="1:6" x14ac:dyDescent="0.25">
      <c r="A7065" t="s">
        <v>6446</v>
      </c>
      <c r="B7065" t="s">
        <v>3523</v>
      </c>
      <c r="C7065" t="s">
        <v>3524</v>
      </c>
      <c r="D7065" t="str">
        <f>HYPERLINK("http://service.sap.com/sap/support/notes/1816485","1816485")</f>
        <v>1816485</v>
      </c>
    </row>
    <row r="7066" spans="1:6" x14ac:dyDescent="0.25">
      <c r="A7066" t="s">
        <v>6446</v>
      </c>
      <c r="B7066" t="s">
        <v>3526</v>
      </c>
      <c r="C7066" t="s">
        <v>3527</v>
      </c>
    </row>
    <row r="7067" spans="1:6" x14ac:dyDescent="0.25">
      <c r="A7067" t="s">
        <v>6446</v>
      </c>
      <c r="B7067" t="s">
        <v>8500</v>
      </c>
      <c r="C7067" t="s">
        <v>8501</v>
      </c>
      <c r="D7067" t="str">
        <f>HYPERLINK("http://service.sap.com/sap/support/notes/1802684","1802684")</f>
        <v>1802684</v>
      </c>
      <c r="E7067">
        <v>2</v>
      </c>
      <c r="F7067" t="s">
        <v>8502</v>
      </c>
    </row>
    <row r="7068" spans="1:6" x14ac:dyDescent="0.25">
      <c r="A7068" t="s">
        <v>6446</v>
      </c>
      <c r="B7068" t="s">
        <v>8500</v>
      </c>
      <c r="C7068" t="s">
        <v>8501</v>
      </c>
      <c r="D7068" t="str">
        <f>HYPERLINK("http://service.sap.com/sap/support/notes/1812602","1812602")</f>
        <v>1812602</v>
      </c>
      <c r="E7068">
        <v>1</v>
      </c>
      <c r="F7068" t="s">
        <v>8503</v>
      </c>
    </row>
    <row r="7069" spans="1:6" x14ac:dyDescent="0.25">
      <c r="A7069" t="s">
        <v>6446</v>
      </c>
      <c r="B7069" t="s">
        <v>3528</v>
      </c>
      <c r="C7069" t="s">
        <v>3529</v>
      </c>
      <c r="D7069" t="str">
        <f>HYPERLINK("http://service.sap.com/sap/support/notes/1779473","1779473")</f>
        <v>1779473</v>
      </c>
      <c r="E7069">
        <v>2</v>
      </c>
      <c r="F7069" t="s">
        <v>8504</v>
      </c>
    </row>
    <row r="7070" spans="1:6" x14ac:dyDescent="0.25">
      <c r="A7070" t="s">
        <v>6446</v>
      </c>
      <c r="B7070" t="s">
        <v>3528</v>
      </c>
      <c r="C7070" t="s">
        <v>3529</v>
      </c>
      <c r="D7070" t="str">
        <f>HYPERLINK("http://service.sap.com/sap/support/notes/1816265","1816265")</f>
        <v>1816265</v>
      </c>
      <c r="E7070">
        <v>1</v>
      </c>
      <c r="F7070" t="s">
        <v>8505</v>
      </c>
    </row>
    <row r="7071" spans="1:6" x14ac:dyDescent="0.25">
      <c r="A7071" t="s">
        <v>6446</v>
      </c>
      <c r="B7071" t="s">
        <v>3531</v>
      </c>
      <c r="C7071" t="s">
        <v>3532</v>
      </c>
      <c r="D7071" t="str">
        <f>HYPERLINK("http://service.sap.com/sap/support/notes/1631974","1631974")</f>
        <v>1631974</v>
      </c>
      <c r="E7071">
        <v>2</v>
      </c>
      <c r="F7071" t="s">
        <v>8506</v>
      </c>
    </row>
    <row r="7072" spans="1:6" x14ac:dyDescent="0.25">
      <c r="A7072" t="s">
        <v>6446</v>
      </c>
      <c r="B7072" t="s">
        <v>3531</v>
      </c>
      <c r="C7072" t="s">
        <v>3532</v>
      </c>
      <c r="D7072" t="str">
        <f>HYPERLINK("http://service.sap.com/sap/support/notes/1797463","1797463")</f>
        <v>1797463</v>
      </c>
      <c r="E7072">
        <v>1</v>
      </c>
      <c r="F7072" t="s">
        <v>8507</v>
      </c>
    </row>
    <row r="7073" spans="1:6" x14ac:dyDescent="0.25">
      <c r="A7073" t="s">
        <v>6446</v>
      </c>
      <c r="B7073" t="s">
        <v>3531</v>
      </c>
      <c r="C7073" t="s">
        <v>3532</v>
      </c>
      <c r="D7073" t="str">
        <f>HYPERLINK("http://service.sap.com/sap/support/notes/1804853","1804853")</f>
        <v>1804853</v>
      </c>
      <c r="E7073">
        <v>1</v>
      </c>
      <c r="F7073" t="s">
        <v>8508</v>
      </c>
    </row>
    <row r="7074" spans="1:6" x14ac:dyDescent="0.25">
      <c r="A7074" t="s">
        <v>6446</v>
      </c>
      <c r="B7074" t="s">
        <v>3531</v>
      </c>
      <c r="C7074" t="s">
        <v>3532</v>
      </c>
      <c r="D7074" t="str">
        <f>HYPERLINK("http://service.sap.com/sap/support/notes/1814293","1814293")</f>
        <v>1814293</v>
      </c>
    </row>
    <row r="7075" spans="1:6" x14ac:dyDescent="0.25">
      <c r="A7075" t="s">
        <v>6446</v>
      </c>
      <c r="B7075" t="s">
        <v>3531</v>
      </c>
      <c r="C7075" t="s">
        <v>3532</v>
      </c>
      <c r="D7075" t="str">
        <f>HYPERLINK("http://service.sap.com/sap/support/notes/1821328","1821328")</f>
        <v>1821328</v>
      </c>
    </row>
    <row r="7076" spans="1:6" x14ac:dyDescent="0.25">
      <c r="A7076" t="s">
        <v>6446</v>
      </c>
      <c r="B7076" t="s">
        <v>3542</v>
      </c>
      <c r="C7076" t="s">
        <v>3543</v>
      </c>
      <c r="D7076" t="str">
        <f>HYPERLINK("http://service.sap.com/sap/support/notes/1812343","1812343")</f>
        <v>1812343</v>
      </c>
      <c r="E7076">
        <v>1</v>
      </c>
      <c r="F7076" t="s">
        <v>8509</v>
      </c>
    </row>
    <row r="7077" spans="1:6" x14ac:dyDescent="0.25">
      <c r="A7077" t="s">
        <v>6446</v>
      </c>
      <c r="B7077" t="s">
        <v>3542</v>
      </c>
      <c r="C7077" t="s">
        <v>3543</v>
      </c>
      <c r="D7077" t="str">
        <f>HYPERLINK("http://service.sap.com/sap/support/notes/1813796","1813796")</f>
        <v>1813796</v>
      </c>
      <c r="E7077">
        <v>1</v>
      </c>
      <c r="F7077" t="s">
        <v>8510</v>
      </c>
    </row>
    <row r="7078" spans="1:6" x14ac:dyDescent="0.25">
      <c r="A7078" t="s">
        <v>6446</v>
      </c>
      <c r="B7078" t="s">
        <v>3542</v>
      </c>
      <c r="C7078" t="s">
        <v>3543</v>
      </c>
      <c r="D7078" t="str">
        <f>HYPERLINK("http://service.sap.com/sap/support/notes/1826778","1826778")</f>
        <v>1826778</v>
      </c>
      <c r="E7078">
        <v>3</v>
      </c>
      <c r="F7078" t="s">
        <v>8511</v>
      </c>
    </row>
    <row r="7079" spans="1:6" x14ac:dyDescent="0.25">
      <c r="A7079" t="s">
        <v>6446</v>
      </c>
      <c r="B7079" t="s">
        <v>3545</v>
      </c>
      <c r="C7079" t="s">
        <v>3546</v>
      </c>
      <c r="D7079" t="str">
        <f>HYPERLINK("http://service.sap.com/sap/support/notes/1780172","1780172")</f>
        <v>1780172</v>
      </c>
      <c r="E7079">
        <v>2</v>
      </c>
      <c r="F7079" t="s">
        <v>8512</v>
      </c>
    </row>
    <row r="7080" spans="1:6" x14ac:dyDescent="0.25">
      <c r="A7080" t="s">
        <v>6446</v>
      </c>
      <c r="B7080" t="s">
        <v>3549</v>
      </c>
      <c r="C7080" t="s">
        <v>3550</v>
      </c>
    </row>
    <row r="7081" spans="1:6" x14ac:dyDescent="0.25">
      <c r="A7081" t="s">
        <v>6446</v>
      </c>
      <c r="B7081" t="s">
        <v>3551</v>
      </c>
      <c r="C7081" t="s">
        <v>169</v>
      </c>
    </row>
    <row r="7082" spans="1:6" x14ac:dyDescent="0.25">
      <c r="A7082" t="s">
        <v>6446</v>
      </c>
      <c r="B7082" t="s">
        <v>3552</v>
      </c>
      <c r="C7082" t="s">
        <v>3553</v>
      </c>
    </row>
    <row r="7083" spans="1:6" x14ac:dyDescent="0.25">
      <c r="A7083" t="s">
        <v>6446</v>
      </c>
      <c r="B7083" t="s">
        <v>3554</v>
      </c>
      <c r="C7083" t="s">
        <v>3555</v>
      </c>
      <c r="D7083" t="str">
        <f>HYPERLINK("http://service.sap.com/sap/support/notes/1804499","1804499")</f>
        <v>1804499</v>
      </c>
      <c r="E7083">
        <v>1</v>
      </c>
      <c r="F7083" t="s">
        <v>8513</v>
      </c>
    </row>
    <row r="7084" spans="1:6" x14ac:dyDescent="0.25">
      <c r="A7084" t="s">
        <v>6446</v>
      </c>
      <c r="B7084" t="s">
        <v>3554</v>
      </c>
      <c r="C7084" t="s">
        <v>3555</v>
      </c>
      <c r="D7084" t="str">
        <f>HYPERLINK("http://service.sap.com/sap/support/notes/1818900","1818900")</f>
        <v>1818900</v>
      </c>
      <c r="E7084">
        <v>1</v>
      </c>
      <c r="F7084" t="s">
        <v>8514</v>
      </c>
    </row>
    <row r="7085" spans="1:6" x14ac:dyDescent="0.25">
      <c r="A7085" t="s">
        <v>6446</v>
      </c>
      <c r="B7085" t="s">
        <v>3558</v>
      </c>
      <c r="C7085" t="s">
        <v>3559</v>
      </c>
    </row>
    <row r="7086" spans="1:6" x14ac:dyDescent="0.25">
      <c r="A7086" t="s">
        <v>6446</v>
      </c>
      <c r="B7086" t="s">
        <v>6070</v>
      </c>
      <c r="C7086" t="s">
        <v>3389</v>
      </c>
      <c r="D7086" t="str">
        <f>HYPERLINK("http://service.sap.com/sap/support/notes/1811364","1811364")</f>
        <v>1811364</v>
      </c>
      <c r="E7086">
        <v>1</v>
      </c>
      <c r="F7086" t="s">
        <v>8515</v>
      </c>
    </row>
    <row r="7087" spans="1:6" x14ac:dyDescent="0.25">
      <c r="A7087" t="s">
        <v>6446</v>
      </c>
      <c r="B7087" t="s">
        <v>3560</v>
      </c>
      <c r="C7087" t="s">
        <v>2961</v>
      </c>
      <c r="D7087" t="str">
        <f>HYPERLINK("http://service.sap.com/sap/support/notes/1624010","1624010")</f>
        <v>1624010</v>
      </c>
      <c r="E7087">
        <v>6</v>
      </c>
      <c r="F7087" t="s">
        <v>8516</v>
      </c>
    </row>
    <row r="7088" spans="1:6" x14ac:dyDescent="0.25">
      <c r="A7088" t="s">
        <v>6446</v>
      </c>
      <c r="B7088" t="s">
        <v>3560</v>
      </c>
      <c r="C7088" t="s">
        <v>2961</v>
      </c>
      <c r="D7088" t="str">
        <f>HYPERLINK("http://service.sap.com/sap/support/notes/1746368","1746368")</f>
        <v>1746368</v>
      </c>
      <c r="E7088">
        <v>9</v>
      </c>
      <c r="F7088" t="s">
        <v>8517</v>
      </c>
    </row>
    <row r="7089" spans="1:6" x14ac:dyDescent="0.25">
      <c r="A7089" t="s">
        <v>6446</v>
      </c>
      <c r="B7089" t="s">
        <v>3563</v>
      </c>
      <c r="C7089" t="s">
        <v>3564</v>
      </c>
      <c r="D7089" t="str">
        <f>HYPERLINK("http://service.sap.com/sap/support/notes/1547880","1547880")</f>
        <v>1547880</v>
      </c>
      <c r="E7089">
        <v>5</v>
      </c>
      <c r="F7089" t="s">
        <v>8518</v>
      </c>
    </row>
    <row r="7090" spans="1:6" x14ac:dyDescent="0.25">
      <c r="A7090" t="s">
        <v>6446</v>
      </c>
      <c r="B7090" t="s">
        <v>3563</v>
      </c>
      <c r="C7090" t="s">
        <v>3564</v>
      </c>
      <c r="D7090" t="str">
        <f>HYPERLINK("http://service.sap.com/sap/support/notes/1804956","1804956")</f>
        <v>1804956</v>
      </c>
      <c r="E7090">
        <v>1</v>
      </c>
      <c r="F7090" t="s">
        <v>8519</v>
      </c>
    </row>
    <row r="7091" spans="1:6" x14ac:dyDescent="0.25">
      <c r="A7091" t="s">
        <v>6446</v>
      </c>
      <c r="B7091" t="s">
        <v>3571</v>
      </c>
      <c r="C7091" t="s">
        <v>3572</v>
      </c>
      <c r="D7091" t="str">
        <f>HYPERLINK("http://service.sap.com/sap/support/notes/1719950","1719950")</f>
        <v>1719950</v>
      </c>
      <c r="E7091">
        <v>2</v>
      </c>
      <c r="F7091" t="s">
        <v>8520</v>
      </c>
    </row>
    <row r="7092" spans="1:6" x14ac:dyDescent="0.25">
      <c r="A7092" t="s">
        <v>6446</v>
      </c>
      <c r="B7092" t="s">
        <v>3571</v>
      </c>
      <c r="C7092" t="s">
        <v>3572</v>
      </c>
      <c r="D7092" t="str">
        <f>HYPERLINK("http://service.sap.com/sap/support/notes/1759417","1759417")</f>
        <v>1759417</v>
      </c>
      <c r="E7092">
        <v>5</v>
      </c>
      <c r="F7092" t="s">
        <v>8521</v>
      </c>
    </row>
    <row r="7093" spans="1:6" x14ac:dyDescent="0.25">
      <c r="A7093" t="s">
        <v>6446</v>
      </c>
      <c r="B7093" t="s">
        <v>3571</v>
      </c>
      <c r="C7093" t="s">
        <v>3572</v>
      </c>
      <c r="D7093" t="str">
        <f>HYPERLINK("http://service.sap.com/sap/support/notes/1807562","1807562")</f>
        <v>1807562</v>
      </c>
      <c r="E7093">
        <v>1</v>
      </c>
      <c r="F7093" t="s">
        <v>8522</v>
      </c>
    </row>
    <row r="7094" spans="1:6" x14ac:dyDescent="0.25">
      <c r="A7094" t="s">
        <v>6446</v>
      </c>
      <c r="B7094" t="s">
        <v>3571</v>
      </c>
      <c r="C7094" t="s">
        <v>3572</v>
      </c>
      <c r="D7094" t="str">
        <f>HYPERLINK("http://service.sap.com/sap/support/notes/1816249","1816249")</f>
        <v>1816249</v>
      </c>
      <c r="E7094">
        <v>1</v>
      </c>
      <c r="F7094" t="s">
        <v>8523</v>
      </c>
    </row>
    <row r="7095" spans="1:6" x14ac:dyDescent="0.25">
      <c r="A7095" t="s">
        <v>6446</v>
      </c>
      <c r="B7095" t="s">
        <v>8524</v>
      </c>
      <c r="C7095" t="s">
        <v>8525</v>
      </c>
      <c r="D7095" t="str">
        <f>HYPERLINK("http://service.sap.com/sap/support/notes/1734043","1734043")</f>
        <v>1734043</v>
      </c>
      <c r="E7095">
        <v>5</v>
      </c>
      <c r="F7095" t="s">
        <v>8526</v>
      </c>
    </row>
    <row r="7096" spans="1:6" x14ac:dyDescent="0.25">
      <c r="A7096" t="s">
        <v>6446</v>
      </c>
      <c r="B7096" t="s">
        <v>3584</v>
      </c>
      <c r="C7096" t="s">
        <v>3585</v>
      </c>
      <c r="D7096" t="str">
        <f>HYPERLINK("http://service.sap.com/sap/support/notes/1590955","1590955")</f>
        <v>1590955</v>
      </c>
      <c r="E7096">
        <v>2</v>
      </c>
      <c r="F7096" t="s">
        <v>8527</v>
      </c>
    </row>
    <row r="7097" spans="1:6" x14ac:dyDescent="0.25">
      <c r="A7097" t="s">
        <v>6446</v>
      </c>
      <c r="B7097" t="s">
        <v>3590</v>
      </c>
      <c r="C7097" t="s">
        <v>3591</v>
      </c>
      <c r="D7097" t="str">
        <f>HYPERLINK("http://service.sap.com/sap/support/notes/1722174","1722174")</f>
        <v>1722174</v>
      </c>
      <c r="E7097">
        <v>3</v>
      </c>
      <c r="F7097" t="s">
        <v>8528</v>
      </c>
    </row>
    <row r="7098" spans="1:6" x14ac:dyDescent="0.25">
      <c r="A7098" t="s">
        <v>6446</v>
      </c>
      <c r="B7098" t="s">
        <v>3593</v>
      </c>
      <c r="C7098" t="s">
        <v>3594</v>
      </c>
    </row>
    <row r="7099" spans="1:6" x14ac:dyDescent="0.25">
      <c r="A7099" t="s">
        <v>6446</v>
      </c>
      <c r="B7099" t="s">
        <v>3595</v>
      </c>
      <c r="C7099" t="s">
        <v>3596</v>
      </c>
      <c r="D7099" t="str">
        <f>HYPERLINK("http://service.sap.com/sap/support/notes/1809914","1809914")</f>
        <v>1809914</v>
      </c>
      <c r="E7099">
        <v>3</v>
      </c>
      <c r="F7099" t="s">
        <v>8529</v>
      </c>
    </row>
    <row r="7100" spans="1:6" x14ac:dyDescent="0.25">
      <c r="A7100" t="s">
        <v>6446</v>
      </c>
      <c r="B7100" t="s">
        <v>3616</v>
      </c>
      <c r="C7100" t="s">
        <v>3617</v>
      </c>
    </row>
    <row r="7101" spans="1:6" x14ac:dyDescent="0.25">
      <c r="A7101" t="s">
        <v>6446</v>
      </c>
      <c r="B7101" t="s">
        <v>8530</v>
      </c>
      <c r="C7101" t="s">
        <v>151</v>
      </c>
    </row>
    <row r="7102" spans="1:6" x14ac:dyDescent="0.25">
      <c r="A7102" t="s">
        <v>6446</v>
      </c>
      <c r="B7102" t="s">
        <v>8531</v>
      </c>
      <c r="C7102" t="s">
        <v>7892</v>
      </c>
      <c r="D7102" t="str">
        <f>HYPERLINK("http://service.sap.com/sap/support/notes/1815100","1815100")</f>
        <v>1815100</v>
      </c>
      <c r="E7102">
        <v>2</v>
      </c>
      <c r="F7102" t="s">
        <v>8532</v>
      </c>
    </row>
    <row r="7103" spans="1:6" x14ac:dyDescent="0.25">
      <c r="A7103" t="s">
        <v>6446</v>
      </c>
      <c r="B7103" t="s">
        <v>3631</v>
      </c>
      <c r="C7103" t="s">
        <v>3632</v>
      </c>
      <c r="D7103" t="str">
        <f>HYPERLINK("http://service.sap.com/sap/support/notes/1777880","1777880")</f>
        <v>1777880</v>
      </c>
      <c r="E7103">
        <v>1</v>
      </c>
      <c r="F7103" t="s">
        <v>8533</v>
      </c>
    </row>
    <row r="7104" spans="1:6" x14ac:dyDescent="0.25">
      <c r="A7104" t="s">
        <v>6446</v>
      </c>
      <c r="B7104" t="s">
        <v>3631</v>
      </c>
      <c r="C7104" t="s">
        <v>3632</v>
      </c>
      <c r="D7104" t="str">
        <f>HYPERLINK("http://service.sap.com/sap/support/notes/1810282","1810282")</f>
        <v>1810282</v>
      </c>
      <c r="E7104">
        <v>2</v>
      </c>
      <c r="F7104" t="s">
        <v>8534</v>
      </c>
    </row>
    <row r="7105" spans="1:6" x14ac:dyDescent="0.25">
      <c r="A7105" t="s">
        <v>6446</v>
      </c>
      <c r="B7105" t="s">
        <v>3638</v>
      </c>
      <c r="C7105" t="s">
        <v>3639</v>
      </c>
      <c r="D7105" t="str">
        <f>HYPERLINK("http://service.sap.com/sap/support/notes/1808670","1808670")</f>
        <v>1808670</v>
      </c>
      <c r="E7105">
        <v>1</v>
      </c>
      <c r="F7105" t="s">
        <v>8535</v>
      </c>
    </row>
    <row r="7106" spans="1:6" x14ac:dyDescent="0.25">
      <c r="A7106" t="s">
        <v>6446</v>
      </c>
      <c r="B7106" t="s">
        <v>3638</v>
      </c>
      <c r="C7106" t="s">
        <v>3639</v>
      </c>
      <c r="D7106" t="str">
        <f>HYPERLINK("http://service.sap.com/sap/support/notes/1821114","1821114")</f>
        <v>1821114</v>
      </c>
      <c r="E7106">
        <v>1</v>
      </c>
      <c r="F7106" t="s">
        <v>8536</v>
      </c>
    </row>
    <row r="7107" spans="1:6" x14ac:dyDescent="0.25">
      <c r="A7107" t="s">
        <v>6446</v>
      </c>
      <c r="B7107" t="s">
        <v>3638</v>
      </c>
      <c r="C7107" t="s">
        <v>3639</v>
      </c>
      <c r="D7107" t="str">
        <f>HYPERLINK("http://service.sap.com/sap/support/notes/1821763","1821763")</f>
        <v>1821763</v>
      </c>
      <c r="E7107">
        <v>1</v>
      </c>
      <c r="F7107" t="s">
        <v>8537</v>
      </c>
    </row>
    <row r="7108" spans="1:6" x14ac:dyDescent="0.25">
      <c r="A7108" t="s">
        <v>6446</v>
      </c>
      <c r="B7108" t="s">
        <v>3645</v>
      </c>
      <c r="C7108" t="s">
        <v>3646</v>
      </c>
      <c r="D7108" t="str">
        <f>HYPERLINK("http://service.sap.com/sap/support/notes/1819650","1819650")</f>
        <v>1819650</v>
      </c>
      <c r="E7108">
        <v>1</v>
      </c>
      <c r="F7108" t="s">
        <v>8538</v>
      </c>
    </row>
    <row r="7109" spans="1:6" x14ac:dyDescent="0.25">
      <c r="A7109" t="s">
        <v>6446</v>
      </c>
      <c r="B7109" t="s">
        <v>8539</v>
      </c>
      <c r="C7109" t="s">
        <v>8540</v>
      </c>
      <c r="D7109" t="str">
        <f>HYPERLINK("http://service.sap.com/sap/support/notes/1819043","1819043")</f>
        <v>1819043</v>
      </c>
      <c r="E7109">
        <v>1</v>
      </c>
      <c r="F7109" t="s">
        <v>8541</v>
      </c>
    </row>
    <row r="7110" spans="1:6" x14ac:dyDescent="0.25">
      <c r="A7110" t="s">
        <v>6446</v>
      </c>
      <c r="B7110" t="s">
        <v>3655</v>
      </c>
      <c r="C7110" t="s">
        <v>6099</v>
      </c>
    </row>
    <row r="7111" spans="1:6" x14ac:dyDescent="0.25">
      <c r="A7111" t="s">
        <v>6446</v>
      </c>
      <c r="B7111" t="s">
        <v>3658</v>
      </c>
      <c r="C7111" t="s">
        <v>3659</v>
      </c>
    </row>
    <row r="7112" spans="1:6" x14ac:dyDescent="0.25">
      <c r="A7112" t="s">
        <v>6446</v>
      </c>
      <c r="B7112" t="s">
        <v>3669</v>
      </c>
      <c r="C7112" t="s">
        <v>3670</v>
      </c>
    </row>
    <row r="7113" spans="1:6" x14ac:dyDescent="0.25">
      <c r="A7113" t="s">
        <v>6446</v>
      </c>
      <c r="B7113" t="s">
        <v>3671</v>
      </c>
      <c r="C7113" t="s">
        <v>3672</v>
      </c>
      <c r="D7113" t="str">
        <f>HYPERLINK("http://service.sap.com/sap/support/notes/1800101","1800101")</f>
        <v>1800101</v>
      </c>
      <c r="E7113">
        <v>1</v>
      </c>
      <c r="F7113" t="s">
        <v>8542</v>
      </c>
    </row>
    <row r="7114" spans="1:6" x14ac:dyDescent="0.25">
      <c r="A7114" t="s">
        <v>6446</v>
      </c>
      <c r="B7114" t="s">
        <v>3671</v>
      </c>
      <c r="C7114" t="s">
        <v>3672</v>
      </c>
      <c r="D7114" t="str">
        <f>HYPERLINK("http://service.sap.com/sap/support/notes/1819795","1819795")</f>
        <v>1819795</v>
      </c>
      <c r="E7114">
        <v>2</v>
      </c>
      <c r="F7114" t="s">
        <v>8543</v>
      </c>
    </row>
    <row r="7115" spans="1:6" x14ac:dyDescent="0.25">
      <c r="A7115" t="s">
        <v>6446</v>
      </c>
      <c r="B7115" t="s">
        <v>8544</v>
      </c>
      <c r="C7115" t="s">
        <v>8545</v>
      </c>
      <c r="D7115" t="str">
        <f>HYPERLINK("http://service.sap.com/sap/support/notes/1800073","1800073")</f>
        <v>1800073</v>
      </c>
      <c r="E7115">
        <v>1</v>
      </c>
      <c r="F7115" t="s">
        <v>8546</v>
      </c>
    </row>
    <row r="7116" spans="1:6" x14ac:dyDescent="0.25">
      <c r="A7116" t="s">
        <v>6446</v>
      </c>
      <c r="B7116" t="s">
        <v>3674</v>
      </c>
      <c r="C7116" t="s">
        <v>3675</v>
      </c>
      <c r="D7116" t="str">
        <f>HYPERLINK("http://service.sap.com/sap/support/notes/1791268","1791268")</f>
        <v>1791268</v>
      </c>
      <c r="E7116">
        <v>6</v>
      </c>
      <c r="F7116" t="s">
        <v>8547</v>
      </c>
    </row>
    <row r="7117" spans="1:6" x14ac:dyDescent="0.25">
      <c r="A7117" t="s">
        <v>6446</v>
      </c>
      <c r="B7117" t="s">
        <v>3674</v>
      </c>
      <c r="C7117" t="s">
        <v>3675</v>
      </c>
      <c r="D7117" t="str">
        <f>HYPERLINK("http://service.sap.com/sap/support/notes/1805623","1805623")</f>
        <v>1805623</v>
      </c>
      <c r="E7117">
        <v>1</v>
      </c>
      <c r="F7117" t="s">
        <v>8548</v>
      </c>
    </row>
    <row r="7118" spans="1:6" x14ac:dyDescent="0.25">
      <c r="A7118" t="s">
        <v>6446</v>
      </c>
      <c r="B7118" t="s">
        <v>3674</v>
      </c>
      <c r="C7118" t="s">
        <v>3675</v>
      </c>
      <c r="D7118" t="str">
        <f>HYPERLINK("http://service.sap.com/sap/support/notes/1811245","1811245")</f>
        <v>1811245</v>
      </c>
      <c r="E7118">
        <v>2</v>
      </c>
      <c r="F7118" t="s">
        <v>8549</v>
      </c>
    </row>
    <row r="7119" spans="1:6" x14ac:dyDescent="0.25">
      <c r="A7119" t="s">
        <v>6446</v>
      </c>
      <c r="B7119" t="s">
        <v>3674</v>
      </c>
      <c r="C7119" t="s">
        <v>3675</v>
      </c>
      <c r="D7119" t="str">
        <f>HYPERLINK("http://service.sap.com/sap/support/notes/1822573","1822573")</f>
        <v>1822573</v>
      </c>
      <c r="E7119">
        <v>1</v>
      </c>
      <c r="F7119" t="s">
        <v>8550</v>
      </c>
    </row>
    <row r="7120" spans="1:6" x14ac:dyDescent="0.25">
      <c r="A7120" t="s">
        <v>6446</v>
      </c>
      <c r="B7120" t="s">
        <v>8551</v>
      </c>
      <c r="C7120" t="s">
        <v>8552</v>
      </c>
      <c r="D7120" t="str">
        <f>HYPERLINK("http://service.sap.com/sap/support/notes/1825619","1825619")</f>
        <v>1825619</v>
      </c>
      <c r="E7120">
        <v>1</v>
      </c>
      <c r="F7120" t="s">
        <v>8553</v>
      </c>
    </row>
    <row r="7121" spans="1:6" x14ac:dyDescent="0.25">
      <c r="A7121" t="s">
        <v>6446</v>
      </c>
      <c r="B7121" t="s">
        <v>70</v>
      </c>
      <c r="C7121" t="s">
        <v>71</v>
      </c>
    </row>
    <row r="7122" spans="1:6" x14ac:dyDescent="0.25">
      <c r="A7122" t="s">
        <v>6446</v>
      </c>
      <c r="B7122" t="s">
        <v>3693</v>
      </c>
      <c r="C7122" t="s">
        <v>3694</v>
      </c>
    </row>
    <row r="7123" spans="1:6" x14ac:dyDescent="0.25">
      <c r="A7123" t="s">
        <v>6446</v>
      </c>
      <c r="B7123" t="s">
        <v>3700</v>
      </c>
      <c r="C7123" t="s">
        <v>3701</v>
      </c>
      <c r="D7123" t="str">
        <f>HYPERLINK("http://service.sap.com/sap/support/notes/1344872","1344872")</f>
        <v>1344872</v>
      </c>
      <c r="E7123">
        <v>1</v>
      </c>
      <c r="F7123" t="s">
        <v>3702</v>
      </c>
    </row>
    <row r="7124" spans="1:6" x14ac:dyDescent="0.25">
      <c r="A7124" t="s">
        <v>6446</v>
      </c>
      <c r="B7124" t="s">
        <v>3700</v>
      </c>
      <c r="C7124" t="s">
        <v>3701</v>
      </c>
      <c r="D7124" t="str">
        <f>HYPERLINK("http://service.sap.com/sap/support/notes/1783236","1783236")</f>
        <v>1783236</v>
      </c>
      <c r="E7124">
        <v>2</v>
      </c>
      <c r="F7124" t="s">
        <v>8554</v>
      </c>
    </row>
    <row r="7125" spans="1:6" x14ac:dyDescent="0.25">
      <c r="A7125" t="s">
        <v>6446</v>
      </c>
      <c r="B7125" t="s">
        <v>3700</v>
      </c>
      <c r="C7125" t="s">
        <v>3701</v>
      </c>
      <c r="D7125" t="str">
        <f>HYPERLINK("http://service.sap.com/sap/support/notes/1794275","1794275")</f>
        <v>1794275</v>
      </c>
      <c r="E7125">
        <v>2</v>
      </c>
      <c r="F7125" t="s">
        <v>8555</v>
      </c>
    </row>
    <row r="7126" spans="1:6" x14ac:dyDescent="0.25">
      <c r="A7126" t="s">
        <v>6446</v>
      </c>
      <c r="B7126" t="s">
        <v>3700</v>
      </c>
      <c r="C7126" t="s">
        <v>3701</v>
      </c>
      <c r="D7126" t="str">
        <f>HYPERLINK("http://service.sap.com/sap/support/notes/1805636","1805636")</f>
        <v>1805636</v>
      </c>
      <c r="E7126">
        <v>3</v>
      </c>
      <c r="F7126" t="s">
        <v>8556</v>
      </c>
    </row>
    <row r="7127" spans="1:6" x14ac:dyDescent="0.25">
      <c r="A7127" t="s">
        <v>6446</v>
      </c>
      <c r="B7127" t="s">
        <v>3700</v>
      </c>
      <c r="C7127" t="s">
        <v>3701</v>
      </c>
      <c r="D7127" t="str">
        <f>HYPERLINK("http://service.sap.com/sap/support/notes/1808375","1808375")</f>
        <v>1808375</v>
      </c>
      <c r="E7127">
        <v>1</v>
      </c>
      <c r="F7127" t="s">
        <v>8557</v>
      </c>
    </row>
    <row r="7128" spans="1:6" x14ac:dyDescent="0.25">
      <c r="A7128" t="s">
        <v>6446</v>
      </c>
      <c r="B7128" t="s">
        <v>3719</v>
      </c>
      <c r="C7128" t="s">
        <v>2999</v>
      </c>
      <c r="D7128" t="str">
        <f>HYPERLINK("http://service.sap.com/sap/support/notes/1719392","1719392")</f>
        <v>1719392</v>
      </c>
      <c r="E7128">
        <v>6</v>
      </c>
      <c r="F7128" t="s">
        <v>8558</v>
      </c>
    </row>
    <row r="7129" spans="1:6" x14ac:dyDescent="0.25">
      <c r="A7129" t="s">
        <v>6446</v>
      </c>
      <c r="B7129" t="s">
        <v>3719</v>
      </c>
      <c r="C7129" t="s">
        <v>2999</v>
      </c>
      <c r="D7129" t="str">
        <f>HYPERLINK("http://service.sap.com/sap/support/notes/1724259","1724259")</f>
        <v>1724259</v>
      </c>
      <c r="E7129">
        <v>4</v>
      </c>
      <c r="F7129" t="s">
        <v>8559</v>
      </c>
    </row>
    <row r="7130" spans="1:6" x14ac:dyDescent="0.25">
      <c r="A7130" t="s">
        <v>6446</v>
      </c>
      <c r="B7130" t="s">
        <v>3719</v>
      </c>
      <c r="C7130" t="s">
        <v>2999</v>
      </c>
      <c r="D7130" t="str">
        <f>HYPERLINK("http://service.sap.com/sap/support/notes/1725504","1725504")</f>
        <v>1725504</v>
      </c>
      <c r="E7130">
        <v>2</v>
      </c>
      <c r="F7130" t="s">
        <v>8560</v>
      </c>
    </row>
    <row r="7131" spans="1:6" x14ac:dyDescent="0.25">
      <c r="A7131" t="s">
        <v>6446</v>
      </c>
      <c r="B7131" t="s">
        <v>3719</v>
      </c>
      <c r="C7131" t="s">
        <v>2999</v>
      </c>
      <c r="D7131" t="str">
        <f>HYPERLINK("http://service.sap.com/sap/support/notes/1725599","1725599")</f>
        <v>1725599</v>
      </c>
      <c r="E7131">
        <v>8</v>
      </c>
      <c r="F7131" t="s">
        <v>8561</v>
      </c>
    </row>
    <row r="7132" spans="1:6" x14ac:dyDescent="0.25">
      <c r="A7132" t="s">
        <v>6446</v>
      </c>
      <c r="B7132" t="s">
        <v>3719</v>
      </c>
      <c r="C7132" t="s">
        <v>2999</v>
      </c>
      <c r="D7132" t="str">
        <f>HYPERLINK("http://service.sap.com/sap/support/notes/1726054","1726054")</f>
        <v>1726054</v>
      </c>
      <c r="E7132">
        <v>3</v>
      </c>
      <c r="F7132" t="s">
        <v>8562</v>
      </c>
    </row>
    <row r="7133" spans="1:6" x14ac:dyDescent="0.25">
      <c r="A7133" t="s">
        <v>6446</v>
      </c>
      <c r="B7133" t="s">
        <v>3719</v>
      </c>
      <c r="C7133" t="s">
        <v>2999</v>
      </c>
      <c r="D7133" t="str">
        <f>HYPERLINK("http://service.sap.com/sap/support/notes/1728257","1728257")</f>
        <v>1728257</v>
      </c>
      <c r="E7133">
        <v>2</v>
      </c>
      <c r="F7133" t="s">
        <v>8563</v>
      </c>
    </row>
    <row r="7134" spans="1:6" x14ac:dyDescent="0.25">
      <c r="A7134" t="s">
        <v>6446</v>
      </c>
      <c r="B7134" t="s">
        <v>3719</v>
      </c>
      <c r="C7134" t="s">
        <v>2999</v>
      </c>
      <c r="D7134" t="str">
        <f>HYPERLINK("http://service.sap.com/sap/support/notes/1736365","1736365")</f>
        <v>1736365</v>
      </c>
      <c r="E7134">
        <v>3</v>
      </c>
      <c r="F7134" t="s">
        <v>8564</v>
      </c>
    </row>
    <row r="7135" spans="1:6" x14ac:dyDescent="0.25">
      <c r="A7135" t="s">
        <v>6446</v>
      </c>
      <c r="B7135" t="s">
        <v>3719</v>
      </c>
      <c r="C7135" t="s">
        <v>2999</v>
      </c>
      <c r="D7135" t="str">
        <f>HYPERLINK("http://service.sap.com/sap/support/notes/1739362","1739362")</f>
        <v>1739362</v>
      </c>
      <c r="E7135">
        <v>3</v>
      </c>
      <c r="F7135" t="s">
        <v>8565</v>
      </c>
    </row>
    <row r="7136" spans="1:6" x14ac:dyDescent="0.25">
      <c r="A7136" t="s">
        <v>6446</v>
      </c>
      <c r="B7136" t="s">
        <v>3719</v>
      </c>
      <c r="C7136" t="s">
        <v>2999</v>
      </c>
      <c r="D7136" t="str">
        <f>HYPERLINK("http://service.sap.com/sap/support/notes/1756772","1756772")</f>
        <v>1756772</v>
      </c>
      <c r="E7136">
        <v>1</v>
      </c>
      <c r="F7136" t="s">
        <v>8566</v>
      </c>
    </row>
    <row r="7137" spans="1:6" x14ac:dyDescent="0.25">
      <c r="A7137" t="s">
        <v>6446</v>
      </c>
      <c r="B7137" t="s">
        <v>3719</v>
      </c>
      <c r="C7137" t="s">
        <v>2999</v>
      </c>
      <c r="D7137" t="str">
        <f>HYPERLINK("http://service.sap.com/sap/support/notes/1762169","1762169")</f>
        <v>1762169</v>
      </c>
      <c r="E7137">
        <v>2</v>
      </c>
      <c r="F7137" t="s">
        <v>8567</v>
      </c>
    </row>
    <row r="7138" spans="1:6" x14ac:dyDescent="0.25">
      <c r="A7138" t="s">
        <v>6446</v>
      </c>
      <c r="B7138" t="s">
        <v>3719</v>
      </c>
      <c r="C7138" t="s">
        <v>2999</v>
      </c>
      <c r="D7138" t="str">
        <f>HYPERLINK("http://service.sap.com/sap/support/notes/1762239","1762239")</f>
        <v>1762239</v>
      </c>
      <c r="E7138">
        <v>4</v>
      </c>
      <c r="F7138" t="s">
        <v>8568</v>
      </c>
    </row>
    <row r="7139" spans="1:6" x14ac:dyDescent="0.25">
      <c r="A7139" t="s">
        <v>6446</v>
      </c>
      <c r="B7139" t="s">
        <v>3719</v>
      </c>
      <c r="C7139" t="s">
        <v>2999</v>
      </c>
      <c r="D7139" t="str">
        <f>HYPERLINK("http://service.sap.com/sap/support/notes/1767610","1767610")</f>
        <v>1767610</v>
      </c>
      <c r="E7139">
        <v>8</v>
      </c>
      <c r="F7139" t="s">
        <v>8569</v>
      </c>
    </row>
    <row r="7140" spans="1:6" x14ac:dyDescent="0.25">
      <c r="A7140" t="s">
        <v>6446</v>
      </c>
      <c r="B7140" t="s">
        <v>3719</v>
      </c>
      <c r="C7140" t="s">
        <v>2999</v>
      </c>
      <c r="D7140" t="str">
        <f>HYPERLINK("http://service.sap.com/sap/support/notes/1769512","1769512")</f>
        <v>1769512</v>
      </c>
      <c r="E7140">
        <v>2</v>
      </c>
      <c r="F7140" t="s">
        <v>8570</v>
      </c>
    </row>
    <row r="7141" spans="1:6" x14ac:dyDescent="0.25">
      <c r="A7141" t="s">
        <v>6446</v>
      </c>
      <c r="B7141" t="s">
        <v>3719</v>
      </c>
      <c r="C7141" t="s">
        <v>2999</v>
      </c>
      <c r="D7141" t="str">
        <f>HYPERLINK("http://service.sap.com/sap/support/notes/1783706","1783706")</f>
        <v>1783706</v>
      </c>
      <c r="E7141">
        <v>2</v>
      </c>
      <c r="F7141" t="s">
        <v>8571</v>
      </c>
    </row>
    <row r="7142" spans="1:6" x14ac:dyDescent="0.25">
      <c r="A7142" t="s">
        <v>6446</v>
      </c>
      <c r="B7142" t="s">
        <v>3719</v>
      </c>
      <c r="C7142" t="s">
        <v>2999</v>
      </c>
      <c r="D7142" t="str">
        <f>HYPERLINK("http://service.sap.com/sap/support/notes/1783981","1783981")</f>
        <v>1783981</v>
      </c>
      <c r="E7142">
        <v>6</v>
      </c>
      <c r="F7142" t="s">
        <v>8572</v>
      </c>
    </row>
    <row r="7143" spans="1:6" x14ac:dyDescent="0.25">
      <c r="A7143" t="s">
        <v>6446</v>
      </c>
      <c r="B7143" t="s">
        <v>3719</v>
      </c>
      <c r="C7143" t="s">
        <v>2999</v>
      </c>
      <c r="D7143" t="str">
        <f>HYPERLINK("http://service.sap.com/sap/support/notes/1784971","1784971")</f>
        <v>1784971</v>
      </c>
      <c r="E7143">
        <v>2</v>
      </c>
      <c r="F7143" t="s">
        <v>8573</v>
      </c>
    </row>
    <row r="7144" spans="1:6" x14ac:dyDescent="0.25">
      <c r="A7144" t="s">
        <v>6446</v>
      </c>
      <c r="B7144" t="s">
        <v>3719</v>
      </c>
      <c r="C7144" t="s">
        <v>2999</v>
      </c>
      <c r="D7144" t="str">
        <f>HYPERLINK("http://service.sap.com/sap/support/notes/1788287","1788287")</f>
        <v>1788287</v>
      </c>
      <c r="E7144">
        <v>2</v>
      </c>
      <c r="F7144" t="s">
        <v>8574</v>
      </c>
    </row>
    <row r="7145" spans="1:6" x14ac:dyDescent="0.25">
      <c r="A7145" t="s">
        <v>6446</v>
      </c>
      <c r="B7145" t="s">
        <v>3719</v>
      </c>
      <c r="C7145" t="s">
        <v>2999</v>
      </c>
      <c r="D7145" t="str">
        <f>HYPERLINK("http://service.sap.com/sap/support/notes/1789421","1789421")</f>
        <v>1789421</v>
      </c>
      <c r="E7145">
        <v>7</v>
      </c>
      <c r="F7145" t="s">
        <v>8575</v>
      </c>
    </row>
    <row r="7146" spans="1:6" x14ac:dyDescent="0.25">
      <c r="A7146" t="s">
        <v>6446</v>
      </c>
      <c r="B7146" t="s">
        <v>3719</v>
      </c>
      <c r="C7146" t="s">
        <v>2999</v>
      </c>
      <c r="D7146" t="str">
        <f>HYPERLINK("http://service.sap.com/sap/support/notes/1802117","1802117")</f>
        <v>1802117</v>
      </c>
      <c r="E7146">
        <v>2</v>
      </c>
      <c r="F7146" t="s">
        <v>8576</v>
      </c>
    </row>
    <row r="7147" spans="1:6" x14ac:dyDescent="0.25">
      <c r="A7147" t="s">
        <v>6446</v>
      </c>
      <c r="B7147" t="s">
        <v>3719</v>
      </c>
      <c r="C7147" t="s">
        <v>2999</v>
      </c>
      <c r="D7147" t="str">
        <f>HYPERLINK("http://service.sap.com/sap/support/notes/1811089","1811089")</f>
        <v>1811089</v>
      </c>
      <c r="E7147">
        <v>3</v>
      </c>
      <c r="F7147" t="s">
        <v>8577</v>
      </c>
    </row>
    <row r="7148" spans="1:6" x14ac:dyDescent="0.25">
      <c r="A7148" t="s">
        <v>6446</v>
      </c>
      <c r="B7148" t="s">
        <v>3719</v>
      </c>
      <c r="C7148" t="s">
        <v>2999</v>
      </c>
      <c r="D7148" t="str">
        <f>HYPERLINK("http://service.sap.com/sap/support/notes/1824399","1824399")</f>
        <v>1824399</v>
      </c>
      <c r="E7148">
        <v>1</v>
      </c>
      <c r="F7148" t="s">
        <v>8578</v>
      </c>
    </row>
    <row r="7149" spans="1:6" x14ac:dyDescent="0.25">
      <c r="A7149" t="s">
        <v>6446</v>
      </c>
      <c r="B7149" t="s">
        <v>8579</v>
      </c>
      <c r="C7149" t="s">
        <v>8580</v>
      </c>
    </row>
    <row r="7150" spans="1:6" x14ac:dyDescent="0.25">
      <c r="A7150" t="s">
        <v>6446</v>
      </c>
      <c r="B7150" t="s">
        <v>8581</v>
      </c>
      <c r="C7150" t="s">
        <v>3915</v>
      </c>
      <c r="D7150" t="str">
        <f>HYPERLINK("http://service.sap.com/sap/support/notes/1822863","1822863")</f>
        <v>1822863</v>
      </c>
      <c r="E7150">
        <v>1</v>
      </c>
      <c r="F7150" t="s">
        <v>8582</v>
      </c>
    </row>
    <row r="7151" spans="1:6" x14ac:dyDescent="0.25">
      <c r="A7151" t="s">
        <v>6446</v>
      </c>
      <c r="B7151" t="s">
        <v>8583</v>
      </c>
      <c r="C7151" t="s">
        <v>8584</v>
      </c>
    </row>
    <row r="7152" spans="1:6" x14ac:dyDescent="0.25">
      <c r="A7152" t="s">
        <v>6446</v>
      </c>
      <c r="B7152" t="s">
        <v>8585</v>
      </c>
      <c r="C7152" t="s">
        <v>2999</v>
      </c>
      <c r="D7152" t="str">
        <f>HYPERLINK("http://service.sap.com/sap/support/notes/1771598","1771598")</f>
        <v>1771598</v>
      </c>
      <c r="E7152">
        <v>1</v>
      </c>
      <c r="F7152" t="s">
        <v>8586</v>
      </c>
    </row>
    <row r="7153" spans="1:6" x14ac:dyDescent="0.25">
      <c r="A7153" t="s">
        <v>6446</v>
      </c>
      <c r="B7153" t="s">
        <v>3727</v>
      </c>
      <c r="C7153" t="s">
        <v>3728</v>
      </c>
      <c r="D7153" t="str">
        <f>HYPERLINK("http://service.sap.com/sap/support/notes/1786983","1786983")</f>
        <v>1786983</v>
      </c>
      <c r="E7153">
        <v>4</v>
      </c>
      <c r="F7153" t="s">
        <v>8587</v>
      </c>
    </row>
    <row r="7154" spans="1:6" x14ac:dyDescent="0.25">
      <c r="A7154" t="s">
        <v>6446</v>
      </c>
      <c r="B7154" t="s">
        <v>3727</v>
      </c>
      <c r="C7154" t="s">
        <v>3728</v>
      </c>
      <c r="D7154" t="str">
        <f>HYPERLINK("http://service.sap.com/sap/support/notes/1793534","1793534")</f>
        <v>1793534</v>
      </c>
      <c r="E7154">
        <v>1</v>
      </c>
      <c r="F7154" t="s">
        <v>8588</v>
      </c>
    </row>
    <row r="7155" spans="1:6" x14ac:dyDescent="0.25">
      <c r="A7155" t="s">
        <v>6446</v>
      </c>
      <c r="B7155" t="s">
        <v>3727</v>
      </c>
      <c r="C7155" t="s">
        <v>3728</v>
      </c>
      <c r="D7155" t="str">
        <f>HYPERLINK("http://service.sap.com/sap/support/notes/1793852","1793852")</f>
        <v>1793852</v>
      </c>
      <c r="E7155">
        <v>9</v>
      </c>
      <c r="F7155" t="s">
        <v>8589</v>
      </c>
    </row>
    <row r="7156" spans="1:6" x14ac:dyDescent="0.25">
      <c r="A7156" t="s">
        <v>6446</v>
      </c>
      <c r="B7156" t="s">
        <v>3727</v>
      </c>
      <c r="C7156" t="s">
        <v>3728</v>
      </c>
      <c r="D7156" t="str">
        <f>HYPERLINK("http://service.sap.com/sap/support/notes/1799591","1799591")</f>
        <v>1799591</v>
      </c>
      <c r="E7156">
        <v>2</v>
      </c>
      <c r="F7156" t="s">
        <v>8590</v>
      </c>
    </row>
    <row r="7157" spans="1:6" x14ac:dyDescent="0.25">
      <c r="A7157" t="s">
        <v>6446</v>
      </c>
      <c r="B7157" t="s">
        <v>3727</v>
      </c>
      <c r="C7157" t="s">
        <v>3728</v>
      </c>
      <c r="D7157" t="str">
        <f>HYPERLINK("http://service.sap.com/sap/support/notes/1800068","1800068")</f>
        <v>1800068</v>
      </c>
      <c r="E7157">
        <v>2</v>
      </c>
      <c r="F7157" t="s">
        <v>8591</v>
      </c>
    </row>
    <row r="7158" spans="1:6" x14ac:dyDescent="0.25">
      <c r="A7158" t="s">
        <v>6446</v>
      </c>
      <c r="B7158" t="s">
        <v>3727</v>
      </c>
      <c r="C7158" t="s">
        <v>3728</v>
      </c>
      <c r="D7158" t="str">
        <f>HYPERLINK("http://service.sap.com/sap/support/notes/1800593","1800593")</f>
        <v>1800593</v>
      </c>
      <c r="E7158">
        <v>2</v>
      </c>
      <c r="F7158" t="s">
        <v>8592</v>
      </c>
    </row>
    <row r="7159" spans="1:6" x14ac:dyDescent="0.25">
      <c r="A7159" t="s">
        <v>6446</v>
      </c>
      <c r="B7159" t="s">
        <v>3727</v>
      </c>
      <c r="C7159" t="s">
        <v>3728</v>
      </c>
      <c r="D7159" t="str">
        <f>HYPERLINK("http://service.sap.com/sap/support/notes/1803656","1803656")</f>
        <v>1803656</v>
      </c>
      <c r="E7159">
        <v>3</v>
      </c>
      <c r="F7159" t="s">
        <v>8593</v>
      </c>
    </row>
    <row r="7160" spans="1:6" x14ac:dyDescent="0.25">
      <c r="A7160" t="s">
        <v>6446</v>
      </c>
      <c r="B7160" t="s">
        <v>3727</v>
      </c>
      <c r="C7160" t="s">
        <v>3728</v>
      </c>
      <c r="D7160" t="str">
        <f>HYPERLINK("http://service.sap.com/sap/support/notes/1810395","1810395")</f>
        <v>1810395</v>
      </c>
      <c r="E7160">
        <v>1</v>
      </c>
      <c r="F7160" t="s">
        <v>6130</v>
      </c>
    </row>
    <row r="7161" spans="1:6" x14ac:dyDescent="0.25">
      <c r="A7161" t="s">
        <v>6446</v>
      </c>
      <c r="B7161" t="s">
        <v>3727</v>
      </c>
      <c r="C7161" t="s">
        <v>3728</v>
      </c>
      <c r="D7161" t="str">
        <f>HYPERLINK("http://service.sap.com/sap/support/notes/1814128","1814128")</f>
        <v>1814128</v>
      </c>
      <c r="E7161">
        <v>3</v>
      </c>
      <c r="F7161" t="s">
        <v>8594</v>
      </c>
    </row>
    <row r="7162" spans="1:6" x14ac:dyDescent="0.25">
      <c r="A7162" t="s">
        <v>6446</v>
      </c>
      <c r="B7162" t="s">
        <v>3727</v>
      </c>
      <c r="C7162" t="s">
        <v>3728</v>
      </c>
      <c r="D7162" t="str">
        <f>HYPERLINK("http://service.sap.com/sap/support/notes/1818836","1818836")</f>
        <v>1818836</v>
      </c>
      <c r="E7162">
        <v>2</v>
      </c>
      <c r="F7162" t="s">
        <v>8595</v>
      </c>
    </row>
    <row r="7163" spans="1:6" x14ac:dyDescent="0.25">
      <c r="A7163" t="s">
        <v>6446</v>
      </c>
      <c r="B7163" t="s">
        <v>3738</v>
      </c>
      <c r="C7163" t="s">
        <v>3739</v>
      </c>
      <c r="D7163" t="str">
        <f>HYPERLINK("http://service.sap.com/sap/support/notes/1769249","1769249")</f>
        <v>1769249</v>
      </c>
      <c r="E7163">
        <v>2</v>
      </c>
      <c r="F7163" t="s">
        <v>8596</v>
      </c>
    </row>
    <row r="7164" spans="1:6" x14ac:dyDescent="0.25">
      <c r="A7164" t="s">
        <v>6446</v>
      </c>
      <c r="B7164" t="s">
        <v>3738</v>
      </c>
      <c r="C7164" t="s">
        <v>3739</v>
      </c>
      <c r="D7164" t="str">
        <f>HYPERLINK("http://service.sap.com/sap/support/notes/1776491","1776491")</f>
        <v>1776491</v>
      </c>
      <c r="E7164">
        <v>3</v>
      </c>
      <c r="F7164" t="s">
        <v>8597</v>
      </c>
    </row>
    <row r="7165" spans="1:6" x14ac:dyDescent="0.25">
      <c r="A7165" t="s">
        <v>6446</v>
      </c>
      <c r="B7165" t="s">
        <v>3738</v>
      </c>
      <c r="C7165" t="s">
        <v>3739</v>
      </c>
      <c r="D7165" t="str">
        <f>HYPERLINK("http://service.sap.com/sap/support/notes/1793706","1793706")</f>
        <v>1793706</v>
      </c>
      <c r="E7165">
        <v>1</v>
      </c>
      <c r="F7165" t="s">
        <v>8598</v>
      </c>
    </row>
    <row r="7166" spans="1:6" x14ac:dyDescent="0.25">
      <c r="A7166" t="s">
        <v>6446</v>
      </c>
      <c r="B7166" t="s">
        <v>3738</v>
      </c>
      <c r="C7166" t="s">
        <v>3739</v>
      </c>
      <c r="D7166" t="str">
        <f>HYPERLINK("http://service.sap.com/sap/support/notes/1798451","1798451")</f>
        <v>1798451</v>
      </c>
      <c r="E7166">
        <v>1</v>
      </c>
      <c r="F7166" t="s">
        <v>8599</v>
      </c>
    </row>
    <row r="7167" spans="1:6" x14ac:dyDescent="0.25">
      <c r="A7167" t="s">
        <v>6446</v>
      </c>
      <c r="B7167" t="s">
        <v>3738</v>
      </c>
      <c r="C7167" t="s">
        <v>3739</v>
      </c>
      <c r="D7167" t="str">
        <f>HYPERLINK("http://service.sap.com/sap/support/notes/1804255","1804255")</f>
        <v>1804255</v>
      </c>
      <c r="E7167">
        <v>1</v>
      </c>
      <c r="F7167" t="s">
        <v>8600</v>
      </c>
    </row>
    <row r="7168" spans="1:6" x14ac:dyDescent="0.25">
      <c r="A7168" t="s">
        <v>6446</v>
      </c>
      <c r="B7168" t="s">
        <v>3738</v>
      </c>
      <c r="C7168" t="s">
        <v>3739</v>
      </c>
      <c r="D7168" t="str">
        <f>HYPERLINK("http://service.sap.com/sap/support/notes/1805634","1805634")</f>
        <v>1805634</v>
      </c>
      <c r="E7168">
        <v>2</v>
      </c>
      <c r="F7168" t="s">
        <v>8601</v>
      </c>
    </row>
    <row r="7169" spans="1:6" x14ac:dyDescent="0.25">
      <c r="A7169" t="s">
        <v>6446</v>
      </c>
      <c r="B7169" t="s">
        <v>3751</v>
      </c>
      <c r="C7169" t="s">
        <v>218</v>
      </c>
      <c r="D7169" t="str">
        <f>HYPERLINK("http://service.sap.com/sap/support/notes/1686352","1686352")</f>
        <v>1686352</v>
      </c>
      <c r="E7169">
        <v>3</v>
      </c>
      <c r="F7169" t="s">
        <v>8602</v>
      </c>
    </row>
    <row r="7170" spans="1:6" x14ac:dyDescent="0.25">
      <c r="A7170" t="s">
        <v>6446</v>
      </c>
      <c r="B7170" t="s">
        <v>3751</v>
      </c>
      <c r="C7170" t="s">
        <v>218</v>
      </c>
      <c r="D7170" t="str">
        <f>HYPERLINK("http://service.sap.com/sap/support/notes/1792089","1792089")</f>
        <v>1792089</v>
      </c>
      <c r="E7170">
        <v>5</v>
      </c>
      <c r="F7170" t="s">
        <v>8603</v>
      </c>
    </row>
    <row r="7171" spans="1:6" x14ac:dyDescent="0.25">
      <c r="A7171" t="s">
        <v>6446</v>
      </c>
      <c r="B7171" t="s">
        <v>3751</v>
      </c>
      <c r="C7171" t="s">
        <v>218</v>
      </c>
      <c r="D7171" t="str">
        <f>HYPERLINK("http://service.sap.com/sap/support/notes/1792874","1792874")</f>
        <v>1792874</v>
      </c>
      <c r="E7171">
        <v>2</v>
      </c>
      <c r="F7171" t="s">
        <v>8604</v>
      </c>
    </row>
    <row r="7172" spans="1:6" x14ac:dyDescent="0.25">
      <c r="A7172" t="s">
        <v>6446</v>
      </c>
      <c r="B7172" t="s">
        <v>3751</v>
      </c>
      <c r="C7172" t="s">
        <v>218</v>
      </c>
      <c r="D7172" t="str">
        <f>HYPERLINK("http://service.sap.com/sap/support/notes/1795015","1795015")</f>
        <v>1795015</v>
      </c>
      <c r="E7172">
        <v>3</v>
      </c>
      <c r="F7172" t="s">
        <v>8605</v>
      </c>
    </row>
    <row r="7173" spans="1:6" x14ac:dyDescent="0.25">
      <c r="A7173" t="s">
        <v>6446</v>
      </c>
      <c r="B7173" t="s">
        <v>3751</v>
      </c>
      <c r="C7173" t="s">
        <v>218</v>
      </c>
      <c r="D7173" t="str">
        <f>HYPERLINK("http://service.sap.com/sap/support/notes/1801131","1801131")</f>
        <v>1801131</v>
      </c>
      <c r="E7173">
        <v>4</v>
      </c>
      <c r="F7173" t="s">
        <v>8606</v>
      </c>
    </row>
    <row r="7174" spans="1:6" x14ac:dyDescent="0.25">
      <c r="A7174" t="s">
        <v>6446</v>
      </c>
      <c r="B7174" t="s">
        <v>3751</v>
      </c>
      <c r="C7174" t="s">
        <v>218</v>
      </c>
      <c r="D7174" t="str">
        <f>HYPERLINK("http://service.sap.com/sap/support/notes/1803070","1803070")</f>
        <v>1803070</v>
      </c>
      <c r="E7174">
        <v>6</v>
      </c>
      <c r="F7174" t="s">
        <v>8607</v>
      </c>
    </row>
    <row r="7175" spans="1:6" x14ac:dyDescent="0.25">
      <c r="A7175" t="s">
        <v>6446</v>
      </c>
      <c r="B7175" t="s">
        <v>3751</v>
      </c>
      <c r="C7175" t="s">
        <v>218</v>
      </c>
      <c r="D7175" t="str">
        <f>HYPERLINK("http://service.sap.com/sap/support/notes/1805376","1805376")</f>
        <v>1805376</v>
      </c>
      <c r="E7175">
        <v>2</v>
      </c>
      <c r="F7175" t="s">
        <v>8608</v>
      </c>
    </row>
    <row r="7176" spans="1:6" x14ac:dyDescent="0.25">
      <c r="A7176" t="s">
        <v>6446</v>
      </c>
      <c r="B7176" t="s">
        <v>3751</v>
      </c>
      <c r="C7176" t="s">
        <v>218</v>
      </c>
      <c r="D7176" t="str">
        <f>HYPERLINK("http://service.sap.com/sap/support/notes/1809545","1809545")</f>
        <v>1809545</v>
      </c>
      <c r="E7176">
        <v>2</v>
      </c>
      <c r="F7176" t="s">
        <v>8609</v>
      </c>
    </row>
    <row r="7177" spans="1:6" x14ac:dyDescent="0.25">
      <c r="A7177" t="s">
        <v>6446</v>
      </c>
      <c r="B7177" t="s">
        <v>3751</v>
      </c>
      <c r="C7177" t="s">
        <v>218</v>
      </c>
      <c r="D7177" t="str">
        <f>HYPERLINK("http://service.sap.com/sap/support/notes/1815707","1815707")</f>
        <v>1815707</v>
      </c>
      <c r="E7177">
        <v>3</v>
      </c>
      <c r="F7177" t="s">
        <v>8610</v>
      </c>
    </row>
    <row r="7178" spans="1:6" x14ac:dyDescent="0.25">
      <c r="A7178" t="s">
        <v>6446</v>
      </c>
      <c r="B7178" t="s">
        <v>3751</v>
      </c>
      <c r="C7178" t="s">
        <v>218</v>
      </c>
      <c r="D7178" t="str">
        <f>HYPERLINK("http://service.sap.com/sap/support/notes/1816560","1816560")</f>
        <v>1816560</v>
      </c>
      <c r="E7178">
        <v>2</v>
      </c>
      <c r="F7178" t="s">
        <v>8611</v>
      </c>
    </row>
    <row r="7179" spans="1:6" x14ac:dyDescent="0.25">
      <c r="A7179" t="s">
        <v>6446</v>
      </c>
      <c r="B7179" t="s">
        <v>3751</v>
      </c>
      <c r="C7179" t="s">
        <v>218</v>
      </c>
      <c r="D7179" t="str">
        <f>HYPERLINK("http://service.sap.com/sap/support/notes/1818680","1818680")</f>
        <v>1818680</v>
      </c>
      <c r="E7179">
        <v>1</v>
      </c>
      <c r="F7179" t="s">
        <v>6142</v>
      </c>
    </row>
    <row r="7180" spans="1:6" x14ac:dyDescent="0.25">
      <c r="A7180" t="s">
        <v>6446</v>
      </c>
      <c r="B7180" t="s">
        <v>3764</v>
      </c>
      <c r="C7180" t="s">
        <v>3765</v>
      </c>
      <c r="D7180" t="str">
        <f>HYPERLINK("http://service.sap.com/sap/support/notes/1754198","1754198")</f>
        <v>1754198</v>
      </c>
      <c r="E7180">
        <v>3</v>
      </c>
      <c r="F7180" t="s">
        <v>8612</v>
      </c>
    </row>
    <row r="7181" spans="1:6" x14ac:dyDescent="0.25">
      <c r="A7181" t="s">
        <v>6446</v>
      </c>
      <c r="B7181" t="s">
        <v>3764</v>
      </c>
      <c r="C7181" t="s">
        <v>3765</v>
      </c>
      <c r="D7181" t="str">
        <f>HYPERLINK("http://service.sap.com/sap/support/notes/1759030","1759030")</f>
        <v>1759030</v>
      </c>
      <c r="E7181">
        <v>1</v>
      </c>
      <c r="F7181" t="s">
        <v>8613</v>
      </c>
    </row>
    <row r="7182" spans="1:6" x14ac:dyDescent="0.25">
      <c r="A7182" t="s">
        <v>6446</v>
      </c>
      <c r="B7182" t="s">
        <v>3764</v>
      </c>
      <c r="C7182" t="s">
        <v>3765</v>
      </c>
      <c r="D7182" t="str">
        <f>HYPERLINK("http://service.sap.com/sap/support/notes/1777451","1777451")</f>
        <v>1777451</v>
      </c>
      <c r="E7182">
        <v>1</v>
      </c>
      <c r="F7182" t="s">
        <v>8614</v>
      </c>
    </row>
    <row r="7183" spans="1:6" x14ac:dyDescent="0.25">
      <c r="A7183" t="s">
        <v>6446</v>
      </c>
      <c r="B7183" t="s">
        <v>3764</v>
      </c>
      <c r="C7183" t="s">
        <v>3765</v>
      </c>
      <c r="D7183" t="str">
        <f>HYPERLINK("http://service.sap.com/sap/support/notes/1779240","1779240")</f>
        <v>1779240</v>
      </c>
      <c r="E7183">
        <v>1</v>
      </c>
      <c r="F7183" t="s">
        <v>8615</v>
      </c>
    </row>
    <row r="7184" spans="1:6" x14ac:dyDescent="0.25">
      <c r="A7184" t="s">
        <v>6446</v>
      </c>
      <c r="B7184" t="s">
        <v>3764</v>
      </c>
      <c r="C7184" t="s">
        <v>3765</v>
      </c>
      <c r="D7184" t="str">
        <f>HYPERLINK("http://service.sap.com/sap/support/notes/1786761","1786761")</f>
        <v>1786761</v>
      </c>
      <c r="E7184">
        <v>5</v>
      </c>
      <c r="F7184" t="s">
        <v>8616</v>
      </c>
    </row>
    <row r="7185" spans="1:6" x14ac:dyDescent="0.25">
      <c r="A7185" t="s">
        <v>6446</v>
      </c>
      <c r="B7185" t="s">
        <v>3764</v>
      </c>
      <c r="C7185" t="s">
        <v>3765</v>
      </c>
      <c r="D7185" t="str">
        <f>HYPERLINK("http://service.sap.com/sap/support/notes/1798662","1798662")</f>
        <v>1798662</v>
      </c>
      <c r="E7185">
        <v>2</v>
      </c>
      <c r="F7185" t="s">
        <v>8617</v>
      </c>
    </row>
    <row r="7186" spans="1:6" x14ac:dyDescent="0.25">
      <c r="A7186" t="s">
        <v>6446</v>
      </c>
      <c r="B7186" t="s">
        <v>3764</v>
      </c>
      <c r="C7186" t="s">
        <v>3765</v>
      </c>
      <c r="D7186" t="str">
        <f>HYPERLINK("http://service.sap.com/sap/support/notes/1799294","1799294")</f>
        <v>1799294</v>
      </c>
    </row>
    <row r="7187" spans="1:6" x14ac:dyDescent="0.25">
      <c r="A7187" t="s">
        <v>6446</v>
      </c>
      <c r="B7187" t="s">
        <v>3764</v>
      </c>
      <c r="C7187" t="s">
        <v>3765</v>
      </c>
      <c r="D7187" t="str">
        <f>HYPERLINK("http://service.sap.com/sap/support/notes/1799307","1799307")</f>
        <v>1799307</v>
      </c>
      <c r="E7187">
        <v>2</v>
      </c>
      <c r="F7187" t="s">
        <v>8618</v>
      </c>
    </row>
    <row r="7188" spans="1:6" x14ac:dyDescent="0.25">
      <c r="A7188" t="s">
        <v>6446</v>
      </c>
      <c r="B7188" t="s">
        <v>3764</v>
      </c>
      <c r="C7188" t="s">
        <v>3765</v>
      </c>
      <c r="D7188" t="str">
        <f>HYPERLINK("http://service.sap.com/sap/support/notes/1801734","1801734")</f>
        <v>1801734</v>
      </c>
      <c r="E7188">
        <v>1</v>
      </c>
      <c r="F7188" t="s">
        <v>8619</v>
      </c>
    </row>
    <row r="7189" spans="1:6" x14ac:dyDescent="0.25">
      <c r="A7189" t="s">
        <v>6446</v>
      </c>
      <c r="B7189" t="s">
        <v>3764</v>
      </c>
      <c r="C7189" t="s">
        <v>3765</v>
      </c>
      <c r="D7189" t="str">
        <f>HYPERLINK("http://service.sap.com/sap/support/notes/1805127","1805127")</f>
        <v>1805127</v>
      </c>
      <c r="E7189">
        <v>2</v>
      </c>
      <c r="F7189" t="s">
        <v>8620</v>
      </c>
    </row>
    <row r="7190" spans="1:6" x14ac:dyDescent="0.25">
      <c r="A7190" t="s">
        <v>6446</v>
      </c>
      <c r="B7190" t="s">
        <v>3764</v>
      </c>
      <c r="C7190" t="s">
        <v>3765</v>
      </c>
      <c r="D7190" t="str">
        <f>HYPERLINK("http://service.sap.com/sap/support/notes/1805626","1805626")</f>
        <v>1805626</v>
      </c>
      <c r="E7190">
        <v>1</v>
      </c>
      <c r="F7190" t="s">
        <v>8621</v>
      </c>
    </row>
    <row r="7191" spans="1:6" x14ac:dyDescent="0.25">
      <c r="A7191" t="s">
        <v>6446</v>
      </c>
      <c r="B7191" t="s">
        <v>3764</v>
      </c>
      <c r="C7191" t="s">
        <v>3765</v>
      </c>
      <c r="D7191" t="str">
        <f>HYPERLINK("http://service.sap.com/sap/support/notes/1806065","1806065")</f>
        <v>1806065</v>
      </c>
      <c r="E7191">
        <v>1</v>
      </c>
      <c r="F7191" t="s">
        <v>8622</v>
      </c>
    </row>
    <row r="7192" spans="1:6" x14ac:dyDescent="0.25">
      <c r="A7192" t="s">
        <v>6446</v>
      </c>
      <c r="B7192" t="s">
        <v>3764</v>
      </c>
      <c r="C7192" t="s">
        <v>3765</v>
      </c>
      <c r="D7192" t="str">
        <f>HYPERLINK("http://service.sap.com/sap/support/notes/1809117","1809117")</f>
        <v>1809117</v>
      </c>
      <c r="E7192">
        <v>2</v>
      </c>
      <c r="F7192" t="s">
        <v>8623</v>
      </c>
    </row>
    <row r="7193" spans="1:6" x14ac:dyDescent="0.25">
      <c r="A7193" t="s">
        <v>6446</v>
      </c>
      <c r="B7193" t="s">
        <v>3764</v>
      </c>
      <c r="C7193" t="s">
        <v>3765</v>
      </c>
      <c r="D7193" t="str">
        <f>HYPERLINK("http://service.sap.com/sap/support/notes/1809523","1809523")</f>
        <v>1809523</v>
      </c>
      <c r="E7193">
        <v>2</v>
      </c>
      <c r="F7193" t="s">
        <v>8624</v>
      </c>
    </row>
    <row r="7194" spans="1:6" x14ac:dyDescent="0.25">
      <c r="A7194" t="s">
        <v>6446</v>
      </c>
      <c r="B7194" t="s">
        <v>3764</v>
      </c>
      <c r="C7194" t="s">
        <v>3765</v>
      </c>
      <c r="D7194" t="str">
        <f>HYPERLINK("http://service.sap.com/sap/support/notes/1810199","1810199")</f>
        <v>1810199</v>
      </c>
      <c r="E7194">
        <v>2</v>
      </c>
      <c r="F7194" t="s">
        <v>8625</v>
      </c>
    </row>
    <row r="7195" spans="1:6" x14ac:dyDescent="0.25">
      <c r="A7195" t="s">
        <v>6446</v>
      </c>
      <c r="B7195" t="s">
        <v>3764</v>
      </c>
      <c r="C7195" t="s">
        <v>3765</v>
      </c>
      <c r="D7195" t="str">
        <f>HYPERLINK("http://service.sap.com/sap/support/notes/1810694","1810694")</f>
        <v>1810694</v>
      </c>
      <c r="E7195">
        <v>1</v>
      </c>
      <c r="F7195" t="s">
        <v>8626</v>
      </c>
    </row>
    <row r="7196" spans="1:6" x14ac:dyDescent="0.25">
      <c r="A7196" t="s">
        <v>6446</v>
      </c>
      <c r="B7196" t="s">
        <v>3764</v>
      </c>
      <c r="C7196" t="s">
        <v>3765</v>
      </c>
      <c r="D7196" t="str">
        <f>HYPERLINK("http://service.sap.com/sap/support/notes/1813441","1813441")</f>
        <v>1813441</v>
      </c>
    </row>
    <row r="7197" spans="1:6" x14ac:dyDescent="0.25">
      <c r="A7197" t="s">
        <v>6446</v>
      </c>
      <c r="B7197" t="s">
        <v>3764</v>
      </c>
      <c r="C7197" t="s">
        <v>3765</v>
      </c>
      <c r="D7197" t="str">
        <f>HYPERLINK("http://service.sap.com/sap/support/notes/1814431","1814431")</f>
        <v>1814431</v>
      </c>
      <c r="E7197">
        <v>1</v>
      </c>
      <c r="F7197" t="s">
        <v>8627</v>
      </c>
    </row>
    <row r="7198" spans="1:6" x14ac:dyDescent="0.25">
      <c r="A7198" t="s">
        <v>6446</v>
      </c>
      <c r="B7198" t="s">
        <v>3764</v>
      </c>
      <c r="C7198" t="s">
        <v>3765</v>
      </c>
      <c r="D7198" t="str">
        <f>HYPERLINK("http://service.sap.com/sap/support/notes/1815648","1815648")</f>
        <v>1815648</v>
      </c>
      <c r="E7198">
        <v>1</v>
      </c>
      <c r="F7198" t="s">
        <v>8628</v>
      </c>
    </row>
    <row r="7199" spans="1:6" x14ac:dyDescent="0.25">
      <c r="A7199" t="s">
        <v>6446</v>
      </c>
      <c r="B7199" t="s">
        <v>3764</v>
      </c>
      <c r="C7199" t="s">
        <v>3765</v>
      </c>
      <c r="D7199" t="str">
        <f>HYPERLINK("http://service.sap.com/sap/support/notes/1822244","1822244")</f>
        <v>1822244</v>
      </c>
      <c r="E7199">
        <v>2</v>
      </c>
      <c r="F7199" t="s">
        <v>8629</v>
      </c>
    </row>
    <row r="7200" spans="1:6" x14ac:dyDescent="0.25">
      <c r="A7200" t="s">
        <v>6446</v>
      </c>
      <c r="B7200" t="s">
        <v>3797</v>
      </c>
      <c r="C7200" t="s">
        <v>3798</v>
      </c>
      <c r="D7200" t="str">
        <f>HYPERLINK("http://service.sap.com/sap/support/notes/1752688","1752688")</f>
        <v>1752688</v>
      </c>
      <c r="E7200">
        <v>5</v>
      </c>
      <c r="F7200" t="s">
        <v>8630</v>
      </c>
    </row>
    <row r="7201" spans="1:6" x14ac:dyDescent="0.25">
      <c r="A7201" t="s">
        <v>6446</v>
      </c>
      <c r="B7201" t="s">
        <v>3797</v>
      </c>
      <c r="C7201" t="s">
        <v>3798</v>
      </c>
      <c r="D7201" t="str">
        <f>HYPERLINK("http://service.sap.com/sap/support/notes/1777937","1777937")</f>
        <v>1777937</v>
      </c>
      <c r="E7201">
        <v>1</v>
      </c>
      <c r="F7201" t="s">
        <v>8631</v>
      </c>
    </row>
    <row r="7202" spans="1:6" x14ac:dyDescent="0.25">
      <c r="A7202" t="s">
        <v>6446</v>
      </c>
      <c r="B7202" t="s">
        <v>3797</v>
      </c>
      <c r="C7202" t="s">
        <v>3798</v>
      </c>
      <c r="D7202" t="str">
        <f>HYPERLINK("http://service.sap.com/sap/support/notes/1785118","1785118")</f>
        <v>1785118</v>
      </c>
      <c r="E7202">
        <v>2</v>
      </c>
      <c r="F7202" t="s">
        <v>8632</v>
      </c>
    </row>
    <row r="7203" spans="1:6" x14ac:dyDescent="0.25">
      <c r="A7203" t="s">
        <v>6446</v>
      </c>
      <c r="B7203" t="s">
        <v>3797</v>
      </c>
      <c r="C7203" t="s">
        <v>3798</v>
      </c>
      <c r="D7203" t="str">
        <f>HYPERLINK("http://service.sap.com/sap/support/notes/1786092","1786092")</f>
        <v>1786092</v>
      </c>
      <c r="E7203">
        <v>2</v>
      </c>
      <c r="F7203" t="s">
        <v>8633</v>
      </c>
    </row>
    <row r="7204" spans="1:6" x14ac:dyDescent="0.25">
      <c r="A7204" t="s">
        <v>6446</v>
      </c>
      <c r="B7204" t="s">
        <v>3797</v>
      </c>
      <c r="C7204" t="s">
        <v>3798</v>
      </c>
      <c r="D7204" t="str">
        <f>HYPERLINK("http://service.sap.com/sap/support/notes/1786817","1786817")</f>
        <v>1786817</v>
      </c>
      <c r="E7204">
        <v>1</v>
      </c>
      <c r="F7204" t="s">
        <v>8634</v>
      </c>
    </row>
    <row r="7205" spans="1:6" x14ac:dyDescent="0.25">
      <c r="A7205" t="s">
        <v>6446</v>
      </c>
      <c r="B7205" t="s">
        <v>3797</v>
      </c>
      <c r="C7205" t="s">
        <v>3798</v>
      </c>
      <c r="D7205" t="str">
        <f>HYPERLINK("http://service.sap.com/sap/support/notes/1798937","1798937")</f>
        <v>1798937</v>
      </c>
      <c r="E7205">
        <v>2</v>
      </c>
      <c r="F7205" t="s">
        <v>8635</v>
      </c>
    </row>
    <row r="7206" spans="1:6" x14ac:dyDescent="0.25">
      <c r="A7206" t="s">
        <v>6446</v>
      </c>
      <c r="B7206" t="s">
        <v>3797</v>
      </c>
      <c r="C7206" t="s">
        <v>3798</v>
      </c>
      <c r="D7206" t="str">
        <f>HYPERLINK("http://service.sap.com/sap/support/notes/1799270","1799270")</f>
        <v>1799270</v>
      </c>
    </row>
    <row r="7207" spans="1:6" x14ac:dyDescent="0.25">
      <c r="A7207" t="s">
        <v>6446</v>
      </c>
      <c r="B7207" t="s">
        <v>3797</v>
      </c>
      <c r="C7207" t="s">
        <v>3798</v>
      </c>
      <c r="D7207" t="str">
        <f>HYPERLINK("http://service.sap.com/sap/support/notes/1816812","1816812")</f>
        <v>1816812</v>
      </c>
      <c r="E7207">
        <v>1</v>
      </c>
      <c r="F7207" t="s">
        <v>8636</v>
      </c>
    </row>
    <row r="7208" spans="1:6" x14ac:dyDescent="0.25">
      <c r="A7208" t="s">
        <v>6446</v>
      </c>
      <c r="B7208" t="s">
        <v>3797</v>
      </c>
      <c r="C7208" t="s">
        <v>3798</v>
      </c>
      <c r="D7208" t="str">
        <f>HYPERLINK("http://service.sap.com/sap/support/notes/1821267","1821267")</f>
        <v>1821267</v>
      </c>
      <c r="E7208">
        <v>1</v>
      </c>
      <c r="F7208" t="s">
        <v>8637</v>
      </c>
    </row>
    <row r="7209" spans="1:6" x14ac:dyDescent="0.25">
      <c r="A7209" t="s">
        <v>6446</v>
      </c>
      <c r="B7209" t="s">
        <v>3797</v>
      </c>
      <c r="C7209" t="s">
        <v>3798</v>
      </c>
      <c r="D7209" t="str">
        <f>HYPERLINK("http://service.sap.com/sap/support/notes/1822454","1822454")</f>
        <v>1822454</v>
      </c>
      <c r="E7209">
        <v>1</v>
      </c>
      <c r="F7209" t="s">
        <v>8638</v>
      </c>
    </row>
    <row r="7210" spans="1:6" x14ac:dyDescent="0.25">
      <c r="A7210" t="s">
        <v>6446</v>
      </c>
      <c r="B7210" t="s">
        <v>3797</v>
      </c>
      <c r="C7210" t="s">
        <v>3798</v>
      </c>
      <c r="D7210" t="str">
        <f>HYPERLINK("http://service.sap.com/sap/support/notes/1822948","1822948")</f>
        <v>1822948</v>
      </c>
    </row>
    <row r="7211" spans="1:6" x14ac:dyDescent="0.25">
      <c r="A7211" t="s">
        <v>6446</v>
      </c>
      <c r="B7211" t="s">
        <v>3797</v>
      </c>
      <c r="C7211" t="s">
        <v>3798</v>
      </c>
      <c r="D7211" t="str">
        <f>HYPERLINK("http://service.sap.com/sap/support/notes/1826868","1826868")</f>
        <v>1826868</v>
      </c>
      <c r="E7211">
        <v>1</v>
      </c>
      <c r="F7211" t="s">
        <v>8639</v>
      </c>
    </row>
    <row r="7212" spans="1:6" x14ac:dyDescent="0.25">
      <c r="A7212" t="s">
        <v>6446</v>
      </c>
      <c r="B7212" t="s">
        <v>3817</v>
      </c>
      <c r="C7212" t="s">
        <v>2477</v>
      </c>
      <c r="D7212" t="str">
        <f>HYPERLINK("http://service.sap.com/sap/support/notes/1734484","1734484")</f>
        <v>1734484</v>
      </c>
      <c r="E7212">
        <v>16</v>
      </c>
      <c r="F7212" t="s">
        <v>8640</v>
      </c>
    </row>
    <row r="7213" spans="1:6" x14ac:dyDescent="0.25">
      <c r="A7213" t="s">
        <v>6446</v>
      </c>
      <c r="B7213" t="s">
        <v>3817</v>
      </c>
      <c r="C7213" t="s">
        <v>2477</v>
      </c>
      <c r="D7213" t="str">
        <f>HYPERLINK("http://service.sap.com/sap/support/notes/1736666","1736666")</f>
        <v>1736666</v>
      </c>
      <c r="E7213">
        <v>7</v>
      </c>
      <c r="F7213" t="s">
        <v>8641</v>
      </c>
    </row>
    <row r="7214" spans="1:6" x14ac:dyDescent="0.25">
      <c r="A7214" t="s">
        <v>6446</v>
      </c>
      <c r="B7214" t="s">
        <v>3817</v>
      </c>
      <c r="C7214" t="s">
        <v>2477</v>
      </c>
      <c r="D7214" t="str">
        <f>HYPERLINK("http://service.sap.com/sap/support/notes/1779874","1779874")</f>
        <v>1779874</v>
      </c>
      <c r="E7214">
        <v>3</v>
      </c>
      <c r="F7214" t="s">
        <v>8642</v>
      </c>
    </row>
    <row r="7215" spans="1:6" x14ac:dyDescent="0.25">
      <c r="A7215" t="s">
        <v>6446</v>
      </c>
      <c r="B7215" t="s">
        <v>3817</v>
      </c>
      <c r="C7215" t="s">
        <v>2477</v>
      </c>
      <c r="D7215" t="str">
        <f>HYPERLINK("http://service.sap.com/sap/support/notes/1785297","1785297")</f>
        <v>1785297</v>
      </c>
      <c r="E7215">
        <v>1</v>
      </c>
      <c r="F7215" t="s">
        <v>8643</v>
      </c>
    </row>
    <row r="7216" spans="1:6" x14ac:dyDescent="0.25">
      <c r="A7216" t="s">
        <v>6446</v>
      </c>
      <c r="B7216" t="s">
        <v>3817</v>
      </c>
      <c r="C7216" t="s">
        <v>2477</v>
      </c>
      <c r="D7216" t="str">
        <f>HYPERLINK("http://service.sap.com/sap/support/notes/1791442","1791442")</f>
        <v>1791442</v>
      </c>
      <c r="E7216">
        <v>1</v>
      </c>
      <c r="F7216" t="s">
        <v>8644</v>
      </c>
    </row>
    <row r="7217" spans="1:6" x14ac:dyDescent="0.25">
      <c r="A7217" t="s">
        <v>6446</v>
      </c>
      <c r="B7217" t="s">
        <v>3817</v>
      </c>
      <c r="C7217" t="s">
        <v>2477</v>
      </c>
      <c r="D7217" t="str">
        <f>HYPERLINK("http://service.sap.com/sap/support/notes/1799324","1799324")</f>
        <v>1799324</v>
      </c>
      <c r="E7217">
        <v>2</v>
      </c>
      <c r="F7217" t="s">
        <v>8645</v>
      </c>
    </row>
    <row r="7218" spans="1:6" x14ac:dyDescent="0.25">
      <c r="A7218" t="s">
        <v>6446</v>
      </c>
      <c r="B7218" t="s">
        <v>3817</v>
      </c>
      <c r="C7218" t="s">
        <v>2477</v>
      </c>
      <c r="D7218" t="str">
        <f>HYPERLINK("http://service.sap.com/sap/support/notes/1801858","1801858")</f>
        <v>1801858</v>
      </c>
      <c r="E7218">
        <v>2</v>
      </c>
      <c r="F7218" t="s">
        <v>6142</v>
      </c>
    </row>
    <row r="7219" spans="1:6" x14ac:dyDescent="0.25">
      <c r="A7219" t="s">
        <v>6446</v>
      </c>
      <c r="B7219" t="s">
        <v>3817</v>
      </c>
      <c r="C7219" t="s">
        <v>2477</v>
      </c>
      <c r="D7219" t="str">
        <f>HYPERLINK("http://service.sap.com/sap/support/notes/1802537","1802537")</f>
        <v>1802537</v>
      </c>
      <c r="E7219">
        <v>1</v>
      </c>
      <c r="F7219" t="s">
        <v>8646</v>
      </c>
    </row>
    <row r="7220" spans="1:6" x14ac:dyDescent="0.25">
      <c r="A7220" t="s">
        <v>6446</v>
      </c>
      <c r="B7220" t="s">
        <v>3817</v>
      </c>
      <c r="C7220" t="s">
        <v>2477</v>
      </c>
      <c r="D7220" t="str">
        <f>HYPERLINK("http://service.sap.com/sap/support/notes/1805066","1805066")</f>
        <v>1805066</v>
      </c>
      <c r="E7220">
        <v>1</v>
      </c>
      <c r="F7220" t="s">
        <v>8647</v>
      </c>
    </row>
    <row r="7221" spans="1:6" x14ac:dyDescent="0.25">
      <c r="A7221" t="s">
        <v>6446</v>
      </c>
      <c r="B7221" t="s">
        <v>3817</v>
      </c>
      <c r="C7221" t="s">
        <v>2477</v>
      </c>
      <c r="D7221" t="str">
        <f>HYPERLINK("http://service.sap.com/sap/support/notes/1805069","1805069")</f>
        <v>1805069</v>
      </c>
      <c r="E7221">
        <v>1</v>
      </c>
      <c r="F7221" t="s">
        <v>8648</v>
      </c>
    </row>
    <row r="7222" spans="1:6" x14ac:dyDescent="0.25">
      <c r="A7222" t="s">
        <v>6446</v>
      </c>
      <c r="B7222" t="s">
        <v>3817</v>
      </c>
      <c r="C7222" t="s">
        <v>2477</v>
      </c>
      <c r="D7222" t="str">
        <f>HYPERLINK("http://service.sap.com/sap/support/notes/1805071","1805071")</f>
        <v>1805071</v>
      </c>
      <c r="E7222">
        <v>1</v>
      </c>
      <c r="F7222" t="s">
        <v>8649</v>
      </c>
    </row>
    <row r="7223" spans="1:6" x14ac:dyDescent="0.25">
      <c r="A7223" t="s">
        <v>6446</v>
      </c>
      <c r="B7223" t="s">
        <v>3817</v>
      </c>
      <c r="C7223" t="s">
        <v>2477</v>
      </c>
      <c r="D7223" t="str">
        <f>HYPERLINK("http://service.sap.com/sap/support/notes/1805124","1805124")</f>
        <v>1805124</v>
      </c>
      <c r="E7223">
        <v>1</v>
      </c>
      <c r="F7223" t="s">
        <v>6142</v>
      </c>
    </row>
    <row r="7224" spans="1:6" x14ac:dyDescent="0.25">
      <c r="A7224" t="s">
        <v>6446</v>
      </c>
      <c r="B7224" t="s">
        <v>3817</v>
      </c>
      <c r="C7224" t="s">
        <v>2477</v>
      </c>
      <c r="D7224" t="str">
        <f>HYPERLINK("http://service.sap.com/sap/support/notes/1808286","1808286")</f>
        <v>1808286</v>
      </c>
      <c r="E7224">
        <v>2</v>
      </c>
      <c r="F7224" t="s">
        <v>8650</v>
      </c>
    </row>
    <row r="7225" spans="1:6" x14ac:dyDescent="0.25">
      <c r="A7225" t="s">
        <v>6446</v>
      </c>
      <c r="B7225" t="s">
        <v>3817</v>
      </c>
      <c r="C7225" t="s">
        <v>2477</v>
      </c>
      <c r="D7225" t="str">
        <f>HYPERLINK("http://service.sap.com/sap/support/notes/1809233","1809233")</f>
        <v>1809233</v>
      </c>
      <c r="E7225">
        <v>2</v>
      </c>
      <c r="F7225" t="s">
        <v>8651</v>
      </c>
    </row>
    <row r="7226" spans="1:6" x14ac:dyDescent="0.25">
      <c r="A7226" t="s">
        <v>6446</v>
      </c>
      <c r="B7226" t="s">
        <v>3817</v>
      </c>
      <c r="C7226" t="s">
        <v>2477</v>
      </c>
      <c r="D7226" t="str">
        <f>HYPERLINK("http://service.sap.com/sap/support/notes/1810208","1810208")</f>
        <v>1810208</v>
      </c>
      <c r="E7226">
        <v>2</v>
      </c>
      <c r="F7226" t="s">
        <v>8652</v>
      </c>
    </row>
    <row r="7227" spans="1:6" x14ac:dyDescent="0.25">
      <c r="A7227" t="s">
        <v>6446</v>
      </c>
      <c r="B7227" t="s">
        <v>3817</v>
      </c>
      <c r="C7227" t="s">
        <v>2477</v>
      </c>
      <c r="D7227" t="str">
        <f>HYPERLINK("http://service.sap.com/sap/support/notes/1810774","1810774")</f>
        <v>1810774</v>
      </c>
      <c r="E7227">
        <v>4</v>
      </c>
      <c r="F7227" t="s">
        <v>8653</v>
      </c>
    </row>
    <row r="7228" spans="1:6" x14ac:dyDescent="0.25">
      <c r="A7228" t="s">
        <v>6446</v>
      </c>
      <c r="B7228" t="s">
        <v>3817</v>
      </c>
      <c r="C7228" t="s">
        <v>2477</v>
      </c>
      <c r="D7228" t="str">
        <f>HYPERLINK("http://service.sap.com/sap/support/notes/1810805","1810805")</f>
        <v>1810805</v>
      </c>
      <c r="E7228">
        <v>4</v>
      </c>
      <c r="F7228" t="s">
        <v>8654</v>
      </c>
    </row>
    <row r="7229" spans="1:6" x14ac:dyDescent="0.25">
      <c r="A7229" t="s">
        <v>6446</v>
      </c>
      <c r="B7229" t="s">
        <v>3817</v>
      </c>
      <c r="C7229" t="s">
        <v>2477</v>
      </c>
      <c r="D7229" t="str">
        <f>HYPERLINK("http://service.sap.com/sap/support/notes/1812770","1812770")</f>
        <v>1812770</v>
      </c>
      <c r="E7229">
        <v>2</v>
      </c>
      <c r="F7229" t="s">
        <v>8655</v>
      </c>
    </row>
    <row r="7230" spans="1:6" x14ac:dyDescent="0.25">
      <c r="A7230" t="s">
        <v>6446</v>
      </c>
      <c r="B7230" t="s">
        <v>3817</v>
      </c>
      <c r="C7230" t="s">
        <v>2477</v>
      </c>
      <c r="D7230" t="str">
        <f>HYPERLINK("http://service.sap.com/sap/support/notes/1813555","1813555")</f>
        <v>1813555</v>
      </c>
      <c r="E7230">
        <v>1</v>
      </c>
      <c r="F7230" t="s">
        <v>8656</v>
      </c>
    </row>
    <row r="7231" spans="1:6" x14ac:dyDescent="0.25">
      <c r="A7231" t="s">
        <v>6446</v>
      </c>
      <c r="B7231" t="s">
        <v>3817</v>
      </c>
      <c r="C7231" t="s">
        <v>2477</v>
      </c>
      <c r="D7231" t="str">
        <f>HYPERLINK("http://service.sap.com/sap/support/notes/1813556","1813556")</f>
        <v>1813556</v>
      </c>
      <c r="E7231">
        <v>2</v>
      </c>
      <c r="F7231" t="s">
        <v>8657</v>
      </c>
    </row>
    <row r="7232" spans="1:6" x14ac:dyDescent="0.25">
      <c r="A7232" t="s">
        <v>6446</v>
      </c>
      <c r="B7232" t="s">
        <v>3817</v>
      </c>
      <c r="C7232" t="s">
        <v>2477</v>
      </c>
      <c r="D7232" t="str">
        <f>HYPERLINK("http://service.sap.com/sap/support/notes/1813558","1813558")</f>
        <v>1813558</v>
      </c>
      <c r="E7232">
        <v>1</v>
      </c>
      <c r="F7232" t="s">
        <v>8658</v>
      </c>
    </row>
    <row r="7233" spans="1:6" x14ac:dyDescent="0.25">
      <c r="A7233" t="s">
        <v>6446</v>
      </c>
      <c r="B7233" t="s">
        <v>3817</v>
      </c>
      <c r="C7233" t="s">
        <v>2477</v>
      </c>
      <c r="D7233" t="str">
        <f>HYPERLINK("http://service.sap.com/sap/support/notes/1822477","1822477")</f>
        <v>1822477</v>
      </c>
      <c r="E7233">
        <v>2</v>
      </c>
      <c r="F7233" t="s">
        <v>8659</v>
      </c>
    </row>
    <row r="7234" spans="1:6" x14ac:dyDescent="0.25">
      <c r="A7234" t="s">
        <v>6446</v>
      </c>
      <c r="B7234" t="s">
        <v>3841</v>
      </c>
      <c r="C7234" t="s">
        <v>3842</v>
      </c>
      <c r="D7234" t="str">
        <f>HYPERLINK("http://service.sap.com/sap/support/notes/1796916","1796916")</f>
        <v>1796916</v>
      </c>
      <c r="E7234">
        <v>1</v>
      </c>
      <c r="F7234" t="s">
        <v>8660</v>
      </c>
    </row>
    <row r="7235" spans="1:6" x14ac:dyDescent="0.25">
      <c r="A7235" t="s">
        <v>6446</v>
      </c>
      <c r="B7235" t="s">
        <v>3841</v>
      </c>
      <c r="C7235" t="s">
        <v>3842</v>
      </c>
      <c r="D7235" t="str">
        <f>HYPERLINK("http://service.sap.com/sap/support/notes/1800075","1800075")</f>
        <v>1800075</v>
      </c>
      <c r="E7235">
        <v>5</v>
      </c>
      <c r="F7235" t="s">
        <v>8661</v>
      </c>
    </row>
    <row r="7236" spans="1:6" x14ac:dyDescent="0.25">
      <c r="A7236" t="s">
        <v>6446</v>
      </c>
      <c r="B7236" t="s">
        <v>3841</v>
      </c>
      <c r="C7236" t="s">
        <v>3842</v>
      </c>
      <c r="D7236" t="str">
        <f>HYPERLINK("http://service.sap.com/sap/support/notes/1804299","1804299")</f>
        <v>1804299</v>
      </c>
      <c r="E7236">
        <v>2</v>
      </c>
      <c r="F7236" t="s">
        <v>8662</v>
      </c>
    </row>
    <row r="7237" spans="1:6" x14ac:dyDescent="0.25">
      <c r="A7237" t="s">
        <v>6446</v>
      </c>
      <c r="B7237" t="s">
        <v>3841</v>
      </c>
      <c r="C7237" t="s">
        <v>3842</v>
      </c>
      <c r="D7237" t="str">
        <f>HYPERLINK("http://service.sap.com/sap/support/notes/1804712","1804712")</f>
        <v>1804712</v>
      </c>
      <c r="E7237">
        <v>3</v>
      </c>
      <c r="F7237" t="s">
        <v>8663</v>
      </c>
    </row>
    <row r="7238" spans="1:6" x14ac:dyDescent="0.25">
      <c r="A7238" t="s">
        <v>6446</v>
      </c>
      <c r="B7238" t="s">
        <v>8664</v>
      </c>
      <c r="C7238" t="s">
        <v>3549</v>
      </c>
      <c r="D7238" t="str">
        <f>HYPERLINK("http://service.sap.com/sap/support/notes/1750335","1750335")</f>
        <v>1750335</v>
      </c>
      <c r="E7238">
        <v>2</v>
      </c>
      <c r="F7238" t="s">
        <v>8665</v>
      </c>
    </row>
    <row r="7239" spans="1:6" x14ac:dyDescent="0.25">
      <c r="A7239" t="s">
        <v>6446</v>
      </c>
      <c r="B7239" t="s">
        <v>3845</v>
      </c>
      <c r="C7239" t="s">
        <v>1762</v>
      </c>
      <c r="D7239" t="str">
        <f>HYPERLINK("http://service.sap.com/sap/support/notes/1792935","1792935")</f>
        <v>1792935</v>
      </c>
      <c r="E7239">
        <v>2</v>
      </c>
      <c r="F7239" t="s">
        <v>8666</v>
      </c>
    </row>
    <row r="7240" spans="1:6" x14ac:dyDescent="0.25">
      <c r="A7240" t="s">
        <v>6446</v>
      </c>
      <c r="B7240" t="s">
        <v>3845</v>
      </c>
      <c r="C7240" t="s">
        <v>1762</v>
      </c>
      <c r="D7240" t="str">
        <f>HYPERLINK("http://service.sap.com/sap/support/notes/1799663","1799663")</f>
        <v>1799663</v>
      </c>
      <c r="E7240">
        <v>1</v>
      </c>
      <c r="F7240" t="s">
        <v>8667</v>
      </c>
    </row>
    <row r="7241" spans="1:6" x14ac:dyDescent="0.25">
      <c r="A7241" t="s">
        <v>6446</v>
      </c>
      <c r="B7241" t="s">
        <v>3845</v>
      </c>
      <c r="C7241" t="s">
        <v>1762</v>
      </c>
      <c r="D7241" t="str">
        <f>HYPERLINK("http://service.sap.com/sap/support/notes/1801773","1801773")</f>
        <v>1801773</v>
      </c>
      <c r="E7241">
        <v>1</v>
      </c>
      <c r="F7241" t="s">
        <v>8668</v>
      </c>
    </row>
    <row r="7242" spans="1:6" x14ac:dyDescent="0.25">
      <c r="A7242" t="s">
        <v>6446</v>
      </c>
      <c r="B7242" t="s">
        <v>3845</v>
      </c>
      <c r="C7242" t="s">
        <v>1762</v>
      </c>
      <c r="D7242" t="str">
        <f>HYPERLINK("http://service.sap.com/sap/support/notes/1806068","1806068")</f>
        <v>1806068</v>
      </c>
      <c r="E7242">
        <v>3</v>
      </c>
      <c r="F7242" t="s">
        <v>8669</v>
      </c>
    </row>
    <row r="7243" spans="1:6" x14ac:dyDescent="0.25">
      <c r="A7243" t="s">
        <v>6446</v>
      </c>
      <c r="B7243" t="s">
        <v>3845</v>
      </c>
      <c r="C7243" t="s">
        <v>1762</v>
      </c>
      <c r="D7243" t="str">
        <f>HYPERLINK("http://service.sap.com/sap/support/notes/1806503","1806503")</f>
        <v>1806503</v>
      </c>
      <c r="E7243">
        <v>3</v>
      </c>
      <c r="F7243" t="s">
        <v>8670</v>
      </c>
    </row>
    <row r="7244" spans="1:6" x14ac:dyDescent="0.25">
      <c r="A7244" t="s">
        <v>6446</v>
      </c>
      <c r="B7244" t="s">
        <v>3845</v>
      </c>
      <c r="C7244" t="s">
        <v>1762</v>
      </c>
      <c r="D7244" t="str">
        <f>HYPERLINK("http://service.sap.com/sap/support/notes/1808415","1808415")</f>
        <v>1808415</v>
      </c>
      <c r="E7244">
        <v>1</v>
      </c>
      <c r="F7244" t="s">
        <v>8671</v>
      </c>
    </row>
    <row r="7245" spans="1:6" x14ac:dyDescent="0.25">
      <c r="A7245" t="s">
        <v>6446</v>
      </c>
      <c r="B7245" t="s">
        <v>3845</v>
      </c>
      <c r="C7245" t="s">
        <v>1762</v>
      </c>
      <c r="D7245" t="str">
        <f>HYPERLINK("http://service.sap.com/sap/support/notes/1812415","1812415")</f>
        <v>1812415</v>
      </c>
      <c r="E7245">
        <v>1</v>
      </c>
      <c r="F7245" t="s">
        <v>8672</v>
      </c>
    </row>
    <row r="7246" spans="1:6" x14ac:dyDescent="0.25">
      <c r="A7246" t="s">
        <v>6446</v>
      </c>
      <c r="B7246" t="s">
        <v>3845</v>
      </c>
      <c r="C7246" t="s">
        <v>1762</v>
      </c>
      <c r="D7246" t="str">
        <f>HYPERLINK("http://service.sap.com/sap/support/notes/1814052","1814052")</f>
        <v>1814052</v>
      </c>
      <c r="E7246">
        <v>2</v>
      </c>
      <c r="F7246" t="s">
        <v>8673</v>
      </c>
    </row>
    <row r="7247" spans="1:6" x14ac:dyDescent="0.25">
      <c r="A7247" t="s">
        <v>6446</v>
      </c>
      <c r="B7247" t="s">
        <v>3845</v>
      </c>
      <c r="C7247" t="s">
        <v>1762</v>
      </c>
      <c r="D7247" t="str">
        <f>HYPERLINK("http://service.sap.com/sap/support/notes/1814483","1814483")</f>
        <v>1814483</v>
      </c>
      <c r="E7247">
        <v>3</v>
      </c>
      <c r="F7247" t="s">
        <v>8674</v>
      </c>
    </row>
    <row r="7248" spans="1:6" x14ac:dyDescent="0.25">
      <c r="A7248" t="s">
        <v>6446</v>
      </c>
      <c r="B7248" t="s">
        <v>3845</v>
      </c>
      <c r="C7248" t="s">
        <v>1762</v>
      </c>
      <c r="D7248" t="str">
        <f>HYPERLINK("http://service.sap.com/sap/support/notes/1815642","1815642")</f>
        <v>1815642</v>
      </c>
      <c r="E7248">
        <v>2</v>
      </c>
      <c r="F7248" t="s">
        <v>8675</v>
      </c>
    </row>
    <row r="7249" spans="1:6" x14ac:dyDescent="0.25">
      <c r="A7249" t="s">
        <v>6446</v>
      </c>
      <c r="B7249" t="s">
        <v>3857</v>
      </c>
      <c r="C7249" t="s">
        <v>3858</v>
      </c>
      <c r="D7249" t="str">
        <f>HYPERLINK("http://service.sap.com/sap/support/notes/1783017","1783017")</f>
        <v>1783017</v>
      </c>
      <c r="E7249">
        <v>5</v>
      </c>
      <c r="F7249" t="s">
        <v>8676</v>
      </c>
    </row>
    <row r="7250" spans="1:6" x14ac:dyDescent="0.25">
      <c r="A7250" t="s">
        <v>6446</v>
      </c>
      <c r="B7250" t="s">
        <v>3857</v>
      </c>
      <c r="C7250" t="s">
        <v>3858</v>
      </c>
      <c r="D7250" t="str">
        <f>HYPERLINK("http://service.sap.com/sap/support/notes/1814526","1814526")</f>
        <v>1814526</v>
      </c>
      <c r="E7250">
        <v>2</v>
      </c>
      <c r="F7250" t="s">
        <v>8677</v>
      </c>
    </row>
    <row r="7251" spans="1:6" x14ac:dyDescent="0.25">
      <c r="A7251" t="s">
        <v>6446</v>
      </c>
      <c r="B7251" t="s">
        <v>3859</v>
      </c>
      <c r="C7251" t="s">
        <v>3860</v>
      </c>
      <c r="D7251" t="str">
        <f>HYPERLINK("http://service.sap.com/sap/support/notes/1818971","1818971")</f>
        <v>1818971</v>
      </c>
      <c r="E7251">
        <v>1</v>
      </c>
      <c r="F7251" t="s">
        <v>8678</v>
      </c>
    </row>
    <row r="7252" spans="1:6" x14ac:dyDescent="0.25">
      <c r="A7252" t="s">
        <v>6446</v>
      </c>
      <c r="B7252" t="s">
        <v>3859</v>
      </c>
      <c r="C7252" t="s">
        <v>3860</v>
      </c>
      <c r="D7252" t="str">
        <f>HYPERLINK("http://service.sap.com/sap/support/notes/1819463","1819463")</f>
        <v>1819463</v>
      </c>
      <c r="E7252">
        <v>1</v>
      </c>
      <c r="F7252" t="s">
        <v>8679</v>
      </c>
    </row>
    <row r="7253" spans="1:6" x14ac:dyDescent="0.25">
      <c r="A7253" t="s">
        <v>6446</v>
      </c>
      <c r="B7253" t="s">
        <v>3859</v>
      </c>
      <c r="C7253" t="s">
        <v>3860</v>
      </c>
      <c r="D7253" t="str">
        <f>HYPERLINK("http://service.sap.com/sap/support/notes/1824957","1824957")</f>
        <v>1824957</v>
      </c>
      <c r="E7253">
        <v>2</v>
      </c>
      <c r="F7253" t="s">
        <v>8680</v>
      </c>
    </row>
    <row r="7254" spans="1:6" x14ac:dyDescent="0.25">
      <c r="A7254" t="s">
        <v>6446</v>
      </c>
      <c r="B7254" t="s">
        <v>3867</v>
      </c>
      <c r="C7254" t="s">
        <v>198</v>
      </c>
      <c r="D7254" t="str">
        <f>HYPERLINK("http://service.sap.com/sap/support/notes/1787751","1787751")</f>
        <v>1787751</v>
      </c>
      <c r="E7254">
        <v>1</v>
      </c>
      <c r="F7254" t="s">
        <v>8681</v>
      </c>
    </row>
    <row r="7255" spans="1:6" x14ac:dyDescent="0.25">
      <c r="A7255" t="s">
        <v>6446</v>
      </c>
      <c r="B7255" t="s">
        <v>3867</v>
      </c>
      <c r="C7255" t="s">
        <v>198</v>
      </c>
      <c r="D7255" t="str">
        <f>HYPERLINK("http://service.sap.com/sap/support/notes/1794780","1794780")</f>
        <v>1794780</v>
      </c>
      <c r="E7255">
        <v>1</v>
      </c>
      <c r="F7255" t="s">
        <v>6240</v>
      </c>
    </row>
    <row r="7256" spans="1:6" x14ac:dyDescent="0.25">
      <c r="A7256" t="s">
        <v>6446</v>
      </c>
      <c r="B7256" t="s">
        <v>3867</v>
      </c>
      <c r="C7256" t="s">
        <v>198</v>
      </c>
      <c r="D7256" t="str">
        <f>HYPERLINK("http://service.sap.com/sap/support/notes/1806571","1806571")</f>
        <v>1806571</v>
      </c>
      <c r="E7256">
        <v>2</v>
      </c>
      <c r="F7256" t="s">
        <v>8682</v>
      </c>
    </row>
    <row r="7257" spans="1:6" x14ac:dyDescent="0.25">
      <c r="A7257" t="s">
        <v>6446</v>
      </c>
      <c r="B7257" t="s">
        <v>3867</v>
      </c>
      <c r="C7257" t="s">
        <v>198</v>
      </c>
      <c r="D7257" t="str">
        <f>HYPERLINK("http://service.sap.com/sap/support/notes/1809803","1809803")</f>
        <v>1809803</v>
      </c>
      <c r="E7257">
        <v>3</v>
      </c>
      <c r="F7257" t="s">
        <v>8683</v>
      </c>
    </row>
    <row r="7258" spans="1:6" x14ac:dyDescent="0.25">
      <c r="A7258" t="s">
        <v>6446</v>
      </c>
      <c r="B7258" t="s">
        <v>3867</v>
      </c>
      <c r="C7258" t="s">
        <v>198</v>
      </c>
      <c r="D7258" t="str">
        <f>HYPERLINK("http://service.sap.com/sap/support/notes/1810336","1810336")</f>
        <v>1810336</v>
      </c>
      <c r="E7258">
        <v>2</v>
      </c>
      <c r="F7258" t="s">
        <v>8684</v>
      </c>
    </row>
    <row r="7259" spans="1:6" x14ac:dyDescent="0.25">
      <c r="A7259" t="s">
        <v>6446</v>
      </c>
      <c r="B7259" t="s">
        <v>3867</v>
      </c>
      <c r="C7259" t="s">
        <v>198</v>
      </c>
      <c r="D7259" t="str">
        <f>HYPERLINK("http://service.sap.com/sap/support/notes/1810365","1810365")</f>
        <v>1810365</v>
      </c>
      <c r="E7259">
        <v>1</v>
      </c>
      <c r="F7259" t="s">
        <v>8685</v>
      </c>
    </row>
    <row r="7260" spans="1:6" x14ac:dyDescent="0.25">
      <c r="A7260" t="s">
        <v>6446</v>
      </c>
      <c r="B7260" t="s">
        <v>3867</v>
      </c>
      <c r="C7260" t="s">
        <v>198</v>
      </c>
      <c r="D7260" t="str">
        <f>HYPERLINK("http://service.sap.com/sap/support/notes/1814162","1814162")</f>
        <v>1814162</v>
      </c>
      <c r="E7260">
        <v>3</v>
      </c>
      <c r="F7260" t="s">
        <v>8686</v>
      </c>
    </row>
    <row r="7261" spans="1:6" x14ac:dyDescent="0.25">
      <c r="A7261" t="s">
        <v>6446</v>
      </c>
      <c r="B7261" t="s">
        <v>3867</v>
      </c>
      <c r="C7261" t="s">
        <v>198</v>
      </c>
      <c r="D7261" t="str">
        <f>HYPERLINK("http://service.sap.com/sap/support/notes/1824917","1824917")</f>
        <v>1824917</v>
      </c>
      <c r="E7261">
        <v>1</v>
      </c>
      <c r="F7261" t="s">
        <v>8687</v>
      </c>
    </row>
    <row r="7262" spans="1:6" x14ac:dyDescent="0.25">
      <c r="A7262" t="s">
        <v>6446</v>
      </c>
      <c r="B7262" t="s">
        <v>3867</v>
      </c>
      <c r="C7262" t="s">
        <v>198</v>
      </c>
      <c r="D7262" t="str">
        <f>HYPERLINK("http://service.sap.com/sap/support/notes/1824994","1824994")</f>
        <v>1824994</v>
      </c>
      <c r="E7262">
        <v>2</v>
      </c>
      <c r="F7262" t="s">
        <v>8688</v>
      </c>
    </row>
    <row r="7263" spans="1:6" x14ac:dyDescent="0.25">
      <c r="A7263" t="s">
        <v>6446</v>
      </c>
      <c r="B7263" t="s">
        <v>3867</v>
      </c>
      <c r="C7263" t="s">
        <v>198</v>
      </c>
      <c r="D7263" t="str">
        <f>HYPERLINK("http://service.sap.com/sap/support/notes/1825734","1825734")</f>
        <v>1825734</v>
      </c>
      <c r="E7263">
        <v>1</v>
      </c>
      <c r="F7263" t="s">
        <v>8689</v>
      </c>
    </row>
    <row r="7264" spans="1:6" x14ac:dyDescent="0.25">
      <c r="A7264" t="s">
        <v>6446</v>
      </c>
      <c r="B7264" t="s">
        <v>3867</v>
      </c>
      <c r="C7264" t="s">
        <v>198</v>
      </c>
      <c r="D7264" t="str">
        <f>HYPERLINK("http://service.sap.com/sap/support/notes/1827977","1827977")</f>
        <v>1827977</v>
      </c>
      <c r="E7264">
        <v>2</v>
      </c>
      <c r="F7264" t="s">
        <v>8690</v>
      </c>
    </row>
    <row r="7265" spans="1:6" x14ac:dyDescent="0.25">
      <c r="A7265" t="s">
        <v>6446</v>
      </c>
      <c r="B7265" t="s">
        <v>3867</v>
      </c>
      <c r="C7265" t="s">
        <v>198</v>
      </c>
      <c r="D7265" t="str">
        <f>HYPERLINK("http://service.sap.com/sap/support/notes/1829957","1829957")</f>
        <v>1829957</v>
      </c>
      <c r="E7265">
        <v>1</v>
      </c>
      <c r="F7265" t="s">
        <v>8691</v>
      </c>
    </row>
    <row r="7266" spans="1:6" x14ac:dyDescent="0.25">
      <c r="A7266" t="s">
        <v>6446</v>
      </c>
      <c r="B7266" t="s">
        <v>3867</v>
      </c>
      <c r="C7266" t="s">
        <v>198</v>
      </c>
      <c r="D7266" t="str">
        <f>HYPERLINK("http://service.sap.com/sap/support/notes/1831800","1831800")</f>
        <v>1831800</v>
      </c>
      <c r="E7266">
        <v>1</v>
      </c>
      <c r="F7266" t="s">
        <v>8692</v>
      </c>
    </row>
    <row r="7267" spans="1:6" x14ac:dyDescent="0.25">
      <c r="A7267" t="s">
        <v>6446</v>
      </c>
      <c r="B7267" t="s">
        <v>3882</v>
      </c>
      <c r="C7267" t="s">
        <v>3883</v>
      </c>
      <c r="D7267" t="str">
        <f>HYPERLINK("http://service.sap.com/sap/support/notes/1796108","1796108")</f>
        <v>1796108</v>
      </c>
      <c r="E7267">
        <v>2</v>
      </c>
      <c r="F7267" t="s">
        <v>8693</v>
      </c>
    </row>
    <row r="7268" spans="1:6" x14ac:dyDescent="0.25">
      <c r="A7268" t="s">
        <v>6446</v>
      </c>
      <c r="B7268" t="s">
        <v>3882</v>
      </c>
      <c r="C7268" t="s">
        <v>3883</v>
      </c>
      <c r="D7268" t="str">
        <f>HYPERLINK("http://service.sap.com/sap/support/notes/1799734","1799734")</f>
        <v>1799734</v>
      </c>
      <c r="E7268">
        <v>2</v>
      </c>
      <c r="F7268" t="s">
        <v>8694</v>
      </c>
    </row>
    <row r="7269" spans="1:6" x14ac:dyDescent="0.25">
      <c r="A7269" t="s">
        <v>6446</v>
      </c>
      <c r="B7269" t="s">
        <v>3882</v>
      </c>
      <c r="C7269" t="s">
        <v>3883</v>
      </c>
      <c r="D7269" t="str">
        <f>HYPERLINK("http://service.sap.com/sap/support/notes/1804484","1804484")</f>
        <v>1804484</v>
      </c>
      <c r="E7269">
        <v>2</v>
      </c>
      <c r="F7269" t="s">
        <v>8695</v>
      </c>
    </row>
    <row r="7270" spans="1:6" x14ac:dyDescent="0.25">
      <c r="A7270" t="s">
        <v>6446</v>
      </c>
      <c r="B7270" t="s">
        <v>3882</v>
      </c>
      <c r="C7270" t="s">
        <v>3883</v>
      </c>
      <c r="D7270" t="str">
        <f>HYPERLINK("http://service.sap.com/sap/support/notes/1804658","1804658")</f>
        <v>1804658</v>
      </c>
      <c r="E7270">
        <v>2</v>
      </c>
      <c r="F7270" t="s">
        <v>8696</v>
      </c>
    </row>
    <row r="7271" spans="1:6" x14ac:dyDescent="0.25">
      <c r="A7271" t="s">
        <v>6446</v>
      </c>
      <c r="B7271" t="s">
        <v>3882</v>
      </c>
      <c r="C7271" t="s">
        <v>3883</v>
      </c>
      <c r="D7271" t="str">
        <f>HYPERLINK("http://service.sap.com/sap/support/notes/1804929","1804929")</f>
        <v>1804929</v>
      </c>
      <c r="E7271">
        <v>1</v>
      </c>
      <c r="F7271" t="s">
        <v>8697</v>
      </c>
    </row>
    <row r="7272" spans="1:6" x14ac:dyDescent="0.25">
      <c r="A7272" t="s">
        <v>6446</v>
      </c>
      <c r="B7272" t="s">
        <v>3882</v>
      </c>
      <c r="C7272" t="s">
        <v>3883</v>
      </c>
      <c r="D7272" t="str">
        <f>HYPERLINK("http://service.sap.com/sap/support/notes/1808753","1808753")</f>
        <v>1808753</v>
      </c>
      <c r="E7272">
        <v>2</v>
      </c>
      <c r="F7272" t="s">
        <v>8698</v>
      </c>
    </row>
    <row r="7273" spans="1:6" x14ac:dyDescent="0.25">
      <c r="A7273" t="s">
        <v>6446</v>
      </c>
      <c r="B7273" t="s">
        <v>3882</v>
      </c>
      <c r="C7273" t="s">
        <v>3883</v>
      </c>
      <c r="D7273" t="str">
        <f>HYPERLINK("http://service.sap.com/sap/support/notes/1810859","1810859")</f>
        <v>1810859</v>
      </c>
      <c r="E7273">
        <v>2</v>
      </c>
      <c r="F7273" t="s">
        <v>8699</v>
      </c>
    </row>
    <row r="7274" spans="1:6" x14ac:dyDescent="0.25">
      <c r="A7274" t="s">
        <v>6446</v>
      </c>
      <c r="B7274" t="s">
        <v>3882</v>
      </c>
      <c r="C7274" t="s">
        <v>3883</v>
      </c>
      <c r="D7274" t="str">
        <f>HYPERLINK("http://service.sap.com/sap/support/notes/1811517","1811517")</f>
        <v>1811517</v>
      </c>
      <c r="E7274">
        <v>2</v>
      </c>
      <c r="F7274" t="s">
        <v>8700</v>
      </c>
    </row>
    <row r="7275" spans="1:6" x14ac:dyDescent="0.25">
      <c r="A7275" t="s">
        <v>6446</v>
      </c>
      <c r="B7275" t="s">
        <v>3882</v>
      </c>
      <c r="C7275" t="s">
        <v>3883</v>
      </c>
      <c r="D7275" t="str">
        <f>HYPERLINK("http://service.sap.com/sap/support/notes/1812941","1812941")</f>
        <v>1812941</v>
      </c>
      <c r="E7275">
        <v>2</v>
      </c>
      <c r="F7275" t="s">
        <v>8701</v>
      </c>
    </row>
    <row r="7276" spans="1:6" x14ac:dyDescent="0.25">
      <c r="A7276" t="s">
        <v>6446</v>
      </c>
      <c r="B7276" t="s">
        <v>3882</v>
      </c>
      <c r="C7276" t="s">
        <v>3883</v>
      </c>
      <c r="D7276" t="str">
        <f>HYPERLINK("http://service.sap.com/sap/support/notes/1819456","1819456")</f>
        <v>1819456</v>
      </c>
      <c r="E7276">
        <v>1</v>
      </c>
      <c r="F7276" t="s">
        <v>8702</v>
      </c>
    </row>
    <row r="7277" spans="1:6" x14ac:dyDescent="0.25">
      <c r="A7277" t="s">
        <v>6446</v>
      </c>
      <c r="B7277" t="s">
        <v>3882</v>
      </c>
      <c r="C7277" t="s">
        <v>3883</v>
      </c>
      <c r="D7277" t="str">
        <f>HYPERLINK("http://service.sap.com/sap/support/notes/1823426","1823426")</f>
        <v>1823426</v>
      </c>
      <c r="E7277">
        <v>1</v>
      </c>
      <c r="F7277" t="s">
        <v>8703</v>
      </c>
    </row>
    <row r="7278" spans="1:6" x14ac:dyDescent="0.25">
      <c r="A7278" t="s">
        <v>6446</v>
      </c>
      <c r="B7278" t="s">
        <v>3882</v>
      </c>
      <c r="C7278" t="s">
        <v>3883</v>
      </c>
      <c r="D7278" t="str">
        <f>HYPERLINK("http://service.sap.com/sap/support/notes/1824902","1824902")</f>
        <v>1824902</v>
      </c>
      <c r="E7278">
        <v>1</v>
      </c>
      <c r="F7278" t="s">
        <v>8704</v>
      </c>
    </row>
    <row r="7279" spans="1:6" x14ac:dyDescent="0.25">
      <c r="A7279" t="s">
        <v>6446</v>
      </c>
      <c r="B7279" t="s">
        <v>3882</v>
      </c>
      <c r="C7279" t="s">
        <v>3883</v>
      </c>
      <c r="D7279" t="str">
        <f>HYPERLINK("http://service.sap.com/sap/support/notes/1827316","1827316")</f>
        <v>1827316</v>
      </c>
      <c r="E7279">
        <v>2</v>
      </c>
      <c r="F7279" t="s">
        <v>8705</v>
      </c>
    </row>
    <row r="7280" spans="1:6" x14ac:dyDescent="0.25">
      <c r="A7280" t="s">
        <v>6446</v>
      </c>
      <c r="B7280" t="s">
        <v>3882</v>
      </c>
      <c r="C7280" t="s">
        <v>3883</v>
      </c>
      <c r="D7280" t="str">
        <f>HYPERLINK("http://service.sap.com/sap/support/notes/1829870","1829870")</f>
        <v>1829870</v>
      </c>
      <c r="E7280">
        <v>2</v>
      </c>
      <c r="F7280" t="s">
        <v>8706</v>
      </c>
    </row>
    <row r="7281" spans="1:6" x14ac:dyDescent="0.25">
      <c r="A7281" t="s">
        <v>6446</v>
      </c>
      <c r="B7281" t="s">
        <v>3882</v>
      </c>
      <c r="C7281" t="s">
        <v>3883</v>
      </c>
      <c r="D7281" t="str">
        <f>HYPERLINK("http://service.sap.com/sap/support/notes/1830653","1830653")</f>
        <v>1830653</v>
      </c>
      <c r="E7281">
        <v>1</v>
      </c>
      <c r="F7281" t="s">
        <v>8707</v>
      </c>
    </row>
    <row r="7282" spans="1:6" x14ac:dyDescent="0.25">
      <c r="A7282" t="s">
        <v>6446</v>
      </c>
      <c r="B7282" t="s">
        <v>8708</v>
      </c>
      <c r="C7282" t="s">
        <v>8709</v>
      </c>
      <c r="D7282" t="str">
        <f>HYPERLINK("http://service.sap.com/sap/support/notes/1801451","1801451")</f>
        <v>1801451</v>
      </c>
      <c r="E7282">
        <v>5</v>
      </c>
      <c r="F7282" t="s">
        <v>8710</v>
      </c>
    </row>
    <row r="7283" spans="1:6" x14ac:dyDescent="0.25">
      <c r="A7283" t="s">
        <v>6446</v>
      </c>
      <c r="B7283" t="s">
        <v>8708</v>
      </c>
      <c r="C7283" t="s">
        <v>8709</v>
      </c>
      <c r="D7283" t="str">
        <f>HYPERLINK("http://service.sap.com/sap/support/notes/1820542","1820542")</f>
        <v>1820542</v>
      </c>
      <c r="E7283">
        <v>1</v>
      </c>
      <c r="F7283" t="s">
        <v>8711</v>
      </c>
    </row>
    <row r="7284" spans="1:6" x14ac:dyDescent="0.25">
      <c r="A7284" t="s">
        <v>6446</v>
      </c>
      <c r="B7284" t="s">
        <v>8712</v>
      </c>
      <c r="C7284" t="s">
        <v>8713</v>
      </c>
    </row>
    <row r="7285" spans="1:6" x14ac:dyDescent="0.25">
      <c r="A7285" t="s">
        <v>6446</v>
      </c>
      <c r="B7285" t="s">
        <v>8714</v>
      </c>
      <c r="C7285" t="s">
        <v>1066</v>
      </c>
      <c r="D7285" t="str">
        <f>HYPERLINK("http://service.sap.com/sap/support/notes/1677483","1677483")</f>
        <v>1677483</v>
      </c>
      <c r="E7285">
        <v>3</v>
      </c>
      <c r="F7285" t="s">
        <v>8715</v>
      </c>
    </row>
    <row r="7286" spans="1:6" x14ac:dyDescent="0.25">
      <c r="A7286" t="s">
        <v>6446</v>
      </c>
      <c r="B7286" t="s">
        <v>3895</v>
      </c>
      <c r="C7286" t="s">
        <v>3896</v>
      </c>
      <c r="D7286" t="str">
        <f>HYPERLINK("http://service.sap.com/sap/support/notes/1779162","1779162")</f>
        <v>1779162</v>
      </c>
      <c r="E7286">
        <v>1</v>
      </c>
      <c r="F7286" t="s">
        <v>8716</v>
      </c>
    </row>
    <row r="7287" spans="1:6" x14ac:dyDescent="0.25">
      <c r="A7287" t="s">
        <v>6446</v>
      </c>
      <c r="B7287" t="s">
        <v>3895</v>
      </c>
      <c r="C7287" t="s">
        <v>3896</v>
      </c>
      <c r="D7287" t="str">
        <f>HYPERLINK("http://service.sap.com/sap/support/notes/1797353","1797353")</f>
        <v>1797353</v>
      </c>
      <c r="E7287">
        <v>1</v>
      </c>
      <c r="F7287" t="s">
        <v>8717</v>
      </c>
    </row>
    <row r="7288" spans="1:6" x14ac:dyDescent="0.25">
      <c r="A7288" t="s">
        <v>6446</v>
      </c>
      <c r="B7288" t="s">
        <v>3895</v>
      </c>
      <c r="C7288" t="s">
        <v>3896</v>
      </c>
      <c r="D7288" t="str">
        <f>HYPERLINK("http://service.sap.com/sap/support/notes/1799838","1799838")</f>
        <v>1799838</v>
      </c>
      <c r="E7288">
        <v>3</v>
      </c>
      <c r="F7288" t="s">
        <v>8718</v>
      </c>
    </row>
    <row r="7289" spans="1:6" x14ac:dyDescent="0.25">
      <c r="A7289" t="s">
        <v>6446</v>
      </c>
      <c r="B7289" t="s">
        <v>3895</v>
      </c>
      <c r="C7289" t="s">
        <v>3896</v>
      </c>
      <c r="D7289" t="str">
        <f>HYPERLINK("http://service.sap.com/sap/support/notes/1800746","1800746")</f>
        <v>1800746</v>
      </c>
      <c r="E7289">
        <v>2</v>
      </c>
      <c r="F7289" t="s">
        <v>8719</v>
      </c>
    </row>
    <row r="7290" spans="1:6" x14ac:dyDescent="0.25">
      <c r="A7290" t="s">
        <v>6446</v>
      </c>
      <c r="B7290" t="s">
        <v>3895</v>
      </c>
      <c r="C7290" t="s">
        <v>3896</v>
      </c>
      <c r="D7290" t="str">
        <f>HYPERLINK("http://service.sap.com/sap/support/notes/1804209","1804209")</f>
        <v>1804209</v>
      </c>
      <c r="E7290">
        <v>1</v>
      </c>
      <c r="F7290" t="s">
        <v>8720</v>
      </c>
    </row>
    <row r="7291" spans="1:6" x14ac:dyDescent="0.25">
      <c r="A7291" t="s">
        <v>6446</v>
      </c>
      <c r="B7291" t="s">
        <v>3895</v>
      </c>
      <c r="C7291" t="s">
        <v>3896</v>
      </c>
      <c r="D7291" t="str">
        <f>HYPERLINK("http://service.sap.com/sap/support/notes/1806179","1806179")</f>
        <v>1806179</v>
      </c>
      <c r="E7291">
        <v>1</v>
      </c>
      <c r="F7291" t="s">
        <v>8721</v>
      </c>
    </row>
    <row r="7292" spans="1:6" x14ac:dyDescent="0.25">
      <c r="A7292" t="s">
        <v>6446</v>
      </c>
      <c r="B7292" t="s">
        <v>3895</v>
      </c>
      <c r="C7292" t="s">
        <v>3896</v>
      </c>
      <c r="D7292" t="str">
        <f>HYPERLINK("http://service.sap.com/sap/support/notes/1808167","1808167")</f>
        <v>1808167</v>
      </c>
      <c r="E7292">
        <v>2</v>
      </c>
      <c r="F7292" t="s">
        <v>8722</v>
      </c>
    </row>
    <row r="7293" spans="1:6" x14ac:dyDescent="0.25">
      <c r="A7293" t="s">
        <v>6446</v>
      </c>
      <c r="B7293" t="s">
        <v>3895</v>
      </c>
      <c r="C7293" t="s">
        <v>3896</v>
      </c>
      <c r="D7293" t="str">
        <f>HYPERLINK("http://service.sap.com/sap/support/notes/1810487","1810487")</f>
        <v>1810487</v>
      </c>
      <c r="E7293">
        <v>1</v>
      </c>
      <c r="F7293" t="s">
        <v>8723</v>
      </c>
    </row>
    <row r="7294" spans="1:6" x14ac:dyDescent="0.25">
      <c r="A7294" t="s">
        <v>6446</v>
      </c>
      <c r="B7294" t="s">
        <v>3895</v>
      </c>
      <c r="C7294" t="s">
        <v>3896</v>
      </c>
      <c r="D7294" t="str">
        <f>HYPERLINK("http://service.sap.com/sap/support/notes/1812166","1812166")</f>
        <v>1812166</v>
      </c>
      <c r="E7294">
        <v>2</v>
      </c>
      <c r="F7294" t="s">
        <v>8724</v>
      </c>
    </row>
    <row r="7295" spans="1:6" x14ac:dyDescent="0.25">
      <c r="A7295" t="s">
        <v>6446</v>
      </c>
      <c r="B7295" t="s">
        <v>8725</v>
      </c>
      <c r="C7295" t="s">
        <v>8726</v>
      </c>
      <c r="D7295" t="str">
        <f>HYPERLINK("http://service.sap.com/sap/support/notes/1359161","1359161")</f>
        <v>1359161</v>
      </c>
      <c r="E7295">
        <v>1</v>
      </c>
      <c r="F7295" t="s">
        <v>8727</v>
      </c>
    </row>
    <row r="7296" spans="1:6" x14ac:dyDescent="0.25">
      <c r="A7296" t="s">
        <v>6446</v>
      </c>
      <c r="B7296" t="s">
        <v>6275</v>
      </c>
      <c r="C7296" t="s">
        <v>6276</v>
      </c>
      <c r="D7296" t="str">
        <f>HYPERLINK("http://service.sap.com/sap/support/notes/1812618","1812618")</f>
        <v>1812618</v>
      </c>
      <c r="E7296">
        <v>2</v>
      </c>
      <c r="F7296" t="s">
        <v>8728</v>
      </c>
    </row>
    <row r="7297" spans="1:6" x14ac:dyDescent="0.25">
      <c r="A7297" t="s">
        <v>6446</v>
      </c>
      <c r="B7297" t="s">
        <v>3908</v>
      </c>
      <c r="C7297" t="s">
        <v>3909</v>
      </c>
      <c r="D7297" t="str">
        <f>HYPERLINK("http://service.sap.com/sap/support/notes/1743574","1743574")</f>
        <v>1743574</v>
      </c>
      <c r="E7297">
        <v>9</v>
      </c>
      <c r="F7297" t="s">
        <v>6278</v>
      </c>
    </row>
    <row r="7298" spans="1:6" x14ac:dyDescent="0.25">
      <c r="A7298" t="s">
        <v>6446</v>
      </c>
      <c r="B7298" t="s">
        <v>3908</v>
      </c>
      <c r="C7298" t="s">
        <v>3909</v>
      </c>
      <c r="D7298" t="str">
        <f>HYPERLINK("http://service.sap.com/sap/support/notes/1756376","1756376")</f>
        <v>1756376</v>
      </c>
      <c r="E7298">
        <v>4</v>
      </c>
      <c r="F7298" t="s">
        <v>8729</v>
      </c>
    </row>
    <row r="7299" spans="1:6" x14ac:dyDescent="0.25">
      <c r="A7299" t="s">
        <v>6446</v>
      </c>
      <c r="B7299" t="s">
        <v>3908</v>
      </c>
      <c r="C7299" t="s">
        <v>3909</v>
      </c>
      <c r="D7299" t="str">
        <f>HYPERLINK("http://service.sap.com/sap/support/notes/1765398","1765398")</f>
        <v>1765398</v>
      </c>
      <c r="E7299">
        <v>2</v>
      </c>
      <c r="F7299" t="s">
        <v>8730</v>
      </c>
    </row>
    <row r="7300" spans="1:6" x14ac:dyDescent="0.25">
      <c r="A7300" t="s">
        <v>6446</v>
      </c>
      <c r="B7300" t="s">
        <v>3908</v>
      </c>
      <c r="C7300" t="s">
        <v>3909</v>
      </c>
      <c r="D7300" t="str">
        <f>HYPERLINK("http://service.sap.com/sap/support/notes/1770674","1770674")</f>
        <v>1770674</v>
      </c>
      <c r="E7300">
        <v>3</v>
      </c>
      <c r="F7300" t="s">
        <v>8731</v>
      </c>
    </row>
    <row r="7301" spans="1:6" x14ac:dyDescent="0.25">
      <c r="A7301" t="s">
        <v>6446</v>
      </c>
      <c r="B7301" t="s">
        <v>3908</v>
      </c>
      <c r="C7301" t="s">
        <v>3909</v>
      </c>
      <c r="D7301" t="str">
        <f>HYPERLINK("http://service.sap.com/sap/support/notes/1773516","1773516")</f>
        <v>1773516</v>
      </c>
      <c r="E7301">
        <v>5</v>
      </c>
      <c r="F7301" t="s">
        <v>8732</v>
      </c>
    </row>
    <row r="7302" spans="1:6" x14ac:dyDescent="0.25">
      <c r="A7302" t="s">
        <v>6446</v>
      </c>
      <c r="B7302" t="s">
        <v>3908</v>
      </c>
      <c r="C7302" t="s">
        <v>3909</v>
      </c>
      <c r="D7302" t="str">
        <f>HYPERLINK("http://service.sap.com/sap/support/notes/1774033","1774033")</f>
        <v>1774033</v>
      </c>
      <c r="E7302">
        <v>3</v>
      </c>
      <c r="F7302" t="s">
        <v>8733</v>
      </c>
    </row>
    <row r="7303" spans="1:6" x14ac:dyDescent="0.25">
      <c r="A7303" t="s">
        <v>6446</v>
      </c>
      <c r="B7303" t="s">
        <v>3908</v>
      </c>
      <c r="C7303" t="s">
        <v>3909</v>
      </c>
      <c r="D7303" t="str">
        <f>HYPERLINK("http://service.sap.com/sap/support/notes/1829368","1829368")</f>
        <v>1829368</v>
      </c>
      <c r="E7303">
        <v>1</v>
      </c>
      <c r="F7303" t="s">
        <v>8734</v>
      </c>
    </row>
    <row r="7304" spans="1:6" x14ac:dyDescent="0.25">
      <c r="A7304" t="s">
        <v>6446</v>
      </c>
      <c r="B7304" t="s">
        <v>3914</v>
      </c>
      <c r="C7304" t="s">
        <v>3915</v>
      </c>
      <c r="D7304" t="str">
        <f>HYPERLINK("http://service.sap.com/sap/support/notes/1697715","1697715")</f>
        <v>1697715</v>
      </c>
      <c r="E7304">
        <v>2</v>
      </c>
      <c r="F7304" t="s">
        <v>8735</v>
      </c>
    </row>
    <row r="7305" spans="1:6" x14ac:dyDescent="0.25">
      <c r="A7305" t="s">
        <v>6446</v>
      </c>
      <c r="B7305" t="s">
        <v>3914</v>
      </c>
      <c r="C7305" t="s">
        <v>3915</v>
      </c>
      <c r="D7305" t="str">
        <f>HYPERLINK("http://service.sap.com/sap/support/notes/1754937","1754937")</f>
        <v>1754937</v>
      </c>
      <c r="E7305">
        <v>1</v>
      </c>
      <c r="F7305" t="s">
        <v>8736</v>
      </c>
    </row>
    <row r="7306" spans="1:6" x14ac:dyDescent="0.25">
      <c r="A7306" t="s">
        <v>6446</v>
      </c>
      <c r="B7306" t="s">
        <v>3914</v>
      </c>
      <c r="C7306" t="s">
        <v>3915</v>
      </c>
      <c r="D7306" t="str">
        <f>HYPERLINK("http://service.sap.com/sap/support/notes/1769027","1769027")</f>
        <v>1769027</v>
      </c>
      <c r="E7306">
        <v>3</v>
      </c>
      <c r="F7306" t="s">
        <v>8737</v>
      </c>
    </row>
    <row r="7307" spans="1:6" x14ac:dyDescent="0.25">
      <c r="A7307" t="s">
        <v>6446</v>
      </c>
      <c r="B7307" t="s">
        <v>3914</v>
      </c>
      <c r="C7307" t="s">
        <v>3915</v>
      </c>
      <c r="D7307" t="str">
        <f>HYPERLINK("http://service.sap.com/sap/support/notes/1770569","1770569")</f>
        <v>1770569</v>
      </c>
      <c r="E7307">
        <v>4</v>
      </c>
      <c r="F7307" t="s">
        <v>8738</v>
      </c>
    </row>
    <row r="7308" spans="1:6" x14ac:dyDescent="0.25">
      <c r="A7308" t="s">
        <v>6446</v>
      </c>
      <c r="B7308" t="s">
        <v>3914</v>
      </c>
      <c r="C7308" t="s">
        <v>3915</v>
      </c>
      <c r="D7308" t="str">
        <f>HYPERLINK("http://service.sap.com/sap/support/notes/1775825","1775825")</f>
        <v>1775825</v>
      </c>
      <c r="E7308">
        <v>2</v>
      </c>
      <c r="F7308" t="s">
        <v>8739</v>
      </c>
    </row>
    <row r="7309" spans="1:6" x14ac:dyDescent="0.25">
      <c r="A7309" t="s">
        <v>6446</v>
      </c>
      <c r="B7309" t="s">
        <v>3914</v>
      </c>
      <c r="C7309" t="s">
        <v>3915</v>
      </c>
      <c r="D7309" t="str">
        <f>HYPERLINK("http://service.sap.com/sap/support/notes/1776122","1776122")</f>
        <v>1776122</v>
      </c>
      <c r="E7309">
        <v>2</v>
      </c>
      <c r="F7309" t="s">
        <v>8740</v>
      </c>
    </row>
    <row r="7310" spans="1:6" x14ac:dyDescent="0.25">
      <c r="A7310" t="s">
        <v>6446</v>
      </c>
      <c r="B7310" t="s">
        <v>3914</v>
      </c>
      <c r="C7310" t="s">
        <v>3915</v>
      </c>
      <c r="D7310" t="str">
        <f>HYPERLINK("http://service.sap.com/sap/support/notes/1777330","1777330")</f>
        <v>1777330</v>
      </c>
      <c r="E7310">
        <v>2</v>
      </c>
      <c r="F7310" t="s">
        <v>8741</v>
      </c>
    </row>
    <row r="7311" spans="1:6" x14ac:dyDescent="0.25">
      <c r="A7311" t="s">
        <v>6446</v>
      </c>
      <c r="B7311" t="s">
        <v>3914</v>
      </c>
      <c r="C7311" t="s">
        <v>3915</v>
      </c>
      <c r="D7311" t="str">
        <f>HYPERLINK("http://service.sap.com/sap/support/notes/1797593","1797593")</f>
        <v>1797593</v>
      </c>
      <c r="E7311">
        <v>2</v>
      </c>
      <c r="F7311" t="s">
        <v>8742</v>
      </c>
    </row>
    <row r="7312" spans="1:6" x14ac:dyDescent="0.25">
      <c r="A7312" t="s">
        <v>6446</v>
      </c>
      <c r="B7312" t="s">
        <v>3914</v>
      </c>
      <c r="C7312" t="s">
        <v>3915</v>
      </c>
      <c r="D7312" t="str">
        <f>HYPERLINK("http://service.sap.com/sap/support/notes/1801417","1801417")</f>
        <v>1801417</v>
      </c>
      <c r="E7312">
        <v>1</v>
      </c>
      <c r="F7312" t="s">
        <v>8743</v>
      </c>
    </row>
    <row r="7313" spans="1:6" x14ac:dyDescent="0.25">
      <c r="A7313" t="s">
        <v>6446</v>
      </c>
      <c r="B7313" t="s">
        <v>3914</v>
      </c>
      <c r="C7313" t="s">
        <v>3915</v>
      </c>
      <c r="D7313" t="str">
        <f>HYPERLINK("http://service.sap.com/sap/support/notes/1801584","1801584")</f>
        <v>1801584</v>
      </c>
      <c r="E7313">
        <v>1</v>
      </c>
      <c r="F7313" t="s">
        <v>8744</v>
      </c>
    </row>
    <row r="7314" spans="1:6" x14ac:dyDescent="0.25">
      <c r="A7314" t="s">
        <v>6446</v>
      </c>
      <c r="B7314" t="s">
        <v>3914</v>
      </c>
      <c r="C7314" t="s">
        <v>3915</v>
      </c>
      <c r="D7314" t="str">
        <f>HYPERLINK("http://service.sap.com/sap/support/notes/1801729","1801729")</f>
        <v>1801729</v>
      </c>
      <c r="E7314">
        <v>2</v>
      </c>
      <c r="F7314" t="s">
        <v>8745</v>
      </c>
    </row>
    <row r="7315" spans="1:6" x14ac:dyDescent="0.25">
      <c r="A7315" t="s">
        <v>6446</v>
      </c>
      <c r="B7315" t="s">
        <v>3914</v>
      </c>
      <c r="C7315" t="s">
        <v>3915</v>
      </c>
      <c r="D7315" t="str">
        <f>HYPERLINK("http://service.sap.com/sap/support/notes/1803204","1803204")</f>
        <v>1803204</v>
      </c>
      <c r="E7315">
        <v>3</v>
      </c>
      <c r="F7315" t="s">
        <v>8746</v>
      </c>
    </row>
    <row r="7316" spans="1:6" x14ac:dyDescent="0.25">
      <c r="A7316" t="s">
        <v>6446</v>
      </c>
      <c r="B7316" t="s">
        <v>3914</v>
      </c>
      <c r="C7316" t="s">
        <v>3915</v>
      </c>
      <c r="D7316" t="str">
        <f>HYPERLINK("http://service.sap.com/sap/support/notes/1804482","1804482")</f>
        <v>1804482</v>
      </c>
      <c r="E7316">
        <v>1</v>
      </c>
      <c r="F7316" t="s">
        <v>8747</v>
      </c>
    </row>
    <row r="7317" spans="1:6" x14ac:dyDescent="0.25">
      <c r="A7317" t="s">
        <v>6446</v>
      </c>
      <c r="B7317" t="s">
        <v>3914</v>
      </c>
      <c r="C7317" t="s">
        <v>3915</v>
      </c>
      <c r="D7317" t="str">
        <f>HYPERLINK("http://service.sap.com/sap/support/notes/1805005","1805005")</f>
        <v>1805005</v>
      </c>
      <c r="E7317">
        <v>3</v>
      </c>
      <c r="F7317" t="s">
        <v>8748</v>
      </c>
    </row>
    <row r="7318" spans="1:6" x14ac:dyDescent="0.25">
      <c r="A7318" t="s">
        <v>6446</v>
      </c>
      <c r="B7318" t="s">
        <v>3914</v>
      </c>
      <c r="C7318" t="s">
        <v>3915</v>
      </c>
      <c r="D7318" t="str">
        <f>HYPERLINK("http://service.sap.com/sap/support/notes/1813269","1813269")</f>
        <v>1813269</v>
      </c>
      <c r="E7318">
        <v>3</v>
      </c>
      <c r="F7318" t="s">
        <v>8749</v>
      </c>
    </row>
    <row r="7319" spans="1:6" x14ac:dyDescent="0.25">
      <c r="A7319" t="s">
        <v>6446</v>
      </c>
      <c r="B7319" t="s">
        <v>3914</v>
      </c>
      <c r="C7319" t="s">
        <v>3915</v>
      </c>
      <c r="D7319" t="str">
        <f>HYPERLINK("http://service.sap.com/sap/support/notes/1813731","1813731")</f>
        <v>1813731</v>
      </c>
      <c r="E7319">
        <v>1</v>
      </c>
      <c r="F7319" t="s">
        <v>8750</v>
      </c>
    </row>
    <row r="7320" spans="1:6" x14ac:dyDescent="0.25">
      <c r="A7320" t="s">
        <v>6446</v>
      </c>
      <c r="B7320" t="s">
        <v>3914</v>
      </c>
      <c r="C7320" t="s">
        <v>3915</v>
      </c>
      <c r="D7320" t="str">
        <f>HYPERLINK("http://service.sap.com/sap/support/notes/1816048","1816048")</f>
        <v>1816048</v>
      </c>
      <c r="E7320">
        <v>2</v>
      </c>
      <c r="F7320" t="s">
        <v>8751</v>
      </c>
    </row>
    <row r="7321" spans="1:6" x14ac:dyDescent="0.25">
      <c r="A7321" t="s">
        <v>6446</v>
      </c>
      <c r="B7321" t="s">
        <v>3914</v>
      </c>
      <c r="C7321" t="s">
        <v>3915</v>
      </c>
      <c r="D7321" t="str">
        <f>HYPERLINK("http://service.sap.com/sap/support/notes/1818021","1818021")</f>
        <v>1818021</v>
      </c>
      <c r="E7321">
        <v>3</v>
      </c>
      <c r="F7321" t="s">
        <v>8752</v>
      </c>
    </row>
    <row r="7322" spans="1:6" x14ac:dyDescent="0.25">
      <c r="A7322" t="s">
        <v>6446</v>
      </c>
      <c r="B7322" t="s">
        <v>3914</v>
      </c>
      <c r="C7322" t="s">
        <v>3915</v>
      </c>
      <c r="D7322" t="str">
        <f>HYPERLINK("http://service.sap.com/sap/support/notes/1818436","1818436")</f>
        <v>1818436</v>
      </c>
      <c r="E7322">
        <v>2</v>
      </c>
      <c r="F7322" t="s">
        <v>8753</v>
      </c>
    </row>
    <row r="7323" spans="1:6" x14ac:dyDescent="0.25">
      <c r="A7323" t="s">
        <v>6446</v>
      </c>
      <c r="B7323" t="s">
        <v>3914</v>
      </c>
      <c r="C7323" t="s">
        <v>3915</v>
      </c>
      <c r="D7323" t="str">
        <f>HYPERLINK("http://service.sap.com/sap/support/notes/1818878","1818878")</f>
        <v>1818878</v>
      </c>
      <c r="E7323">
        <v>1</v>
      </c>
      <c r="F7323" t="s">
        <v>8754</v>
      </c>
    </row>
    <row r="7324" spans="1:6" x14ac:dyDescent="0.25">
      <c r="A7324" t="s">
        <v>6446</v>
      </c>
      <c r="B7324" t="s">
        <v>3914</v>
      </c>
      <c r="C7324" t="s">
        <v>3915</v>
      </c>
      <c r="D7324" t="str">
        <f>HYPERLINK("http://service.sap.com/sap/support/notes/1828613","1828613")</f>
        <v>1828613</v>
      </c>
      <c r="E7324">
        <v>1</v>
      </c>
      <c r="F7324" t="s">
        <v>8755</v>
      </c>
    </row>
    <row r="7325" spans="1:6" x14ac:dyDescent="0.25">
      <c r="A7325" t="s">
        <v>6446</v>
      </c>
      <c r="B7325" t="s">
        <v>3914</v>
      </c>
      <c r="C7325" t="s">
        <v>3915</v>
      </c>
      <c r="D7325" t="str">
        <f>HYPERLINK("http://service.sap.com/sap/support/notes/1840033","1840033")</f>
        <v>1840033</v>
      </c>
      <c r="E7325">
        <v>1</v>
      </c>
      <c r="F7325" t="s">
        <v>8756</v>
      </c>
    </row>
    <row r="7326" spans="1:6" x14ac:dyDescent="0.25">
      <c r="A7326" t="s">
        <v>6446</v>
      </c>
      <c r="B7326" t="s">
        <v>3938</v>
      </c>
      <c r="C7326" t="s">
        <v>3939</v>
      </c>
      <c r="D7326" t="str">
        <f>HYPERLINK("http://service.sap.com/sap/support/notes/1518490","1518490")</f>
        <v>1518490</v>
      </c>
      <c r="E7326">
        <v>13</v>
      </c>
      <c r="F7326" t="s">
        <v>8757</v>
      </c>
    </row>
    <row r="7327" spans="1:6" x14ac:dyDescent="0.25">
      <c r="A7327" t="s">
        <v>6446</v>
      </c>
      <c r="B7327" t="s">
        <v>3938</v>
      </c>
      <c r="C7327" t="s">
        <v>3939</v>
      </c>
      <c r="D7327" t="str">
        <f>HYPERLINK("http://service.sap.com/sap/support/notes/1704142","1704142")</f>
        <v>1704142</v>
      </c>
      <c r="E7327">
        <v>3</v>
      </c>
      <c r="F7327" t="s">
        <v>8758</v>
      </c>
    </row>
    <row r="7328" spans="1:6" x14ac:dyDescent="0.25">
      <c r="A7328" t="s">
        <v>6446</v>
      </c>
      <c r="B7328" t="s">
        <v>3938</v>
      </c>
      <c r="C7328" t="s">
        <v>3939</v>
      </c>
      <c r="D7328" t="str">
        <f>HYPERLINK("http://service.sap.com/sap/support/notes/1720671","1720671")</f>
        <v>1720671</v>
      </c>
      <c r="E7328">
        <v>4</v>
      </c>
      <c r="F7328" t="s">
        <v>8759</v>
      </c>
    </row>
    <row r="7329" spans="1:6" x14ac:dyDescent="0.25">
      <c r="A7329" t="s">
        <v>6446</v>
      </c>
      <c r="B7329" t="s">
        <v>3938</v>
      </c>
      <c r="C7329" t="s">
        <v>3939</v>
      </c>
      <c r="D7329" t="str">
        <f>HYPERLINK("http://service.sap.com/sap/support/notes/1729518","1729518")</f>
        <v>1729518</v>
      </c>
      <c r="E7329">
        <v>4</v>
      </c>
      <c r="F7329" t="s">
        <v>8760</v>
      </c>
    </row>
    <row r="7330" spans="1:6" x14ac:dyDescent="0.25">
      <c r="A7330" t="s">
        <v>6446</v>
      </c>
      <c r="B7330" t="s">
        <v>3938</v>
      </c>
      <c r="C7330" t="s">
        <v>3939</v>
      </c>
      <c r="D7330" t="str">
        <f>HYPERLINK("http://service.sap.com/sap/support/notes/1729994","1729994")</f>
        <v>1729994</v>
      </c>
      <c r="E7330">
        <v>7</v>
      </c>
      <c r="F7330" t="s">
        <v>8761</v>
      </c>
    </row>
    <row r="7331" spans="1:6" x14ac:dyDescent="0.25">
      <c r="A7331" t="s">
        <v>6446</v>
      </c>
      <c r="B7331" t="s">
        <v>3938</v>
      </c>
      <c r="C7331" t="s">
        <v>3939</v>
      </c>
      <c r="D7331" t="str">
        <f>HYPERLINK("http://service.sap.com/sap/support/notes/1737928","1737928")</f>
        <v>1737928</v>
      </c>
      <c r="E7331">
        <v>3</v>
      </c>
      <c r="F7331" t="s">
        <v>8762</v>
      </c>
    </row>
    <row r="7332" spans="1:6" x14ac:dyDescent="0.25">
      <c r="A7332" t="s">
        <v>6446</v>
      </c>
      <c r="B7332" t="s">
        <v>3938</v>
      </c>
      <c r="C7332" t="s">
        <v>3939</v>
      </c>
      <c r="D7332" t="str">
        <f>HYPERLINK("http://service.sap.com/sap/support/notes/1740240","1740240")</f>
        <v>1740240</v>
      </c>
      <c r="E7332">
        <v>2</v>
      </c>
      <c r="F7332" t="s">
        <v>8763</v>
      </c>
    </row>
    <row r="7333" spans="1:6" x14ac:dyDescent="0.25">
      <c r="A7333" t="s">
        <v>6446</v>
      </c>
      <c r="B7333" t="s">
        <v>3938</v>
      </c>
      <c r="C7333" t="s">
        <v>3939</v>
      </c>
      <c r="D7333" t="str">
        <f>HYPERLINK("http://service.sap.com/sap/support/notes/1746598","1746598")</f>
        <v>1746598</v>
      </c>
      <c r="E7333">
        <v>3</v>
      </c>
      <c r="F7333" t="s">
        <v>8764</v>
      </c>
    </row>
    <row r="7334" spans="1:6" x14ac:dyDescent="0.25">
      <c r="A7334" t="s">
        <v>6446</v>
      </c>
      <c r="B7334" t="s">
        <v>3938</v>
      </c>
      <c r="C7334" t="s">
        <v>3939</v>
      </c>
      <c r="D7334" t="str">
        <f>HYPERLINK("http://service.sap.com/sap/support/notes/1746814","1746814")</f>
        <v>1746814</v>
      </c>
      <c r="E7334">
        <v>4</v>
      </c>
      <c r="F7334" t="s">
        <v>8765</v>
      </c>
    </row>
    <row r="7335" spans="1:6" x14ac:dyDescent="0.25">
      <c r="A7335" t="s">
        <v>6446</v>
      </c>
      <c r="B7335" t="s">
        <v>3938</v>
      </c>
      <c r="C7335" t="s">
        <v>3939</v>
      </c>
      <c r="D7335" t="str">
        <f>HYPERLINK("http://service.sap.com/sap/support/notes/1752355","1752355")</f>
        <v>1752355</v>
      </c>
      <c r="E7335">
        <v>8</v>
      </c>
      <c r="F7335" t="s">
        <v>8766</v>
      </c>
    </row>
    <row r="7336" spans="1:6" x14ac:dyDescent="0.25">
      <c r="A7336" t="s">
        <v>6446</v>
      </c>
      <c r="B7336" t="s">
        <v>3938</v>
      </c>
      <c r="C7336" t="s">
        <v>3939</v>
      </c>
      <c r="D7336" t="str">
        <f>HYPERLINK("http://service.sap.com/sap/support/notes/1752356","1752356")</f>
        <v>1752356</v>
      </c>
      <c r="E7336">
        <v>3</v>
      </c>
      <c r="F7336" t="s">
        <v>8767</v>
      </c>
    </row>
    <row r="7337" spans="1:6" x14ac:dyDescent="0.25">
      <c r="A7337" t="s">
        <v>6446</v>
      </c>
      <c r="B7337" t="s">
        <v>3938</v>
      </c>
      <c r="C7337" t="s">
        <v>3939</v>
      </c>
      <c r="D7337" t="str">
        <f>HYPERLINK("http://service.sap.com/sap/support/notes/1752556","1752556")</f>
        <v>1752556</v>
      </c>
      <c r="E7337">
        <v>2</v>
      </c>
      <c r="F7337" t="s">
        <v>8768</v>
      </c>
    </row>
    <row r="7338" spans="1:6" x14ac:dyDescent="0.25">
      <c r="A7338" t="s">
        <v>6446</v>
      </c>
      <c r="B7338" t="s">
        <v>3938</v>
      </c>
      <c r="C7338" t="s">
        <v>3939</v>
      </c>
      <c r="D7338" t="str">
        <f>HYPERLINK("http://service.sap.com/sap/support/notes/1753000","1753000")</f>
        <v>1753000</v>
      </c>
      <c r="E7338">
        <v>2</v>
      </c>
      <c r="F7338" t="s">
        <v>8769</v>
      </c>
    </row>
    <row r="7339" spans="1:6" x14ac:dyDescent="0.25">
      <c r="A7339" t="s">
        <v>6446</v>
      </c>
      <c r="B7339" t="s">
        <v>3938</v>
      </c>
      <c r="C7339" t="s">
        <v>3939</v>
      </c>
      <c r="D7339" t="str">
        <f>HYPERLINK("http://service.sap.com/sap/support/notes/1755379","1755379")</f>
        <v>1755379</v>
      </c>
      <c r="E7339">
        <v>7</v>
      </c>
      <c r="F7339" t="s">
        <v>8770</v>
      </c>
    </row>
    <row r="7340" spans="1:6" x14ac:dyDescent="0.25">
      <c r="A7340" t="s">
        <v>6446</v>
      </c>
      <c r="B7340" t="s">
        <v>3938</v>
      </c>
      <c r="C7340" t="s">
        <v>3939</v>
      </c>
      <c r="D7340" t="str">
        <f>HYPERLINK("http://service.sap.com/sap/support/notes/1755696","1755696")</f>
        <v>1755696</v>
      </c>
      <c r="E7340">
        <v>5</v>
      </c>
      <c r="F7340" t="s">
        <v>8771</v>
      </c>
    </row>
    <row r="7341" spans="1:6" x14ac:dyDescent="0.25">
      <c r="A7341" t="s">
        <v>6446</v>
      </c>
      <c r="B7341" t="s">
        <v>3938</v>
      </c>
      <c r="C7341" t="s">
        <v>3939</v>
      </c>
      <c r="D7341" t="str">
        <f>HYPERLINK("http://service.sap.com/sap/support/notes/1757547","1757547")</f>
        <v>1757547</v>
      </c>
      <c r="E7341">
        <v>2</v>
      </c>
      <c r="F7341" t="s">
        <v>8772</v>
      </c>
    </row>
    <row r="7342" spans="1:6" x14ac:dyDescent="0.25">
      <c r="A7342" t="s">
        <v>6446</v>
      </c>
      <c r="B7342" t="s">
        <v>3938</v>
      </c>
      <c r="C7342" t="s">
        <v>3939</v>
      </c>
      <c r="D7342" t="str">
        <f>HYPERLINK("http://service.sap.com/sap/support/notes/1757653","1757653")</f>
        <v>1757653</v>
      </c>
      <c r="E7342">
        <v>5</v>
      </c>
      <c r="F7342" t="s">
        <v>8773</v>
      </c>
    </row>
    <row r="7343" spans="1:6" x14ac:dyDescent="0.25">
      <c r="A7343" t="s">
        <v>6446</v>
      </c>
      <c r="B7343" t="s">
        <v>3938</v>
      </c>
      <c r="C7343" t="s">
        <v>3939</v>
      </c>
      <c r="D7343" t="str">
        <f>HYPERLINK("http://service.sap.com/sap/support/notes/1761745","1761745")</f>
        <v>1761745</v>
      </c>
      <c r="E7343">
        <v>3</v>
      </c>
      <c r="F7343" t="s">
        <v>8774</v>
      </c>
    </row>
    <row r="7344" spans="1:6" x14ac:dyDescent="0.25">
      <c r="A7344" t="s">
        <v>6446</v>
      </c>
      <c r="B7344" t="s">
        <v>3938</v>
      </c>
      <c r="C7344" t="s">
        <v>3939</v>
      </c>
      <c r="D7344" t="str">
        <f>HYPERLINK("http://service.sap.com/sap/support/notes/1765772","1765772")</f>
        <v>1765772</v>
      </c>
      <c r="E7344">
        <v>3</v>
      </c>
      <c r="F7344" t="s">
        <v>8775</v>
      </c>
    </row>
    <row r="7345" spans="1:6" x14ac:dyDescent="0.25">
      <c r="A7345" t="s">
        <v>6446</v>
      </c>
      <c r="B7345" t="s">
        <v>3938</v>
      </c>
      <c r="C7345" t="s">
        <v>3939</v>
      </c>
      <c r="D7345" t="str">
        <f>HYPERLINK("http://service.sap.com/sap/support/notes/1767825","1767825")</f>
        <v>1767825</v>
      </c>
      <c r="E7345">
        <v>5</v>
      </c>
      <c r="F7345" t="s">
        <v>8776</v>
      </c>
    </row>
    <row r="7346" spans="1:6" x14ac:dyDescent="0.25">
      <c r="A7346" t="s">
        <v>6446</v>
      </c>
      <c r="B7346" t="s">
        <v>3938</v>
      </c>
      <c r="C7346" t="s">
        <v>3939</v>
      </c>
      <c r="D7346" t="str">
        <f>HYPERLINK("http://service.sap.com/sap/support/notes/1769518","1769518")</f>
        <v>1769518</v>
      </c>
      <c r="E7346">
        <v>6</v>
      </c>
      <c r="F7346" t="s">
        <v>8777</v>
      </c>
    </row>
    <row r="7347" spans="1:6" x14ac:dyDescent="0.25">
      <c r="A7347" t="s">
        <v>6446</v>
      </c>
      <c r="B7347" t="s">
        <v>3938</v>
      </c>
      <c r="C7347" t="s">
        <v>3939</v>
      </c>
      <c r="D7347" t="str">
        <f>HYPERLINK("http://service.sap.com/sap/support/notes/1778140","1778140")</f>
        <v>1778140</v>
      </c>
      <c r="E7347">
        <v>4</v>
      </c>
      <c r="F7347" t="s">
        <v>8778</v>
      </c>
    </row>
    <row r="7348" spans="1:6" x14ac:dyDescent="0.25">
      <c r="A7348" t="s">
        <v>6446</v>
      </c>
      <c r="B7348" t="s">
        <v>3938</v>
      </c>
      <c r="C7348" t="s">
        <v>3939</v>
      </c>
      <c r="D7348" t="str">
        <f>HYPERLINK("http://service.sap.com/sap/support/notes/1780747","1780747")</f>
        <v>1780747</v>
      </c>
      <c r="E7348">
        <v>2</v>
      </c>
      <c r="F7348" t="s">
        <v>8779</v>
      </c>
    </row>
    <row r="7349" spans="1:6" x14ac:dyDescent="0.25">
      <c r="A7349" t="s">
        <v>6446</v>
      </c>
      <c r="B7349" t="s">
        <v>3938</v>
      </c>
      <c r="C7349" t="s">
        <v>3939</v>
      </c>
      <c r="D7349" t="str">
        <f>HYPERLINK("http://service.sap.com/sap/support/notes/1781348","1781348")</f>
        <v>1781348</v>
      </c>
      <c r="E7349">
        <v>3</v>
      </c>
      <c r="F7349" t="s">
        <v>8780</v>
      </c>
    </row>
    <row r="7350" spans="1:6" x14ac:dyDescent="0.25">
      <c r="A7350" t="s">
        <v>6446</v>
      </c>
      <c r="B7350" t="s">
        <v>3938</v>
      </c>
      <c r="C7350" t="s">
        <v>3939</v>
      </c>
      <c r="D7350" t="str">
        <f>HYPERLINK("http://service.sap.com/sap/support/notes/1786490","1786490")</f>
        <v>1786490</v>
      </c>
      <c r="E7350">
        <v>3</v>
      </c>
      <c r="F7350" t="s">
        <v>3953</v>
      </c>
    </row>
    <row r="7351" spans="1:6" x14ac:dyDescent="0.25">
      <c r="A7351" t="s">
        <v>6446</v>
      </c>
      <c r="B7351" t="s">
        <v>3938</v>
      </c>
      <c r="C7351" t="s">
        <v>3939</v>
      </c>
      <c r="D7351" t="str">
        <f>HYPERLINK("http://service.sap.com/sap/support/notes/1794243","1794243")</f>
        <v>1794243</v>
      </c>
      <c r="E7351">
        <v>1</v>
      </c>
      <c r="F7351" t="s">
        <v>8781</v>
      </c>
    </row>
    <row r="7352" spans="1:6" x14ac:dyDescent="0.25">
      <c r="A7352" t="s">
        <v>6446</v>
      </c>
      <c r="B7352" t="s">
        <v>3938</v>
      </c>
      <c r="C7352" t="s">
        <v>3939</v>
      </c>
      <c r="D7352" t="str">
        <f>HYPERLINK("http://service.sap.com/sap/support/notes/1795547","1795547")</f>
        <v>1795547</v>
      </c>
      <c r="E7352">
        <v>1</v>
      </c>
      <c r="F7352" t="s">
        <v>8782</v>
      </c>
    </row>
    <row r="7353" spans="1:6" x14ac:dyDescent="0.25">
      <c r="A7353" t="s">
        <v>6446</v>
      </c>
      <c r="B7353" t="s">
        <v>3938</v>
      </c>
      <c r="C7353" t="s">
        <v>3939</v>
      </c>
      <c r="D7353" t="str">
        <f>HYPERLINK("http://service.sap.com/sap/support/notes/1798518","1798518")</f>
        <v>1798518</v>
      </c>
      <c r="E7353">
        <v>2</v>
      </c>
      <c r="F7353" t="s">
        <v>8783</v>
      </c>
    </row>
    <row r="7354" spans="1:6" x14ac:dyDescent="0.25">
      <c r="A7354" t="s">
        <v>6446</v>
      </c>
      <c r="B7354" t="s">
        <v>3938</v>
      </c>
      <c r="C7354" t="s">
        <v>3939</v>
      </c>
      <c r="D7354" t="str">
        <f>HYPERLINK("http://service.sap.com/sap/support/notes/1799163","1799163")</f>
        <v>1799163</v>
      </c>
      <c r="E7354">
        <v>2</v>
      </c>
      <c r="F7354" t="s">
        <v>8784</v>
      </c>
    </row>
    <row r="7355" spans="1:6" x14ac:dyDescent="0.25">
      <c r="A7355" t="s">
        <v>6446</v>
      </c>
      <c r="B7355" t="s">
        <v>3938</v>
      </c>
      <c r="C7355" t="s">
        <v>3939</v>
      </c>
      <c r="D7355" t="str">
        <f>HYPERLINK("http://service.sap.com/sap/support/notes/1804278","1804278")</f>
        <v>1804278</v>
      </c>
      <c r="E7355">
        <v>3</v>
      </c>
      <c r="F7355" t="s">
        <v>8785</v>
      </c>
    </row>
    <row r="7356" spans="1:6" x14ac:dyDescent="0.25">
      <c r="A7356" t="s">
        <v>6446</v>
      </c>
      <c r="B7356" t="s">
        <v>3938</v>
      </c>
      <c r="C7356" t="s">
        <v>3939</v>
      </c>
      <c r="D7356" t="str">
        <f>HYPERLINK("http://service.sap.com/sap/support/notes/1804996","1804996")</f>
        <v>1804996</v>
      </c>
      <c r="E7356">
        <v>3</v>
      </c>
      <c r="F7356" t="s">
        <v>8786</v>
      </c>
    </row>
    <row r="7357" spans="1:6" x14ac:dyDescent="0.25">
      <c r="A7357" t="s">
        <v>6446</v>
      </c>
      <c r="B7357" t="s">
        <v>3938</v>
      </c>
      <c r="C7357" t="s">
        <v>3939</v>
      </c>
      <c r="D7357" t="str">
        <f>HYPERLINK("http://service.sap.com/sap/support/notes/1809302","1809302")</f>
        <v>1809302</v>
      </c>
      <c r="E7357">
        <v>3</v>
      </c>
      <c r="F7357" t="s">
        <v>8787</v>
      </c>
    </row>
    <row r="7358" spans="1:6" x14ac:dyDescent="0.25">
      <c r="A7358" t="s">
        <v>6446</v>
      </c>
      <c r="B7358" t="s">
        <v>3938</v>
      </c>
      <c r="C7358" t="s">
        <v>3939</v>
      </c>
      <c r="D7358" t="str">
        <f>HYPERLINK("http://service.sap.com/sap/support/notes/1812196","1812196")</f>
        <v>1812196</v>
      </c>
      <c r="E7358">
        <v>3</v>
      </c>
      <c r="F7358" t="s">
        <v>3942</v>
      </c>
    </row>
    <row r="7359" spans="1:6" x14ac:dyDescent="0.25">
      <c r="A7359" t="s">
        <v>6446</v>
      </c>
      <c r="B7359" t="s">
        <v>3938</v>
      </c>
      <c r="C7359" t="s">
        <v>3939</v>
      </c>
      <c r="D7359" t="str">
        <f>HYPERLINK("http://service.sap.com/sap/support/notes/1813801","1813801")</f>
        <v>1813801</v>
      </c>
      <c r="E7359">
        <v>2</v>
      </c>
      <c r="F7359" t="s">
        <v>8788</v>
      </c>
    </row>
    <row r="7360" spans="1:6" x14ac:dyDescent="0.25">
      <c r="A7360" t="s">
        <v>6446</v>
      </c>
      <c r="B7360" t="s">
        <v>3958</v>
      </c>
      <c r="C7360" t="s">
        <v>3959</v>
      </c>
      <c r="D7360" t="str">
        <f>HYPERLINK("http://service.sap.com/sap/support/notes/1675929","1675929")</f>
        <v>1675929</v>
      </c>
      <c r="E7360">
        <v>4</v>
      </c>
      <c r="F7360" t="s">
        <v>8789</v>
      </c>
    </row>
    <row r="7361" spans="1:6" x14ac:dyDescent="0.25">
      <c r="A7361" t="s">
        <v>6446</v>
      </c>
      <c r="B7361" t="s">
        <v>3958</v>
      </c>
      <c r="C7361" t="s">
        <v>3959</v>
      </c>
      <c r="D7361" t="str">
        <f>HYPERLINK("http://service.sap.com/sap/support/notes/1736794","1736794")</f>
        <v>1736794</v>
      </c>
      <c r="E7361">
        <v>2</v>
      </c>
      <c r="F7361" t="s">
        <v>8790</v>
      </c>
    </row>
    <row r="7362" spans="1:6" x14ac:dyDescent="0.25">
      <c r="A7362" t="s">
        <v>6446</v>
      </c>
      <c r="B7362" t="s">
        <v>3958</v>
      </c>
      <c r="C7362" t="s">
        <v>3959</v>
      </c>
      <c r="D7362" t="str">
        <f>HYPERLINK("http://service.sap.com/sap/support/notes/1756565","1756565")</f>
        <v>1756565</v>
      </c>
      <c r="E7362">
        <v>5</v>
      </c>
      <c r="F7362" t="s">
        <v>8791</v>
      </c>
    </row>
    <row r="7363" spans="1:6" x14ac:dyDescent="0.25">
      <c r="A7363" t="s">
        <v>6446</v>
      </c>
      <c r="B7363" t="s">
        <v>3958</v>
      </c>
      <c r="C7363" t="s">
        <v>3959</v>
      </c>
      <c r="D7363" t="str">
        <f>HYPERLINK("http://service.sap.com/sap/support/notes/1772328","1772328")</f>
        <v>1772328</v>
      </c>
      <c r="E7363">
        <v>3</v>
      </c>
      <c r="F7363" t="s">
        <v>8792</v>
      </c>
    </row>
    <row r="7364" spans="1:6" x14ac:dyDescent="0.25">
      <c r="A7364" t="s">
        <v>6446</v>
      </c>
      <c r="B7364" t="s">
        <v>3958</v>
      </c>
      <c r="C7364" t="s">
        <v>3959</v>
      </c>
      <c r="D7364" t="str">
        <f>HYPERLINK("http://service.sap.com/sap/support/notes/1773431","1773431")</f>
        <v>1773431</v>
      </c>
      <c r="E7364">
        <v>4</v>
      </c>
      <c r="F7364" t="s">
        <v>8793</v>
      </c>
    </row>
    <row r="7365" spans="1:6" x14ac:dyDescent="0.25">
      <c r="A7365" t="s">
        <v>6446</v>
      </c>
      <c r="B7365" t="s">
        <v>3958</v>
      </c>
      <c r="C7365" t="s">
        <v>3959</v>
      </c>
      <c r="D7365" t="str">
        <f>HYPERLINK("http://service.sap.com/sap/support/notes/1777214","1777214")</f>
        <v>1777214</v>
      </c>
      <c r="E7365">
        <v>3</v>
      </c>
      <c r="F7365" t="s">
        <v>8794</v>
      </c>
    </row>
    <row r="7366" spans="1:6" x14ac:dyDescent="0.25">
      <c r="A7366" t="s">
        <v>6446</v>
      </c>
      <c r="B7366" t="s">
        <v>3958</v>
      </c>
      <c r="C7366" t="s">
        <v>3959</v>
      </c>
      <c r="D7366" t="str">
        <f>HYPERLINK("http://service.sap.com/sap/support/notes/1782384","1782384")</f>
        <v>1782384</v>
      </c>
      <c r="E7366">
        <v>1</v>
      </c>
      <c r="F7366" t="s">
        <v>8795</v>
      </c>
    </row>
    <row r="7367" spans="1:6" x14ac:dyDescent="0.25">
      <c r="A7367" t="s">
        <v>6446</v>
      </c>
      <c r="B7367" t="s">
        <v>3958</v>
      </c>
      <c r="C7367" t="s">
        <v>3959</v>
      </c>
      <c r="D7367" t="str">
        <f>HYPERLINK("http://service.sap.com/sap/support/notes/1788505","1788505")</f>
        <v>1788505</v>
      </c>
      <c r="E7367">
        <v>2</v>
      </c>
      <c r="F7367" t="s">
        <v>8796</v>
      </c>
    </row>
    <row r="7368" spans="1:6" x14ac:dyDescent="0.25">
      <c r="A7368" t="s">
        <v>6446</v>
      </c>
      <c r="B7368" t="s">
        <v>3958</v>
      </c>
      <c r="C7368" t="s">
        <v>3959</v>
      </c>
      <c r="D7368" t="str">
        <f>HYPERLINK("http://service.sap.com/sap/support/notes/1804688","1804688")</f>
        <v>1804688</v>
      </c>
      <c r="E7368">
        <v>1</v>
      </c>
      <c r="F7368" t="s">
        <v>8797</v>
      </c>
    </row>
    <row r="7369" spans="1:6" x14ac:dyDescent="0.25">
      <c r="A7369" t="s">
        <v>6446</v>
      </c>
      <c r="B7369" t="s">
        <v>3958</v>
      </c>
      <c r="C7369" t="s">
        <v>3959</v>
      </c>
      <c r="D7369" t="str">
        <f>HYPERLINK("http://service.sap.com/sap/support/notes/1804900","1804900")</f>
        <v>1804900</v>
      </c>
      <c r="E7369">
        <v>5</v>
      </c>
      <c r="F7369" t="s">
        <v>8798</v>
      </c>
    </row>
    <row r="7370" spans="1:6" x14ac:dyDescent="0.25">
      <c r="A7370" t="s">
        <v>6446</v>
      </c>
      <c r="B7370" t="s">
        <v>6310</v>
      </c>
      <c r="C7370" t="s">
        <v>6311</v>
      </c>
      <c r="D7370" t="str">
        <f>HYPERLINK("http://service.sap.com/sap/support/notes/1790609","1790609")</f>
        <v>1790609</v>
      </c>
      <c r="E7370">
        <v>2</v>
      </c>
      <c r="F7370" t="s">
        <v>8799</v>
      </c>
    </row>
    <row r="7371" spans="1:6" x14ac:dyDescent="0.25">
      <c r="A7371" t="s">
        <v>6446</v>
      </c>
      <c r="B7371" t="s">
        <v>6310</v>
      </c>
      <c r="C7371" t="s">
        <v>6311</v>
      </c>
      <c r="D7371" t="str">
        <f>HYPERLINK("http://service.sap.com/sap/support/notes/1812497","1812497")</f>
        <v>1812497</v>
      </c>
      <c r="E7371">
        <v>2</v>
      </c>
      <c r="F7371" t="s">
        <v>8800</v>
      </c>
    </row>
    <row r="7372" spans="1:6" x14ac:dyDescent="0.25">
      <c r="A7372" t="s">
        <v>6446</v>
      </c>
      <c r="B7372" t="s">
        <v>3971</v>
      </c>
      <c r="C7372" t="s">
        <v>3972</v>
      </c>
      <c r="D7372" t="str">
        <f>HYPERLINK("http://service.sap.com/sap/support/notes/1798816","1798816")</f>
        <v>1798816</v>
      </c>
    </row>
    <row r="7373" spans="1:6" x14ac:dyDescent="0.25">
      <c r="A7373" t="s">
        <v>6446</v>
      </c>
      <c r="B7373" t="s">
        <v>3971</v>
      </c>
      <c r="C7373" t="s">
        <v>3972</v>
      </c>
      <c r="D7373" t="str">
        <f>HYPERLINK("http://service.sap.com/sap/support/notes/1806920","1806920")</f>
        <v>1806920</v>
      </c>
      <c r="E7373">
        <v>3</v>
      </c>
      <c r="F7373" t="s">
        <v>8801</v>
      </c>
    </row>
    <row r="7374" spans="1:6" x14ac:dyDescent="0.25">
      <c r="A7374" t="s">
        <v>6446</v>
      </c>
      <c r="B7374" t="s">
        <v>3971</v>
      </c>
      <c r="C7374" t="s">
        <v>3972</v>
      </c>
      <c r="D7374" t="str">
        <f>HYPERLINK("http://service.sap.com/sap/support/notes/1818715","1818715")</f>
        <v>1818715</v>
      </c>
      <c r="E7374">
        <v>1</v>
      </c>
      <c r="F7374" t="s">
        <v>8802</v>
      </c>
    </row>
    <row r="7375" spans="1:6" x14ac:dyDescent="0.25">
      <c r="A7375" t="s">
        <v>6446</v>
      </c>
      <c r="B7375" t="s">
        <v>8803</v>
      </c>
      <c r="C7375" t="s">
        <v>201</v>
      </c>
      <c r="D7375" t="str">
        <f>HYPERLINK("http://service.sap.com/sap/support/notes/1604131","1604131")</f>
        <v>1604131</v>
      </c>
      <c r="E7375">
        <v>12</v>
      </c>
      <c r="F7375" t="s">
        <v>8804</v>
      </c>
    </row>
    <row r="7376" spans="1:6" x14ac:dyDescent="0.25">
      <c r="A7376" t="s">
        <v>6446</v>
      </c>
      <c r="B7376" t="s">
        <v>3981</v>
      </c>
      <c r="C7376" t="s">
        <v>3982</v>
      </c>
    </row>
    <row r="7377" spans="1:6" x14ac:dyDescent="0.25">
      <c r="A7377" t="s">
        <v>6446</v>
      </c>
      <c r="B7377" t="s">
        <v>3983</v>
      </c>
      <c r="C7377" t="s">
        <v>198</v>
      </c>
      <c r="D7377" t="str">
        <f>HYPERLINK("http://service.sap.com/sap/support/notes/1775213","1775213")</f>
        <v>1775213</v>
      </c>
      <c r="E7377">
        <v>1</v>
      </c>
      <c r="F7377" t="s">
        <v>8805</v>
      </c>
    </row>
    <row r="7378" spans="1:6" x14ac:dyDescent="0.25">
      <c r="A7378" t="s">
        <v>6446</v>
      </c>
      <c r="B7378" t="s">
        <v>3983</v>
      </c>
      <c r="C7378" t="s">
        <v>198</v>
      </c>
      <c r="D7378" t="str">
        <f>HYPERLINK("http://service.sap.com/sap/support/notes/1830875","1830875")</f>
        <v>1830875</v>
      </c>
      <c r="E7378">
        <v>2</v>
      </c>
      <c r="F7378" t="s">
        <v>8806</v>
      </c>
    </row>
    <row r="7379" spans="1:6" x14ac:dyDescent="0.25">
      <c r="A7379" t="s">
        <v>6446</v>
      </c>
      <c r="B7379" t="s">
        <v>6330</v>
      </c>
      <c r="C7379" t="s">
        <v>6331</v>
      </c>
      <c r="D7379" t="str">
        <f>HYPERLINK("http://service.sap.com/sap/support/notes/1728452","1728452")</f>
        <v>1728452</v>
      </c>
      <c r="E7379">
        <v>2</v>
      </c>
      <c r="F7379" t="s">
        <v>8807</v>
      </c>
    </row>
    <row r="7380" spans="1:6" x14ac:dyDescent="0.25">
      <c r="A7380" t="s">
        <v>6446</v>
      </c>
      <c r="B7380" t="s">
        <v>6330</v>
      </c>
      <c r="C7380" t="s">
        <v>6331</v>
      </c>
      <c r="D7380" t="str">
        <f>HYPERLINK("http://service.sap.com/sap/support/notes/1804509","1804509")</f>
        <v>1804509</v>
      </c>
      <c r="E7380">
        <v>2</v>
      </c>
      <c r="F7380" t="s">
        <v>8808</v>
      </c>
    </row>
    <row r="7381" spans="1:6" x14ac:dyDescent="0.25">
      <c r="A7381" t="s">
        <v>6446</v>
      </c>
      <c r="B7381" t="s">
        <v>6330</v>
      </c>
      <c r="C7381" t="s">
        <v>6331</v>
      </c>
      <c r="D7381" t="str">
        <f>HYPERLINK("http://service.sap.com/sap/support/notes/1827937","1827937")</f>
        <v>1827937</v>
      </c>
      <c r="E7381">
        <v>2</v>
      </c>
      <c r="F7381" t="s">
        <v>8809</v>
      </c>
    </row>
    <row r="7382" spans="1:6" x14ac:dyDescent="0.25">
      <c r="A7382" t="s">
        <v>6446</v>
      </c>
      <c r="B7382" t="s">
        <v>3992</v>
      </c>
      <c r="C7382" t="s">
        <v>3993</v>
      </c>
    </row>
    <row r="7383" spans="1:6" x14ac:dyDescent="0.25">
      <c r="A7383" t="s">
        <v>6446</v>
      </c>
      <c r="B7383" t="s">
        <v>3994</v>
      </c>
      <c r="C7383" t="s">
        <v>198</v>
      </c>
      <c r="D7383" t="str">
        <f>HYPERLINK("http://service.sap.com/sap/support/notes/1681457","1681457")</f>
        <v>1681457</v>
      </c>
      <c r="E7383">
        <v>1</v>
      </c>
      <c r="F7383" t="s">
        <v>8810</v>
      </c>
    </row>
    <row r="7384" spans="1:6" x14ac:dyDescent="0.25">
      <c r="A7384" t="s">
        <v>6446</v>
      </c>
      <c r="B7384" t="s">
        <v>3994</v>
      </c>
      <c r="C7384" t="s">
        <v>198</v>
      </c>
      <c r="D7384" t="str">
        <f>HYPERLINK("http://service.sap.com/sap/support/notes/1787231","1787231")</f>
        <v>1787231</v>
      </c>
      <c r="E7384">
        <v>2</v>
      </c>
      <c r="F7384" t="s">
        <v>8811</v>
      </c>
    </row>
    <row r="7385" spans="1:6" x14ac:dyDescent="0.25">
      <c r="A7385" t="s">
        <v>6446</v>
      </c>
      <c r="B7385" t="s">
        <v>3994</v>
      </c>
      <c r="C7385" t="s">
        <v>198</v>
      </c>
      <c r="D7385" t="str">
        <f>HYPERLINK("http://service.sap.com/sap/support/notes/1794212","1794212")</f>
        <v>1794212</v>
      </c>
      <c r="E7385">
        <v>2</v>
      </c>
      <c r="F7385" t="s">
        <v>8812</v>
      </c>
    </row>
    <row r="7386" spans="1:6" x14ac:dyDescent="0.25">
      <c r="A7386" t="s">
        <v>6446</v>
      </c>
      <c r="B7386" t="s">
        <v>3996</v>
      </c>
      <c r="C7386" t="s">
        <v>2999</v>
      </c>
      <c r="D7386" t="str">
        <f>HYPERLINK("http://service.sap.com/sap/support/notes/1760601","1760601")</f>
        <v>1760601</v>
      </c>
      <c r="E7386">
        <v>2</v>
      </c>
      <c r="F7386" t="s">
        <v>8813</v>
      </c>
    </row>
    <row r="7387" spans="1:6" x14ac:dyDescent="0.25">
      <c r="A7387" t="s">
        <v>6446</v>
      </c>
      <c r="B7387" t="s">
        <v>3996</v>
      </c>
      <c r="C7387" t="s">
        <v>2999</v>
      </c>
      <c r="D7387" t="str">
        <f>HYPERLINK("http://service.sap.com/sap/support/notes/1771583","1771583")</f>
        <v>1771583</v>
      </c>
      <c r="E7387">
        <v>2</v>
      </c>
      <c r="F7387" t="s">
        <v>8814</v>
      </c>
    </row>
    <row r="7388" spans="1:6" x14ac:dyDescent="0.25">
      <c r="A7388" t="s">
        <v>6446</v>
      </c>
      <c r="B7388" t="s">
        <v>3996</v>
      </c>
      <c r="C7388" t="s">
        <v>2999</v>
      </c>
      <c r="D7388" t="str">
        <f>HYPERLINK("http://service.sap.com/sap/support/notes/1771841","1771841")</f>
        <v>1771841</v>
      </c>
      <c r="E7388">
        <v>3</v>
      </c>
      <c r="F7388" t="s">
        <v>8815</v>
      </c>
    </row>
    <row r="7389" spans="1:6" x14ac:dyDescent="0.25">
      <c r="A7389" t="s">
        <v>6446</v>
      </c>
      <c r="B7389" t="s">
        <v>3996</v>
      </c>
      <c r="C7389" t="s">
        <v>2999</v>
      </c>
      <c r="D7389" t="str">
        <f>HYPERLINK("http://service.sap.com/sap/support/notes/1825358","1825358")</f>
        <v>1825358</v>
      </c>
      <c r="E7389">
        <v>2</v>
      </c>
      <c r="F7389" t="s">
        <v>8816</v>
      </c>
    </row>
    <row r="7390" spans="1:6" x14ac:dyDescent="0.25">
      <c r="A7390" t="s">
        <v>6446</v>
      </c>
      <c r="B7390" t="s">
        <v>4005</v>
      </c>
      <c r="C7390" t="s">
        <v>4006</v>
      </c>
      <c r="D7390" t="str">
        <f>HYPERLINK("http://service.sap.com/sap/support/notes/1732152","1732152")</f>
        <v>1732152</v>
      </c>
      <c r="E7390">
        <v>8</v>
      </c>
      <c r="F7390" t="s">
        <v>8817</v>
      </c>
    </row>
    <row r="7391" spans="1:6" x14ac:dyDescent="0.25">
      <c r="A7391" t="s">
        <v>6446</v>
      </c>
      <c r="B7391" t="s">
        <v>4005</v>
      </c>
      <c r="C7391" t="s">
        <v>4006</v>
      </c>
      <c r="D7391" t="str">
        <f>HYPERLINK("http://service.sap.com/sap/support/notes/1767238","1767238")</f>
        <v>1767238</v>
      </c>
      <c r="E7391">
        <v>3</v>
      </c>
      <c r="F7391" t="s">
        <v>8818</v>
      </c>
    </row>
    <row r="7392" spans="1:6" x14ac:dyDescent="0.25">
      <c r="A7392" t="s">
        <v>6446</v>
      </c>
      <c r="B7392" t="s">
        <v>4005</v>
      </c>
      <c r="C7392" t="s">
        <v>4006</v>
      </c>
      <c r="D7392" t="str">
        <f>HYPERLINK("http://service.sap.com/sap/support/notes/1795399","1795399")</f>
        <v>1795399</v>
      </c>
      <c r="E7392">
        <v>4</v>
      </c>
      <c r="F7392" t="s">
        <v>8819</v>
      </c>
    </row>
    <row r="7393" spans="1:6" x14ac:dyDescent="0.25">
      <c r="A7393" t="s">
        <v>6446</v>
      </c>
      <c r="B7393" t="s">
        <v>4005</v>
      </c>
      <c r="C7393" t="s">
        <v>4006</v>
      </c>
      <c r="D7393" t="str">
        <f>HYPERLINK("http://service.sap.com/sap/support/notes/1800702","1800702")</f>
        <v>1800702</v>
      </c>
      <c r="E7393">
        <v>3</v>
      </c>
      <c r="F7393" t="s">
        <v>8820</v>
      </c>
    </row>
    <row r="7394" spans="1:6" x14ac:dyDescent="0.25">
      <c r="A7394" t="s">
        <v>6446</v>
      </c>
      <c r="B7394" t="s">
        <v>4005</v>
      </c>
      <c r="C7394" t="s">
        <v>4006</v>
      </c>
      <c r="D7394" t="str">
        <f>HYPERLINK("http://service.sap.com/sap/support/notes/1812262","1812262")</f>
        <v>1812262</v>
      </c>
      <c r="E7394">
        <v>1</v>
      </c>
      <c r="F7394" t="s">
        <v>8821</v>
      </c>
    </row>
    <row r="7395" spans="1:6" x14ac:dyDescent="0.25">
      <c r="A7395" t="s">
        <v>6446</v>
      </c>
      <c r="B7395" t="s">
        <v>4005</v>
      </c>
      <c r="C7395" t="s">
        <v>4006</v>
      </c>
      <c r="D7395" t="str">
        <f>HYPERLINK("http://service.sap.com/sap/support/notes/1812462","1812462")</f>
        <v>1812462</v>
      </c>
      <c r="E7395">
        <v>3</v>
      </c>
      <c r="F7395" t="s">
        <v>8822</v>
      </c>
    </row>
    <row r="7396" spans="1:6" x14ac:dyDescent="0.25">
      <c r="A7396" t="s">
        <v>6446</v>
      </c>
      <c r="B7396" t="s">
        <v>4005</v>
      </c>
      <c r="C7396" t="s">
        <v>4006</v>
      </c>
      <c r="D7396" t="str">
        <f>HYPERLINK("http://service.sap.com/sap/support/notes/1827562","1827562")</f>
        <v>1827562</v>
      </c>
      <c r="E7396">
        <v>1</v>
      </c>
      <c r="F7396" t="s">
        <v>8823</v>
      </c>
    </row>
    <row r="7397" spans="1:6" x14ac:dyDescent="0.25">
      <c r="A7397" t="s">
        <v>6446</v>
      </c>
      <c r="B7397" t="s">
        <v>4019</v>
      </c>
      <c r="C7397" t="s">
        <v>201</v>
      </c>
      <c r="D7397" t="str">
        <f>HYPERLINK("http://service.sap.com/sap/support/notes/1792721","1792721")</f>
        <v>1792721</v>
      </c>
      <c r="E7397">
        <v>5</v>
      </c>
      <c r="F7397" t="s">
        <v>8824</v>
      </c>
    </row>
    <row r="7398" spans="1:6" x14ac:dyDescent="0.25">
      <c r="A7398" t="s">
        <v>6446</v>
      </c>
      <c r="B7398" t="s">
        <v>4019</v>
      </c>
      <c r="C7398" t="s">
        <v>201</v>
      </c>
      <c r="D7398" t="str">
        <f>HYPERLINK("http://service.sap.com/sap/support/notes/1797477","1797477")</f>
        <v>1797477</v>
      </c>
      <c r="E7398">
        <v>3</v>
      </c>
      <c r="F7398" t="s">
        <v>8825</v>
      </c>
    </row>
    <row r="7399" spans="1:6" x14ac:dyDescent="0.25">
      <c r="A7399" t="s">
        <v>6446</v>
      </c>
      <c r="B7399" t="s">
        <v>4019</v>
      </c>
      <c r="C7399" t="s">
        <v>201</v>
      </c>
      <c r="D7399" t="str">
        <f>HYPERLINK("http://service.sap.com/sap/support/notes/1797935","1797935")</f>
        <v>1797935</v>
      </c>
      <c r="E7399">
        <v>1</v>
      </c>
      <c r="F7399" t="s">
        <v>8826</v>
      </c>
    </row>
    <row r="7400" spans="1:6" x14ac:dyDescent="0.25">
      <c r="A7400" t="s">
        <v>6446</v>
      </c>
      <c r="B7400" t="s">
        <v>4019</v>
      </c>
      <c r="C7400" t="s">
        <v>201</v>
      </c>
      <c r="D7400" t="str">
        <f>HYPERLINK("http://service.sap.com/sap/support/notes/1797938","1797938")</f>
        <v>1797938</v>
      </c>
      <c r="E7400">
        <v>3</v>
      </c>
      <c r="F7400" t="s">
        <v>8827</v>
      </c>
    </row>
    <row r="7401" spans="1:6" x14ac:dyDescent="0.25">
      <c r="A7401" t="s">
        <v>6446</v>
      </c>
      <c r="B7401" t="s">
        <v>4019</v>
      </c>
      <c r="C7401" t="s">
        <v>201</v>
      </c>
      <c r="D7401" t="str">
        <f>HYPERLINK("http://service.sap.com/sap/support/notes/1798475","1798475")</f>
        <v>1798475</v>
      </c>
      <c r="E7401">
        <v>1</v>
      </c>
      <c r="F7401" t="s">
        <v>8828</v>
      </c>
    </row>
    <row r="7402" spans="1:6" x14ac:dyDescent="0.25">
      <c r="A7402" t="s">
        <v>6446</v>
      </c>
      <c r="B7402" t="s">
        <v>4019</v>
      </c>
      <c r="C7402" t="s">
        <v>201</v>
      </c>
      <c r="D7402" t="str">
        <f>HYPERLINK("http://service.sap.com/sap/support/notes/1805577","1805577")</f>
        <v>1805577</v>
      </c>
      <c r="E7402">
        <v>2</v>
      </c>
      <c r="F7402" t="s">
        <v>8829</v>
      </c>
    </row>
    <row r="7403" spans="1:6" x14ac:dyDescent="0.25">
      <c r="A7403" t="s">
        <v>6446</v>
      </c>
      <c r="B7403" t="s">
        <v>4019</v>
      </c>
      <c r="C7403" t="s">
        <v>201</v>
      </c>
      <c r="D7403" t="str">
        <f>HYPERLINK("http://service.sap.com/sap/support/notes/1806618","1806618")</f>
        <v>1806618</v>
      </c>
      <c r="E7403">
        <v>1</v>
      </c>
      <c r="F7403" t="s">
        <v>8830</v>
      </c>
    </row>
    <row r="7404" spans="1:6" x14ac:dyDescent="0.25">
      <c r="A7404" t="s">
        <v>6446</v>
      </c>
      <c r="B7404" t="s">
        <v>4019</v>
      </c>
      <c r="C7404" t="s">
        <v>201</v>
      </c>
      <c r="D7404" t="str">
        <f>HYPERLINK("http://service.sap.com/sap/support/notes/1807568","1807568")</f>
        <v>1807568</v>
      </c>
      <c r="E7404">
        <v>1</v>
      </c>
      <c r="F7404" t="s">
        <v>8830</v>
      </c>
    </row>
    <row r="7405" spans="1:6" x14ac:dyDescent="0.25">
      <c r="A7405" t="s">
        <v>6446</v>
      </c>
      <c r="B7405" t="s">
        <v>4019</v>
      </c>
      <c r="C7405" t="s">
        <v>201</v>
      </c>
      <c r="D7405" t="str">
        <f>HYPERLINK("http://service.sap.com/sap/support/notes/1808700","1808700")</f>
        <v>1808700</v>
      </c>
      <c r="E7405">
        <v>2</v>
      </c>
      <c r="F7405" t="s">
        <v>8831</v>
      </c>
    </row>
    <row r="7406" spans="1:6" x14ac:dyDescent="0.25">
      <c r="A7406" t="s">
        <v>6446</v>
      </c>
      <c r="B7406" t="s">
        <v>4019</v>
      </c>
      <c r="C7406" t="s">
        <v>201</v>
      </c>
      <c r="D7406" t="str">
        <f>HYPERLINK("http://service.sap.com/sap/support/notes/1809882","1809882")</f>
        <v>1809882</v>
      </c>
      <c r="E7406">
        <v>3</v>
      </c>
      <c r="F7406" t="s">
        <v>8832</v>
      </c>
    </row>
    <row r="7407" spans="1:6" x14ac:dyDescent="0.25">
      <c r="A7407" t="s">
        <v>6446</v>
      </c>
      <c r="B7407" t="s">
        <v>4019</v>
      </c>
      <c r="C7407" t="s">
        <v>201</v>
      </c>
      <c r="D7407" t="str">
        <f>HYPERLINK("http://service.sap.com/sap/support/notes/1811444","1811444")</f>
        <v>1811444</v>
      </c>
      <c r="E7407">
        <v>2</v>
      </c>
      <c r="F7407" t="s">
        <v>8833</v>
      </c>
    </row>
    <row r="7408" spans="1:6" x14ac:dyDescent="0.25">
      <c r="A7408" t="s">
        <v>6446</v>
      </c>
      <c r="B7408" t="s">
        <v>4019</v>
      </c>
      <c r="C7408" t="s">
        <v>201</v>
      </c>
      <c r="D7408" t="str">
        <f>HYPERLINK("http://service.sap.com/sap/support/notes/1818922","1818922")</f>
        <v>1818922</v>
      </c>
      <c r="E7408">
        <v>1</v>
      </c>
      <c r="F7408" t="s">
        <v>8834</v>
      </c>
    </row>
    <row r="7409" spans="1:6" x14ac:dyDescent="0.25">
      <c r="A7409" t="s">
        <v>6446</v>
      </c>
      <c r="B7409" t="s">
        <v>4019</v>
      </c>
      <c r="C7409" t="s">
        <v>201</v>
      </c>
      <c r="D7409" t="str">
        <f>HYPERLINK("http://service.sap.com/sap/support/notes/1821792","1821792")</f>
        <v>1821792</v>
      </c>
      <c r="E7409">
        <v>2</v>
      </c>
      <c r="F7409" t="s">
        <v>8835</v>
      </c>
    </row>
    <row r="7410" spans="1:6" x14ac:dyDescent="0.25">
      <c r="A7410" t="s">
        <v>6446</v>
      </c>
      <c r="B7410" t="s">
        <v>4019</v>
      </c>
      <c r="C7410" t="s">
        <v>201</v>
      </c>
      <c r="D7410" t="str">
        <f>HYPERLINK("http://service.sap.com/sap/support/notes/1826092","1826092")</f>
        <v>1826092</v>
      </c>
      <c r="E7410">
        <v>1</v>
      </c>
      <c r="F7410" t="s">
        <v>8836</v>
      </c>
    </row>
    <row r="7411" spans="1:6" x14ac:dyDescent="0.25">
      <c r="A7411" t="s">
        <v>6446</v>
      </c>
      <c r="B7411" t="s">
        <v>4019</v>
      </c>
      <c r="C7411" t="s">
        <v>201</v>
      </c>
      <c r="D7411" t="str">
        <f>HYPERLINK("http://service.sap.com/sap/support/notes/1826316","1826316")</f>
        <v>1826316</v>
      </c>
      <c r="E7411">
        <v>1</v>
      </c>
      <c r="F7411" t="s">
        <v>8837</v>
      </c>
    </row>
    <row r="7412" spans="1:6" x14ac:dyDescent="0.25">
      <c r="A7412" t="s">
        <v>6446</v>
      </c>
      <c r="B7412" t="s">
        <v>8838</v>
      </c>
      <c r="C7412" t="s">
        <v>8839</v>
      </c>
      <c r="D7412" t="str">
        <f>HYPERLINK("http://service.sap.com/sap/support/notes/1804800","1804800")</f>
        <v>1804800</v>
      </c>
      <c r="E7412">
        <v>1</v>
      </c>
      <c r="F7412" t="s">
        <v>8840</v>
      </c>
    </row>
    <row r="7413" spans="1:6" x14ac:dyDescent="0.25">
      <c r="A7413" t="s">
        <v>6446</v>
      </c>
      <c r="B7413" t="s">
        <v>4053</v>
      </c>
      <c r="C7413" t="s">
        <v>4054</v>
      </c>
      <c r="D7413" t="str">
        <f>HYPERLINK("http://service.sap.com/sap/support/notes/1784853","1784853")</f>
        <v>1784853</v>
      </c>
      <c r="E7413">
        <v>1</v>
      </c>
      <c r="F7413" t="s">
        <v>8841</v>
      </c>
    </row>
    <row r="7414" spans="1:6" x14ac:dyDescent="0.25">
      <c r="A7414" t="s">
        <v>6446</v>
      </c>
      <c r="B7414" t="s">
        <v>4060</v>
      </c>
      <c r="C7414" t="s">
        <v>198</v>
      </c>
      <c r="D7414" t="str">
        <f>HYPERLINK("http://service.sap.com/sap/support/notes/1770386","1770386")</f>
        <v>1770386</v>
      </c>
      <c r="E7414">
        <v>8</v>
      </c>
      <c r="F7414" t="s">
        <v>8842</v>
      </c>
    </row>
    <row r="7415" spans="1:6" x14ac:dyDescent="0.25">
      <c r="A7415" t="s">
        <v>6446</v>
      </c>
      <c r="B7415" t="s">
        <v>4060</v>
      </c>
      <c r="C7415" t="s">
        <v>198</v>
      </c>
      <c r="D7415" t="str">
        <f>HYPERLINK("http://service.sap.com/sap/support/notes/1781475","1781475")</f>
        <v>1781475</v>
      </c>
      <c r="E7415">
        <v>2</v>
      </c>
      <c r="F7415" t="s">
        <v>8843</v>
      </c>
    </row>
    <row r="7416" spans="1:6" x14ac:dyDescent="0.25">
      <c r="A7416" t="s">
        <v>6446</v>
      </c>
      <c r="B7416" t="s">
        <v>4060</v>
      </c>
      <c r="C7416" t="s">
        <v>198</v>
      </c>
      <c r="D7416" t="str">
        <f>HYPERLINK("http://service.sap.com/sap/support/notes/1785556","1785556")</f>
        <v>1785556</v>
      </c>
      <c r="E7416">
        <v>2</v>
      </c>
      <c r="F7416" t="s">
        <v>8844</v>
      </c>
    </row>
    <row r="7417" spans="1:6" x14ac:dyDescent="0.25">
      <c r="A7417" t="s">
        <v>6446</v>
      </c>
      <c r="B7417" t="s">
        <v>4060</v>
      </c>
      <c r="C7417" t="s">
        <v>198</v>
      </c>
      <c r="D7417" t="str">
        <f>HYPERLINK("http://service.sap.com/sap/support/notes/1785988","1785988")</f>
        <v>1785988</v>
      </c>
      <c r="E7417">
        <v>5</v>
      </c>
      <c r="F7417" t="s">
        <v>8845</v>
      </c>
    </row>
    <row r="7418" spans="1:6" x14ac:dyDescent="0.25">
      <c r="A7418" t="s">
        <v>6446</v>
      </c>
      <c r="B7418" t="s">
        <v>4060</v>
      </c>
      <c r="C7418" t="s">
        <v>198</v>
      </c>
      <c r="D7418" t="str">
        <f>HYPERLINK("http://service.sap.com/sap/support/notes/1789858","1789858")</f>
        <v>1789858</v>
      </c>
      <c r="E7418">
        <v>3</v>
      </c>
      <c r="F7418" t="s">
        <v>8846</v>
      </c>
    </row>
    <row r="7419" spans="1:6" x14ac:dyDescent="0.25">
      <c r="A7419" t="s">
        <v>6446</v>
      </c>
      <c r="B7419" t="s">
        <v>4060</v>
      </c>
      <c r="C7419" t="s">
        <v>198</v>
      </c>
      <c r="D7419" t="str">
        <f>HYPERLINK("http://service.sap.com/sap/support/notes/1792064","1792064")</f>
        <v>1792064</v>
      </c>
      <c r="E7419">
        <v>2</v>
      </c>
      <c r="F7419" t="s">
        <v>6406</v>
      </c>
    </row>
    <row r="7420" spans="1:6" x14ac:dyDescent="0.25">
      <c r="A7420" t="s">
        <v>6446</v>
      </c>
      <c r="B7420" t="s">
        <v>4060</v>
      </c>
      <c r="C7420" t="s">
        <v>198</v>
      </c>
      <c r="D7420" t="str">
        <f>HYPERLINK("http://service.sap.com/sap/support/notes/1793287","1793287")</f>
        <v>1793287</v>
      </c>
      <c r="E7420">
        <v>2</v>
      </c>
      <c r="F7420" t="s">
        <v>8847</v>
      </c>
    </row>
    <row r="7421" spans="1:6" x14ac:dyDescent="0.25">
      <c r="A7421" t="s">
        <v>6446</v>
      </c>
      <c r="B7421" t="s">
        <v>4060</v>
      </c>
      <c r="C7421" t="s">
        <v>198</v>
      </c>
      <c r="D7421" t="str">
        <f>HYPERLINK("http://service.sap.com/sap/support/notes/1793491","1793491")</f>
        <v>1793491</v>
      </c>
      <c r="E7421">
        <v>25</v>
      </c>
      <c r="F7421" t="s">
        <v>6409</v>
      </c>
    </row>
    <row r="7422" spans="1:6" x14ac:dyDescent="0.25">
      <c r="A7422" t="s">
        <v>6446</v>
      </c>
      <c r="B7422" t="s">
        <v>4060</v>
      </c>
      <c r="C7422" t="s">
        <v>198</v>
      </c>
      <c r="D7422" t="str">
        <f>HYPERLINK("http://service.sap.com/sap/support/notes/1794957","1794957")</f>
        <v>1794957</v>
      </c>
      <c r="E7422">
        <v>10</v>
      </c>
      <c r="F7422" t="s">
        <v>6413</v>
      </c>
    </row>
    <row r="7423" spans="1:6" x14ac:dyDescent="0.25">
      <c r="A7423" t="s">
        <v>6446</v>
      </c>
      <c r="B7423" t="s">
        <v>4060</v>
      </c>
      <c r="C7423" t="s">
        <v>198</v>
      </c>
      <c r="D7423" t="str">
        <f>HYPERLINK("http://service.sap.com/sap/support/notes/1797374","1797374")</f>
        <v>1797374</v>
      </c>
      <c r="E7423">
        <v>2</v>
      </c>
      <c r="F7423" t="s">
        <v>8848</v>
      </c>
    </row>
    <row r="7424" spans="1:6" x14ac:dyDescent="0.25">
      <c r="A7424" t="s">
        <v>6446</v>
      </c>
      <c r="B7424" t="s">
        <v>4060</v>
      </c>
      <c r="C7424" t="s">
        <v>198</v>
      </c>
      <c r="D7424" t="str">
        <f>HYPERLINK("http://service.sap.com/sap/support/notes/1797498","1797498")</f>
        <v>1797498</v>
      </c>
      <c r="E7424">
        <v>4</v>
      </c>
      <c r="F7424" t="s">
        <v>8849</v>
      </c>
    </row>
    <row r="7425" spans="1:6" x14ac:dyDescent="0.25">
      <c r="A7425" t="s">
        <v>6446</v>
      </c>
      <c r="B7425" t="s">
        <v>4060</v>
      </c>
      <c r="C7425" t="s">
        <v>198</v>
      </c>
      <c r="D7425" t="str">
        <f>HYPERLINK("http://service.sap.com/sap/support/notes/1798084","1798084")</f>
        <v>1798084</v>
      </c>
      <c r="E7425">
        <v>2</v>
      </c>
      <c r="F7425" t="s">
        <v>8850</v>
      </c>
    </row>
    <row r="7426" spans="1:6" x14ac:dyDescent="0.25">
      <c r="A7426" t="s">
        <v>6446</v>
      </c>
      <c r="B7426" t="s">
        <v>4060</v>
      </c>
      <c r="C7426" t="s">
        <v>198</v>
      </c>
      <c r="D7426" t="str">
        <f>HYPERLINK("http://service.sap.com/sap/support/notes/1798472","1798472")</f>
        <v>1798472</v>
      </c>
      <c r="E7426">
        <v>5</v>
      </c>
      <c r="F7426" t="s">
        <v>8851</v>
      </c>
    </row>
    <row r="7427" spans="1:6" x14ac:dyDescent="0.25">
      <c r="A7427" t="s">
        <v>6446</v>
      </c>
      <c r="B7427" t="s">
        <v>4060</v>
      </c>
      <c r="C7427" t="s">
        <v>198</v>
      </c>
      <c r="D7427" t="str">
        <f>HYPERLINK("http://service.sap.com/sap/support/notes/1798536","1798536")</f>
        <v>1798536</v>
      </c>
      <c r="E7427">
        <v>2</v>
      </c>
      <c r="F7427" t="s">
        <v>8852</v>
      </c>
    </row>
    <row r="7428" spans="1:6" x14ac:dyDescent="0.25">
      <c r="A7428" t="s">
        <v>6446</v>
      </c>
      <c r="B7428" t="s">
        <v>4060</v>
      </c>
      <c r="C7428" t="s">
        <v>198</v>
      </c>
      <c r="D7428" t="str">
        <f>HYPERLINK("http://service.sap.com/sap/support/notes/1798539","1798539")</f>
        <v>1798539</v>
      </c>
      <c r="E7428">
        <v>6</v>
      </c>
      <c r="F7428" t="s">
        <v>8853</v>
      </c>
    </row>
    <row r="7429" spans="1:6" x14ac:dyDescent="0.25">
      <c r="A7429" t="s">
        <v>6446</v>
      </c>
      <c r="B7429" t="s">
        <v>4060</v>
      </c>
      <c r="C7429" t="s">
        <v>198</v>
      </c>
      <c r="D7429" t="str">
        <f>HYPERLINK("http://service.sap.com/sap/support/notes/1799330","1799330")</f>
        <v>1799330</v>
      </c>
      <c r="E7429">
        <v>5</v>
      </c>
      <c r="F7429" t="s">
        <v>8854</v>
      </c>
    </row>
    <row r="7430" spans="1:6" x14ac:dyDescent="0.25">
      <c r="A7430" t="s">
        <v>6446</v>
      </c>
      <c r="B7430" t="s">
        <v>4060</v>
      </c>
      <c r="C7430" t="s">
        <v>198</v>
      </c>
      <c r="D7430" t="str">
        <f>HYPERLINK("http://service.sap.com/sap/support/notes/1800078","1800078")</f>
        <v>1800078</v>
      </c>
      <c r="E7430">
        <v>2</v>
      </c>
      <c r="F7430" t="s">
        <v>8855</v>
      </c>
    </row>
    <row r="7431" spans="1:6" x14ac:dyDescent="0.25">
      <c r="A7431" t="s">
        <v>6446</v>
      </c>
      <c r="B7431" t="s">
        <v>4060</v>
      </c>
      <c r="C7431" t="s">
        <v>198</v>
      </c>
      <c r="D7431" t="str">
        <f>HYPERLINK("http://service.sap.com/sap/support/notes/1800993","1800993")</f>
        <v>1800993</v>
      </c>
      <c r="E7431">
        <v>1</v>
      </c>
      <c r="F7431" t="s">
        <v>8856</v>
      </c>
    </row>
    <row r="7432" spans="1:6" x14ac:dyDescent="0.25">
      <c r="A7432" t="s">
        <v>6446</v>
      </c>
      <c r="B7432" t="s">
        <v>4060</v>
      </c>
      <c r="C7432" t="s">
        <v>198</v>
      </c>
      <c r="D7432" t="str">
        <f>HYPERLINK("http://service.sap.com/sap/support/notes/1801313","1801313")</f>
        <v>1801313</v>
      </c>
      <c r="E7432">
        <v>2</v>
      </c>
      <c r="F7432" t="s">
        <v>8857</v>
      </c>
    </row>
    <row r="7433" spans="1:6" x14ac:dyDescent="0.25">
      <c r="A7433" t="s">
        <v>6446</v>
      </c>
      <c r="B7433" t="s">
        <v>4060</v>
      </c>
      <c r="C7433" t="s">
        <v>198</v>
      </c>
      <c r="D7433" t="str">
        <f>HYPERLINK("http://service.sap.com/sap/support/notes/1801551","1801551")</f>
        <v>1801551</v>
      </c>
      <c r="E7433">
        <v>2</v>
      </c>
      <c r="F7433" t="s">
        <v>8858</v>
      </c>
    </row>
    <row r="7434" spans="1:6" x14ac:dyDescent="0.25">
      <c r="A7434" t="s">
        <v>6446</v>
      </c>
      <c r="B7434" t="s">
        <v>4060</v>
      </c>
      <c r="C7434" t="s">
        <v>198</v>
      </c>
      <c r="D7434" t="str">
        <f>HYPERLINK("http://service.sap.com/sap/support/notes/1801834","1801834")</f>
        <v>1801834</v>
      </c>
      <c r="E7434">
        <v>7</v>
      </c>
      <c r="F7434" t="s">
        <v>8859</v>
      </c>
    </row>
    <row r="7435" spans="1:6" x14ac:dyDescent="0.25">
      <c r="A7435" t="s">
        <v>6446</v>
      </c>
      <c r="B7435" t="s">
        <v>4060</v>
      </c>
      <c r="C7435" t="s">
        <v>198</v>
      </c>
      <c r="D7435" t="str">
        <f>HYPERLINK("http://service.sap.com/sap/support/notes/1802867","1802867")</f>
        <v>1802867</v>
      </c>
      <c r="E7435">
        <v>1</v>
      </c>
      <c r="F7435" t="s">
        <v>8860</v>
      </c>
    </row>
    <row r="7436" spans="1:6" x14ac:dyDescent="0.25">
      <c r="A7436" t="s">
        <v>6446</v>
      </c>
      <c r="B7436" t="s">
        <v>4060</v>
      </c>
      <c r="C7436" t="s">
        <v>198</v>
      </c>
      <c r="D7436" t="str">
        <f>HYPERLINK("http://service.sap.com/sap/support/notes/1802994","1802994")</f>
        <v>1802994</v>
      </c>
      <c r="E7436">
        <v>4</v>
      </c>
      <c r="F7436" t="s">
        <v>8861</v>
      </c>
    </row>
    <row r="7437" spans="1:6" x14ac:dyDescent="0.25">
      <c r="A7437" t="s">
        <v>6446</v>
      </c>
      <c r="B7437" t="s">
        <v>4060</v>
      </c>
      <c r="C7437" t="s">
        <v>198</v>
      </c>
      <c r="D7437" t="str">
        <f>HYPERLINK("http://service.sap.com/sap/support/notes/1803378","1803378")</f>
        <v>1803378</v>
      </c>
      <c r="E7437">
        <v>2</v>
      </c>
      <c r="F7437" t="s">
        <v>8862</v>
      </c>
    </row>
    <row r="7438" spans="1:6" x14ac:dyDescent="0.25">
      <c r="A7438" t="s">
        <v>6446</v>
      </c>
      <c r="B7438" t="s">
        <v>4060</v>
      </c>
      <c r="C7438" t="s">
        <v>198</v>
      </c>
      <c r="D7438" t="str">
        <f>HYPERLINK("http://service.sap.com/sap/support/notes/1803783","1803783")</f>
        <v>1803783</v>
      </c>
      <c r="E7438">
        <v>2</v>
      </c>
      <c r="F7438" t="s">
        <v>8863</v>
      </c>
    </row>
    <row r="7439" spans="1:6" x14ac:dyDescent="0.25">
      <c r="A7439" t="s">
        <v>6446</v>
      </c>
      <c r="B7439" t="s">
        <v>4060</v>
      </c>
      <c r="C7439" t="s">
        <v>198</v>
      </c>
      <c r="D7439" t="str">
        <f>HYPERLINK("http://service.sap.com/sap/support/notes/1803962","1803962")</f>
        <v>1803962</v>
      </c>
      <c r="E7439">
        <v>1</v>
      </c>
      <c r="F7439" t="s">
        <v>8864</v>
      </c>
    </row>
    <row r="7440" spans="1:6" x14ac:dyDescent="0.25">
      <c r="A7440" t="s">
        <v>6446</v>
      </c>
      <c r="B7440" t="s">
        <v>4060</v>
      </c>
      <c r="C7440" t="s">
        <v>198</v>
      </c>
      <c r="D7440" t="str">
        <f>HYPERLINK("http://service.sap.com/sap/support/notes/1804322","1804322")</f>
        <v>1804322</v>
      </c>
      <c r="E7440">
        <v>4</v>
      </c>
      <c r="F7440" t="s">
        <v>8865</v>
      </c>
    </row>
    <row r="7441" spans="1:6" x14ac:dyDescent="0.25">
      <c r="A7441" t="s">
        <v>6446</v>
      </c>
      <c r="B7441" t="s">
        <v>4060</v>
      </c>
      <c r="C7441" t="s">
        <v>198</v>
      </c>
      <c r="D7441" t="str">
        <f>HYPERLINK("http://service.sap.com/sap/support/notes/1804359","1804359")</f>
        <v>1804359</v>
      </c>
      <c r="E7441">
        <v>1</v>
      </c>
      <c r="F7441" t="s">
        <v>8866</v>
      </c>
    </row>
    <row r="7442" spans="1:6" x14ac:dyDescent="0.25">
      <c r="A7442" t="s">
        <v>6446</v>
      </c>
      <c r="B7442" t="s">
        <v>4060</v>
      </c>
      <c r="C7442" t="s">
        <v>198</v>
      </c>
      <c r="D7442" t="str">
        <f>HYPERLINK("http://service.sap.com/sap/support/notes/1804464","1804464")</f>
        <v>1804464</v>
      </c>
      <c r="E7442">
        <v>3</v>
      </c>
      <c r="F7442" t="s">
        <v>8867</v>
      </c>
    </row>
    <row r="7443" spans="1:6" x14ac:dyDescent="0.25">
      <c r="A7443" t="s">
        <v>6446</v>
      </c>
      <c r="B7443" t="s">
        <v>4060</v>
      </c>
      <c r="C7443" t="s">
        <v>198</v>
      </c>
      <c r="D7443" t="str">
        <f>HYPERLINK("http://service.sap.com/sap/support/notes/1804478","1804478")</f>
        <v>1804478</v>
      </c>
      <c r="E7443">
        <v>2</v>
      </c>
      <c r="F7443" t="s">
        <v>8868</v>
      </c>
    </row>
    <row r="7444" spans="1:6" x14ac:dyDescent="0.25">
      <c r="A7444" t="s">
        <v>6446</v>
      </c>
      <c r="B7444" t="s">
        <v>4060</v>
      </c>
      <c r="C7444" t="s">
        <v>198</v>
      </c>
      <c r="D7444" t="str">
        <f>HYPERLINK("http://service.sap.com/sap/support/notes/1804837","1804837")</f>
        <v>1804837</v>
      </c>
      <c r="E7444">
        <v>1</v>
      </c>
      <c r="F7444" t="s">
        <v>8869</v>
      </c>
    </row>
    <row r="7445" spans="1:6" x14ac:dyDescent="0.25">
      <c r="A7445" t="s">
        <v>6446</v>
      </c>
      <c r="B7445" t="s">
        <v>4060</v>
      </c>
      <c r="C7445" t="s">
        <v>198</v>
      </c>
      <c r="D7445" t="str">
        <f>HYPERLINK("http://service.sap.com/sap/support/notes/1805049","1805049")</f>
        <v>1805049</v>
      </c>
      <c r="E7445">
        <v>1</v>
      </c>
      <c r="F7445" t="s">
        <v>8870</v>
      </c>
    </row>
    <row r="7446" spans="1:6" x14ac:dyDescent="0.25">
      <c r="A7446" t="s">
        <v>6446</v>
      </c>
      <c r="B7446" t="s">
        <v>4060</v>
      </c>
      <c r="C7446" t="s">
        <v>198</v>
      </c>
      <c r="D7446" t="str">
        <f>HYPERLINK("http://service.sap.com/sap/support/notes/1805082","1805082")</f>
        <v>1805082</v>
      </c>
      <c r="E7446">
        <v>5</v>
      </c>
      <c r="F7446" t="s">
        <v>8871</v>
      </c>
    </row>
    <row r="7447" spans="1:6" x14ac:dyDescent="0.25">
      <c r="A7447" t="s">
        <v>6446</v>
      </c>
      <c r="B7447" t="s">
        <v>4060</v>
      </c>
      <c r="C7447" t="s">
        <v>198</v>
      </c>
      <c r="D7447" t="str">
        <f>HYPERLINK("http://service.sap.com/sap/support/notes/1805113","1805113")</f>
        <v>1805113</v>
      </c>
      <c r="E7447">
        <v>2</v>
      </c>
      <c r="F7447" t="s">
        <v>6421</v>
      </c>
    </row>
    <row r="7448" spans="1:6" x14ac:dyDescent="0.25">
      <c r="A7448" t="s">
        <v>6446</v>
      </c>
      <c r="B7448" t="s">
        <v>4060</v>
      </c>
      <c r="C7448" t="s">
        <v>198</v>
      </c>
      <c r="D7448" t="str">
        <f>HYPERLINK("http://service.sap.com/sap/support/notes/1807572","1807572")</f>
        <v>1807572</v>
      </c>
      <c r="E7448">
        <v>1</v>
      </c>
      <c r="F7448" t="s">
        <v>8872</v>
      </c>
    </row>
    <row r="7449" spans="1:6" x14ac:dyDescent="0.25">
      <c r="A7449" t="s">
        <v>6446</v>
      </c>
      <c r="B7449" t="s">
        <v>4060</v>
      </c>
      <c r="C7449" t="s">
        <v>198</v>
      </c>
      <c r="D7449" t="str">
        <f>HYPERLINK("http://service.sap.com/sap/support/notes/1807646","1807646")</f>
        <v>1807646</v>
      </c>
      <c r="E7449">
        <v>1</v>
      </c>
      <c r="F7449" t="s">
        <v>8873</v>
      </c>
    </row>
    <row r="7450" spans="1:6" x14ac:dyDescent="0.25">
      <c r="A7450" t="s">
        <v>6446</v>
      </c>
      <c r="B7450" t="s">
        <v>4060</v>
      </c>
      <c r="C7450" t="s">
        <v>198</v>
      </c>
      <c r="D7450" t="str">
        <f>HYPERLINK("http://service.sap.com/sap/support/notes/1807753","1807753")</f>
        <v>1807753</v>
      </c>
      <c r="E7450">
        <v>2</v>
      </c>
      <c r="F7450" t="s">
        <v>8874</v>
      </c>
    </row>
    <row r="7451" spans="1:6" x14ac:dyDescent="0.25">
      <c r="A7451" t="s">
        <v>6446</v>
      </c>
      <c r="B7451" t="s">
        <v>4060</v>
      </c>
      <c r="C7451" t="s">
        <v>198</v>
      </c>
      <c r="D7451" t="str">
        <f>HYPERLINK("http://service.sap.com/sap/support/notes/1807782","1807782")</f>
        <v>1807782</v>
      </c>
      <c r="E7451">
        <v>5</v>
      </c>
      <c r="F7451" t="s">
        <v>8875</v>
      </c>
    </row>
    <row r="7452" spans="1:6" x14ac:dyDescent="0.25">
      <c r="A7452" t="s">
        <v>6446</v>
      </c>
      <c r="B7452" t="s">
        <v>4060</v>
      </c>
      <c r="C7452" t="s">
        <v>198</v>
      </c>
      <c r="D7452" t="str">
        <f>HYPERLINK("http://service.sap.com/sap/support/notes/1808111","1808111")</f>
        <v>1808111</v>
      </c>
      <c r="E7452">
        <v>4</v>
      </c>
      <c r="F7452" t="s">
        <v>8876</v>
      </c>
    </row>
    <row r="7453" spans="1:6" x14ac:dyDescent="0.25">
      <c r="A7453" t="s">
        <v>6446</v>
      </c>
      <c r="B7453" t="s">
        <v>4060</v>
      </c>
      <c r="C7453" t="s">
        <v>198</v>
      </c>
      <c r="D7453" t="str">
        <f>HYPERLINK("http://service.sap.com/sap/support/notes/1808371","1808371")</f>
        <v>1808371</v>
      </c>
      <c r="E7453">
        <v>2</v>
      </c>
      <c r="F7453" t="s">
        <v>8877</v>
      </c>
    </row>
    <row r="7454" spans="1:6" x14ac:dyDescent="0.25">
      <c r="A7454" t="s">
        <v>6446</v>
      </c>
      <c r="B7454" t="s">
        <v>4060</v>
      </c>
      <c r="C7454" t="s">
        <v>198</v>
      </c>
      <c r="D7454" t="str">
        <f>HYPERLINK("http://service.sap.com/sap/support/notes/1808546","1808546")</f>
        <v>1808546</v>
      </c>
      <c r="E7454">
        <v>2</v>
      </c>
      <c r="F7454" t="s">
        <v>8878</v>
      </c>
    </row>
    <row r="7455" spans="1:6" x14ac:dyDescent="0.25">
      <c r="A7455" t="s">
        <v>6446</v>
      </c>
      <c r="B7455" t="s">
        <v>4060</v>
      </c>
      <c r="C7455" t="s">
        <v>198</v>
      </c>
      <c r="D7455" t="str">
        <f>HYPERLINK("http://service.sap.com/sap/support/notes/1808661","1808661")</f>
        <v>1808661</v>
      </c>
      <c r="E7455">
        <v>2</v>
      </c>
      <c r="F7455" t="s">
        <v>8879</v>
      </c>
    </row>
    <row r="7456" spans="1:6" x14ac:dyDescent="0.25">
      <c r="A7456" t="s">
        <v>6446</v>
      </c>
      <c r="B7456" t="s">
        <v>4060</v>
      </c>
      <c r="C7456" t="s">
        <v>198</v>
      </c>
      <c r="D7456" t="str">
        <f>HYPERLINK("http://service.sap.com/sap/support/notes/1808927","1808927")</f>
        <v>1808927</v>
      </c>
      <c r="E7456">
        <v>1</v>
      </c>
      <c r="F7456" t="s">
        <v>8880</v>
      </c>
    </row>
    <row r="7457" spans="1:6" x14ac:dyDescent="0.25">
      <c r="A7457" t="s">
        <v>6446</v>
      </c>
      <c r="B7457" t="s">
        <v>4060</v>
      </c>
      <c r="C7457" t="s">
        <v>198</v>
      </c>
      <c r="D7457" t="str">
        <f>HYPERLINK("http://service.sap.com/sap/support/notes/1808959","1808959")</f>
        <v>1808959</v>
      </c>
      <c r="E7457">
        <v>1</v>
      </c>
      <c r="F7457" t="s">
        <v>8881</v>
      </c>
    </row>
    <row r="7458" spans="1:6" x14ac:dyDescent="0.25">
      <c r="A7458" t="s">
        <v>6446</v>
      </c>
      <c r="B7458" t="s">
        <v>4060</v>
      </c>
      <c r="C7458" t="s">
        <v>198</v>
      </c>
      <c r="D7458" t="str">
        <f>HYPERLINK("http://service.sap.com/sap/support/notes/1809369","1809369")</f>
        <v>1809369</v>
      </c>
      <c r="E7458">
        <v>2</v>
      </c>
      <c r="F7458" t="s">
        <v>8882</v>
      </c>
    </row>
    <row r="7459" spans="1:6" x14ac:dyDescent="0.25">
      <c r="A7459" t="s">
        <v>6446</v>
      </c>
      <c r="B7459" t="s">
        <v>4060</v>
      </c>
      <c r="C7459" t="s">
        <v>198</v>
      </c>
      <c r="D7459" t="str">
        <f>HYPERLINK("http://service.sap.com/sap/support/notes/1809771","1809771")</f>
        <v>1809771</v>
      </c>
      <c r="E7459">
        <v>3</v>
      </c>
      <c r="F7459" t="s">
        <v>8883</v>
      </c>
    </row>
    <row r="7460" spans="1:6" x14ac:dyDescent="0.25">
      <c r="A7460" t="s">
        <v>6446</v>
      </c>
      <c r="B7460" t="s">
        <v>4060</v>
      </c>
      <c r="C7460" t="s">
        <v>198</v>
      </c>
      <c r="D7460" t="str">
        <f>HYPERLINK("http://service.sap.com/sap/support/notes/1810630","1810630")</f>
        <v>1810630</v>
      </c>
      <c r="E7460">
        <v>1</v>
      </c>
      <c r="F7460" t="s">
        <v>8884</v>
      </c>
    </row>
    <row r="7461" spans="1:6" x14ac:dyDescent="0.25">
      <c r="A7461" t="s">
        <v>6446</v>
      </c>
      <c r="B7461" t="s">
        <v>4060</v>
      </c>
      <c r="C7461" t="s">
        <v>198</v>
      </c>
      <c r="D7461" t="str">
        <f>HYPERLINK("http://service.sap.com/sap/support/notes/1811589","1811589")</f>
        <v>1811589</v>
      </c>
      <c r="E7461">
        <v>3</v>
      </c>
      <c r="F7461" t="s">
        <v>8885</v>
      </c>
    </row>
    <row r="7462" spans="1:6" x14ac:dyDescent="0.25">
      <c r="A7462" t="s">
        <v>6446</v>
      </c>
      <c r="B7462" t="s">
        <v>4060</v>
      </c>
      <c r="C7462" t="s">
        <v>198</v>
      </c>
      <c r="D7462" t="str">
        <f>HYPERLINK("http://service.sap.com/sap/support/notes/1811997","1811997")</f>
        <v>1811997</v>
      </c>
      <c r="E7462">
        <v>2</v>
      </c>
      <c r="F7462" t="s">
        <v>8886</v>
      </c>
    </row>
    <row r="7463" spans="1:6" x14ac:dyDescent="0.25">
      <c r="A7463" t="s">
        <v>6446</v>
      </c>
      <c r="B7463" t="s">
        <v>4060</v>
      </c>
      <c r="C7463" t="s">
        <v>198</v>
      </c>
      <c r="D7463" t="str">
        <f>HYPERLINK("http://service.sap.com/sap/support/notes/1812042","1812042")</f>
        <v>1812042</v>
      </c>
      <c r="E7463">
        <v>2</v>
      </c>
      <c r="F7463" t="s">
        <v>8887</v>
      </c>
    </row>
    <row r="7464" spans="1:6" x14ac:dyDescent="0.25">
      <c r="A7464" t="s">
        <v>6446</v>
      </c>
      <c r="B7464" t="s">
        <v>4060</v>
      </c>
      <c r="C7464" t="s">
        <v>198</v>
      </c>
      <c r="D7464" t="str">
        <f>HYPERLINK("http://service.sap.com/sap/support/notes/1813304","1813304")</f>
        <v>1813304</v>
      </c>
      <c r="E7464">
        <v>3</v>
      </c>
      <c r="F7464" t="s">
        <v>8888</v>
      </c>
    </row>
    <row r="7465" spans="1:6" x14ac:dyDescent="0.25">
      <c r="A7465" t="s">
        <v>6446</v>
      </c>
      <c r="B7465" t="s">
        <v>4060</v>
      </c>
      <c r="C7465" t="s">
        <v>198</v>
      </c>
      <c r="D7465" t="str">
        <f>HYPERLINK("http://service.sap.com/sap/support/notes/1813423","1813423")</f>
        <v>1813423</v>
      </c>
      <c r="E7465">
        <v>19</v>
      </c>
      <c r="F7465" t="s">
        <v>8889</v>
      </c>
    </row>
    <row r="7466" spans="1:6" x14ac:dyDescent="0.25">
      <c r="A7466" t="s">
        <v>6446</v>
      </c>
      <c r="B7466" t="s">
        <v>4060</v>
      </c>
      <c r="C7466" t="s">
        <v>198</v>
      </c>
      <c r="D7466" t="str">
        <f>HYPERLINK("http://service.sap.com/sap/support/notes/1813460","1813460")</f>
        <v>1813460</v>
      </c>
      <c r="E7466">
        <v>1</v>
      </c>
      <c r="F7466" t="s">
        <v>8890</v>
      </c>
    </row>
    <row r="7467" spans="1:6" x14ac:dyDescent="0.25">
      <c r="A7467" t="s">
        <v>6446</v>
      </c>
      <c r="B7467" t="s">
        <v>4060</v>
      </c>
      <c r="C7467" t="s">
        <v>198</v>
      </c>
      <c r="D7467" t="str">
        <f>HYPERLINK("http://service.sap.com/sap/support/notes/1813853","1813853")</f>
        <v>1813853</v>
      </c>
      <c r="E7467">
        <v>2</v>
      </c>
      <c r="F7467" t="s">
        <v>8891</v>
      </c>
    </row>
    <row r="7468" spans="1:6" x14ac:dyDescent="0.25">
      <c r="A7468" t="s">
        <v>6446</v>
      </c>
      <c r="B7468" t="s">
        <v>4060</v>
      </c>
      <c r="C7468" t="s">
        <v>198</v>
      </c>
      <c r="D7468" t="str">
        <f>HYPERLINK("http://service.sap.com/sap/support/notes/1813980","1813980")</f>
        <v>1813980</v>
      </c>
      <c r="E7468">
        <v>3</v>
      </c>
      <c r="F7468" t="s">
        <v>8892</v>
      </c>
    </row>
    <row r="7469" spans="1:6" x14ac:dyDescent="0.25">
      <c r="A7469" t="s">
        <v>6446</v>
      </c>
      <c r="B7469" t="s">
        <v>4060</v>
      </c>
      <c r="C7469" t="s">
        <v>198</v>
      </c>
      <c r="D7469" t="str">
        <f>HYPERLINK("http://service.sap.com/sap/support/notes/1814125","1814125")</f>
        <v>1814125</v>
      </c>
      <c r="E7469">
        <v>3</v>
      </c>
      <c r="F7469" t="s">
        <v>8893</v>
      </c>
    </row>
    <row r="7470" spans="1:6" x14ac:dyDescent="0.25">
      <c r="A7470" t="s">
        <v>6446</v>
      </c>
      <c r="B7470" t="s">
        <v>4060</v>
      </c>
      <c r="C7470" t="s">
        <v>198</v>
      </c>
      <c r="D7470" t="str">
        <f>HYPERLINK("http://service.sap.com/sap/support/notes/1814227","1814227")</f>
        <v>1814227</v>
      </c>
      <c r="E7470">
        <v>2</v>
      </c>
      <c r="F7470" t="s">
        <v>8894</v>
      </c>
    </row>
    <row r="7471" spans="1:6" x14ac:dyDescent="0.25">
      <c r="A7471" t="s">
        <v>6446</v>
      </c>
      <c r="B7471" t="s">
        <v>4060</v>
      </c>
      <c r="C7471" t="s">
        <v>198</v>
      </c>
      <c r="D7471" t="str">
        <f>HYPERLINK("http://service.sap.com/sap/support/notes/1814703","1814703")</f>
        <v>1814703</v>
      </c>
      <c r="E7471">
        <v>4</v>
      </c>
      <c r="F7471" t="s">
        <v>8895</v>
      </c>
    </row>
    <row r="7472" spans="1:6" x14ac:dyDescent="0.25">
      <c r="A7472" t="s">
        <v>6446</v>
      </c>
      <c r="B7472" t="s">
        <v>4060</v>
      </c>
      <c r="C7472" t="s">
        <v>198</v>
      </c>
      <c r="D7472" t="str">
        <f>HYPERLINK("http://service.sap.com/sap/support/notes/1815019","1815019")</f>
        <v>1815019</v>
      </c>
      <c r="E7472">
        <v>1</v>
      </c>
      <c r="F7472" t="s">
        <v>8896</v>
      </c>
    </row>
    <row r="7473" spans="1:6" x14ac:dyDescent="0.25">
      <c r="A7473" t="s">
        <v>6446</v>
      </c>
      <c r="B7473" t="s">
        <v>4060</v>
      </c>
      <c r="C7473" t="s">
        <v>198</v>
      </c>
      <c r="D7473" t="str">
        <f>HYPERLINK("http://service.sap.com/sap/support/notes/1815074","1815074")</f>
        <v>1815074</v>
      </c>
      <c r="E7473">
        <v>1</v>
      </c>
      <c r="F7473" t="s">
        <v>8897</v>
      </c>
    </row>
    <row r="7474" spans="1:6" x14ac:dyDescent="0.25">
      <c r="A7474" t="s">
        <v>6446</v>
      </c>
      <c r="B7474" t="s">
        <v>4060</v>
      </c>
      <c r="C7474" t="s">
        <v>198</v>
      </c>
      <c r="D7474" t="str">
        <f>HYPERLINK("http://service.sap.com/sap/support/notes/1815322","1815322")</f>
        <v>1815322</v>
      </c>
      <c r="E7474">
        <v>1</v>
      </c>
      <c r="F7474" t="s">
        <v>8898</v>
      </c>
    </row>
    <row r="7475" spans="1:6" x14ac:dyDescent="0.25">
      <c r="A7475" t="s">
        <v>6446</v>
      </c>
      <c r="B7475" t="s">
        <v>4060</v>
      </c>
      <c r="C7475" t="s">
        <v>198</v>
      </c>
      <c r="D7475" t="str">
        <f>HYPERLINK("http://service.sap.com/sap/support/notes/1815797","1815797")</f>
        <v>1815797</v>
      </c>
      <c r="E7475">
        <v>2</v>
      </c>
      <c r="F7475" t="s">
        <v>8899</v>
      </c>
    </row>
    <row r="7476" spans="1:6" x14ac:dyDescent="0.25">
      <c r="A7476" t="s">
        <v>6446</v>
      </c>
      <c r="B7476" t="s">
        <v>4060</v>
      </c>
      <c r="C7476" t="s">
        <v>198</v>
      </c>
      <c r="D7476" t="str">
        <f>HYPERLINK("http://service.sap.com/sap/support/notes/1815926","1815926")</f>
        <v>1815926</v>
      </c>
      <c r="E7476">
        <v>8</v>
      </c>
      <c r="F7476" t="s">
        <v>8900</v>
      </c>
    </row>
    <row r="7477" spans="1:6" x14ac:dyDescent="0.25">
      <c r="A7477" t="s">
        <v>6446</v>
      </c>
      <c r="B7477" t="s">
        <v>4060</v>
      </c>
      <c r="C7477" t="s">
        <v>198</v>
      </c>
      <c r="D7477" t="str">
        <f>HYPERLINK("http://service.sap.com/sap/support/notes/1817534","1817534")</f>
        <v>1817534</v>
      </c>
      <c r="E7477">
        <v>4</v>
      </c>
      <c r="F7477" t="s">
        <v>8901</v>
      </c>
    </row>
    <row r="7478" spans="1:6" x14ac:dyDescent="0.25">
      <c r="A7478" t="s">
        <v>6446</v>
      </c>
      <c r="B7478" t="s">
        <v>4060</v>
      </c>
      <c r="C7478" t="s">
        <v>198</v>
      </c>
      <c r="D7478" t="str">
        <f>HYPERLINK("http://service.sap.com/sap/support/notes/1817834","1817834")</f>
        <v>1817834</v>
      </c>
      <c r="E7478">
        <v>5</v>
      </c>
      <c r="F7478" t="s">
        <v>8902</v>
      </c>
    </row>
    <row r="7479" spans="1:6" x14ac:dyDescent="0.25">
      <c r="A7479" t="s">
        <v>6446</v>
      </c>
      <c r="B7479" t="s">
        <v>4060</v>
      </c>
      <c r="C7479" t="s">
        <v>198</v>
      </c>
      <c r="D7479" t="str">
        <f>HYPERLINK("http://service.sap.com/sap/support/notes/1818054","1818054")</f>
        <v>1818054</v>
      </c>
      <c r="E7479">
        <v>4</v>
      </c>
      <c r="F7479" t="s">
        <v>8903</v>
      </c>
    </row>
    <row r="7480" spans="1:6" x14ac:dyDescent="0.25">
      <c r="A7480" t="s">
        <v>6446</v>
      </c>
      <c r="B7480" t="s">
        <v>4060</v>
      </c>
      <c r="C7480" t="s">
        <v>198</v>
      </c>
      <c r="D7480" t="str">
        <f>HYPERLINK("http://service.sap.com/sap/support/notes/1818359","1818359")</f>
        <v>1818359</v>
      </c>
      <c r="E7480">
        <v>1</v>
      </c>
      <c r="F7480" t="s">
        <v>8904</v>
      </c>
    </row>
    <row r="7481" spans="1:6" x14ac:dyDescent="0.25">
      <c r="A7481" t="s">
        <v>6446</v>
      </c>
      <c r="B7481" t="s">
        <v>4060</v>
      </c>
      <c r="C7481" t="s">
        <v>198</v>
      </c>
      <c r="D7481" t="str">
        <f>HYPERLINK("http://service.sap.com/sap/support/notes/1818450","1818450")</f>
        <v>1818450</v>
      </c>
      <c r="E7481">
        <v>3</v>
      </c>
      <c r="F7481" t="s">
        <v>8905</v>
      </c>
    </row>
    <row r="7482" spans="1:6" x14ac:dyDescent="0.25">
      <c r="A7482" t="s">
        <v>6446</v>
      </c>
      <c r="B7482" t="s">
        <v>4060</v>
      </c>
      <c r="C7482" t="s">
        <v>198</v>
      </c>
      <c r="D7482" t="str">
        <f>HYPERLINK("http://service.sap.com/sap/support/notes/1819257","1819257")</f>
        <v>1819257</v>
      </c>
      <c r="E7482">
        <v>3</v>
      </c>
      <c r="F7482" t="s">
        <v>8906</v>
      </c>
    </row>
    <row r="7483" spans="1:6" x14ac:dyDescent="0.25">
      <c r="A7483" t="s">
        <v>6446</v>
      </c>
      <c r="B7483" t="s">
        <v>4060</v>
      </c>
      <c r="C7483" t="s">
        <v>198</v>
      </c>
      <c r="D7483" t="str">
        <f>HYPERLINK("http://service.sap.com/sap/support/notes/1820063","1820063")</f>
        <v>1820063</v>
      </c>
      <c r="E7483">
        <v>3</v>
      </c>
      <c r="F7483" t="s">
        <v>8907</v>
      </c>
    </row>
    <row r="7484" spans="1:6" x14ac:dyDescent="0.25">
      <c r="A7484" t="s">
        <v>6446</v>
      </c>
      <c r="B7484" t="s">
        <v>4060</v>
      </c>
      <c r="C7484" t="s">
        <v>198</v>
      </c>
      <c r="D7484" t="str">
        <f>HYPERLINK("http://service.sap.com/sap/support/notes/1820065","1820065")</f>
        <v>1820065</v>
      </c>
      <c r="E7484">
        <v>1</v>
      </c>
      <c r="F7484" t="s">
        <v>8908</v>
      </c>
    </row>
    <row r="7485" spans="1:6" x14ac:dyDescent="0.25">
      <c r="A7485" t="s">
        <v>6446</v>
      </c>
      <c r="B7485" t="s">
        <v>4060</v>
      </c>
      <c r="C7485" t="s">
        <v>198</v>
      </c>
      <c r="D7485" t="str">
        <f>HYPERLINK("http://service.sap.com/sap/support/notes/1820268","1820268")</f>
        <v>1820268</v>
      </c>
      <c r="E7485">
        <v>2</v>
      </c>
      <c r="F7485" t="s">
        <v>8909</v>
      </c>
    </row>
    <row r="7486" spans="1:6" x14ac:dyDescent="0.25">
      <c r="A7486" t="s">
        <v>6446</v>
      </c>
      <c r="B7486" t="s">
        <v>4060</v>
      </c>
      <c r="C7486" t="s">
        <v>198</v>
      </c>
      <c r="D7486" t="str">
        <f>HYPERLINK("http://service.sap.com/sap/support/notes/1820332","1820332")</f>
        <v>1820332</v>
      </c>
      <c r="E7486">
        <v>1</v>
      </c>
      <c r="F7486" t="s">
        <v>8910</v>
      </c>
    </row>
    <row r="7487" spans="1:6" x14ac:dyDescent="0.25">
      <c r="A7487" t="s">
        <v>6446</v>
      </c>
      <c r="B7487" t="s">
        <v>4060</v>
      </c>
      <c r="C7487" t="s">
        <v>198</v>
      </c>
      <c r="D7487" t="str">
        <f>HYPERLINK("http://service.sap.com/sap/support/notes/1821130","1821130")</f>
        <v>1821130</v>
      </c>
      <c r="E7487">
        <v>2</v>
      </c>
      <c r="F7487" t="s">
        <v>8911</v>
      </c>
    </row>
    <row r="7488" spans="1:6" x14ac:dyDescent="0.25">
      <c r="A7488" t="s">
        <v>6446</v>
      </c>
      <c r="B7488" t="s">
        <v>4060</v>
      </c>
      <c r="C7488" t="s">
        <v>198</v>
      </c>
      <c r="D7488" t="str">
        <f>HYPERLINK("http://service.sap.com/sap/support/notes/1821757","1821757")</f>
        <v>1821757</v>
      </c>
      <c r="E7488">
        <v>2</v>
      </c>
      <c r="F7488" t="s">
        <v>8912</v>
      </c>
    </row>
    <row r="7489" spans="1:6" x14ac:dyDescent="0.25">
      <c r="A7489" t="s">
        <v>6446</v>
      </c>
      <c r="B7489" t="s">
        <v>4060</v>
      </c>
      <c r="C7489" t="s">
        <v>198</v>
      </c>
      <c r="D7489" t="str">
        <f>HYPERLINK("http://service.sap.com/sap/support/notes/1822196","1822196")</f>
        <v>1822196</v>
      </c>
      <c r="E7489">
        <v>3</v>
      </c>
      <c r="F7489" t="s">
        <v>8913</v>
      </c>
    </row>
    <row r="7490" spans="1:6" x14ac:dyDescent="0.25">
      <c r="A7490" t="s">
        <v>6446</v>
      </c>
      <c r="B7490" t="s">
        <v>4060</v>
      </c>
      <c r="C7490" t="s">
        <v>198</v>
      </c>
      <c r="D7490" t="str">
        <f>HYPERLINK("http://service.sap.com/sap/support/notes/1822499","1822499")</f>
        <v>1822499</v>
      </c>
      <c r="E7490">
        <v>2</v>
      </c>
      <c r="F7490" t="s">
        <v>8914</v>
      </c>
    </row>
    <row r="7491" spans="1:6" x14ac:dyDescent="0.25">
      <c r="A7491" t="s">
        <v>6446</v>
      </c>
      <c r="B7491" t="s">
        <v>4060</v>
      </c>
      <c r="C7491" t="s">
        <v>198</v>
      </c>
      <c r="D7491" t="str">
        <f>HYPERLINK("http://service.sap.com/sap/support/notes/1822564","1822564")</f>
        <v>1822564</v>
      </c>
      <c r="E7491">
        <v>3</v>
      </c>
      <c r="F7491" t="s">
        <v>8915</v>
      </c>
    </row>
    <row r="7492" spans="1:6" x14ac:dyDescent="0.25">
      <c r="A7492" t="s">
        <v>6446</v>
      </c>
      <c r="B7492" t="s">
        <v>4060</v>
      </c>
      <c r="C7492" t="s">
        <v>198</v>
      </c>
      <c r="D7492" t="str">
        <f>HYPERLINK("http://service.sap.com/sap/support/notes/1822813","1822813")</f>
        <v>1822813</v>
      </c>
      <c r="E7492">
        <v>3</v>
      </c>
      <c r="F7492" t="s">
        <v>8916</v>
      </c>
    </row>
    <row r="7493" spans="1:6" x14ac:dyDescent="0.25">
      <c r="A7493" t="s">
        <v>6446</v>
      </c>
      <c r="B7493" t="s">
        <v>4060</v>
      </c>
      <c r="C7493" t="s">
        <v>198</v>
      </c>
      <c r="D7493" t="str">
        <f>HYPERLINK("http://service.sap.com/sap/support/notes/1823510","1823510")</f>
        <v>1823510</v>
      </c>
      <c r="E7493">
        <v>2</v>
      </c>
      <c r="F7493" t="s">
        <v>8917</v>
      </c>
    </row>
    <row r="7494" spans="1:6" x14ac:dyDescent="0.25">
      <c r="A7494" t="s">
        <v>6446</v>
      </c>
      <c r="B7494" t="s">
        <v>4060</v>
      </c>
      <c r="C7494" t="s">
        <v>198</v>
      </c>
      <c r="D7494" t="str">
        <f>HYPERLINK("http://service.sap.com/sap/support/notes/1824208","1824208")</f>
        <v>1824208</v>
      </c>
      <c r="E7494">
        <v>1</v>
      </c>
      <c r="F7494" t="s">
        <v>8918</v>
      </c>
    </row>
    <row r="7495" spans="1:6" x14ac:dyDescent="0.25">
      <c r="A7495" t="s">
        <v>6446</v>
      </c>
      <c r="B7495" t="s">
        <v>4060</v>
      </c>
      <c r="C7495" t="s">
        <v>198</v>
      </c>
      <c r="D7495" t="str">
        <f>HYPERLINK("http://service.sap.com/sap/support/notes/1825198","1825198")</f>
        <v>1825198</v>
      </c>
      <c r="E7495">
        <v>7</v>
      </c>
      <c r="F7495" t="s">
        <v>8919</v>
      </c>
    </row>
    <row r="7496" spans="1:6" x14ac:dyDescent="0.25">
      <c r="A7496" t="s">
        <v>6446</v>
      </c>
      <c r="B7496" t="s">
        <v>4060</v>
      </c>
      <c r="C7496" t="s">
        <v>198</v>
      </c>
      <c r="D7496" t="str">
        <f>HYPERLINK("http://service.sap.com/sap/support/notes/1825705","1825705")</f>
        <v>1825705</v>
      </c>
      <c r="E7496">
        <v>4</v>
      </c>
      <c r="F7496" t="s">
        <v>8920</v>
      </c>
    </row>
    <row r="7497" spans="1:6" x14ac:dyDescent="0.25">
      <c r="A7497" t="s">
        <v>6446</v>
      </c>
      <c r="B7497" t="s">
        <v>4060</v>
      </c>
      <c r="C7497" t="s">
        <v>198</v>
      </c>
      <c r="D7497" t="str">
        <f>HYPERLINK("http://service.sap.com/sap/support/notes/1826421","1826421")</f>
        <v>1826421</v>
      </c>
      <c r="E7497">
        <v>2</v>
      </c>
      <c r="F7497" t="s">
        <v>8921</v>
      </c>
    </row>
    <row r="7498" spans="1:6" x14ac:dyDescent="0.25">
      <c r="A7498" t="s">
        <v>6446</v>
      </c>
      <c r="B7498" t="s">
        <v>4060</v>
      </c>
      <c r="C7498" t="s">
        <v>198</v>
      </c>
      <c r="D7498" t="str">
        <f>HYPERLINK("http://service.sap.com/sap/support/notes/1827006","1827006")</f>
        <v>1827006</v>
      </c>
      <c r="E7498">
        <v>2</v>
      </c>
      <c r="F7498" t="s">
        <v>8922</v>
      </c>
    </row>
    <row r="7499" spans="1:6" x14ac:dyDescent="0.25">
      <c r="A7499" t="s">
        <v>6446</v>
      </c>
      <c r="B7499" t="s">
        <v>4060</v>
      </c>
      <c r="C7499" t="s">
        <v>198</v>
      </c>
      <c r="D7499" t="str">
        <f>HYPERLINK("http://service.sap.com/sap/support/notes/1827425","1827425")</f>
        <v>1827425</v>
      </c>
      <c r="E7499">
        <v>1</v>
      </c>
      <c r="F7499" t="s">
        <v>8923</v>
      </c>
    </row>
    <row r="7500" spans="1:6" x14ac:dyDescent="0.25">
      <c r="A7500" t="s">
        <v>6446</v>
      </c>
      <c r="B7500" t="s">
        <v>4060</v>
      </c>
      <c r="C7500" t="s">
        <v>198</v>
      </c>
      <c r="D7500" t="str">
        <f>HYPERLINK("http://service.sap.com/sap/support/notes/1828152","1828152")</f>
        <v>1828152</v>
      </c>
      <c r="E7500">
        <v>3</v>
      </c>
      <c r="F7500" t="s">
        <v>8924</v>
      </c>
    </row>
    <row r="7501" spans="1:6" x14ac:dyDescent="0.25">
      <c r="A7501" t="s">
        <v>6446</v>
      </c>
      <c r="B7501" t="s">
        <v>4060</v>
      </c>
      <c r="C7501" t="s">
        <v>198</v>
      </c>
      <c r="D7501" t="str">
        <f>HYPERLINK("http://service.sap.com/sap/support/notes/1828221","1828221")</f>
        <v>1828221</v>
      </c>
      <c r="E7501">
        <v>1</v>
      </c>
      <c r="F7501" t="s">
        <v>8925</v>
      </c>
    </row>
    <row r="7502" spans="1:6" x14ac:dyDescent="0.25">
      <c r="A7502" t="s">
        <v>6446</v>
      </c>
      <c r="B7502" t="s">
        <v>4060</v>
      </c>
      <c r="C7502" t="s">
        <v>198</v>
      </c>
      <c r="D7502" t="str">
        <f>HYPERLINK("http://service.sap.com/sap/support/notes/1829539","1829539")</f>
        <v>1829539</v>
      </c>
      <c r="E7502">
        <v>1</v>
      </c>
      <c r="F7502" t="s">
        <v>8926</v>
      </c>
    </row>
    <row r="7503" spans="1:6" x14ac:dyDescent="0.25">
      <c r="A7503" t="s">
        <v>6446</v>
      </c>
      <c r="B7503" t="s">
        <v>4060</v>
      </c>
      <c r="C7503" t="s">
        <v>198</v>
      </c>
      <c r="D7503" t="str">
        <f>HYPERLINK("http://service.sap.com/sap/support/notes/1829541","1829541")</f>
        <v>1829541</v>
      </c>
      <c r="E7503">
        <v>1</v>
      </c>
      <c r="F7503" t="s">
        <v>8927</v>
      </c>
    </row>
    <row r="7504" spans="1:6" x14ac:dyDescent="0.25">
      <c r="A7504" t="s">
        <v>6446</v>
      </c>
      <c r="B7504" t="s">
        <v>4060</v>
      </c>
      <c r="C7504" t="s">
        <v>198</v>
      </c>
      <c r="D7504" t="str">
        <f>HYPERLINK("http://service.sap.com/sap/support/notes/1830380","1830380")</f>
        <v>1830380</v>
      </c>
      <c r="E7504">
        <v>1</v>
      </c>
      <c r="F7504" t="s">
        <v>8928</v>
      </c>
    </row>
    <row r="7505" spans="1:6" x14ac:dyDescent="0.25">
      <c r="A7505" t="s">
        <v>6446</v>
      </c>
      <c r="B7505" t="s">
        <v>4060</v>
      </c>
      <c r="C7505" t="s">
        <v>198</v>
      </c>
      <c r="D7505" t="str">
        <f>HYPERLINK("http://service.sap.com/sap/support/notes/1830570","1830570")</f>
        <v>1830570</v>
      </c>
      <c r="E7505">
        <v>1</v>
      </c>
      <c r="F7505" t="s">
        <v>8929</v>
      </c>
    </row>
    <row r="7506" spans="1:6" x14ac:dyDescent="0.25">
      <c r="A7506" t="s">
        <v>6446</v>
      </c>
      <c r="B7506" t="s">
        <v>4060</v>
      </c>
      <c r="C7506" t="s">
        <v>198</v>
      </c>
      <c r="D7506" t="str">
        <f>HYPERLINK("http://service.sap.com/sap/support/notes/1830815","1830815")</f>
        <v>1830815</v>
      </c>
      <c r="E7506">
        <v>1</v>
      </c>
      <c r="F7506" t="s">
        <v>8930</v>
      </c>
    </row>
    <row r="7507" spans="1:6" x14ac:dyDescent="0.25">
      <c r="A7507" t="s">
        <v>6446</v>
      </c>
      <c r="B7507" t="s">
        <v>4060</v>
      </c>
      <c r="C7507" t="s">
        <v>198</v>
      </c>
      <c r="D7507" t="str">
        <f>HYPERLINK("http://service.sap.com/sap/support/notes/1830879","1830879")</f>
        <v>1830879</v>
      </c>
      <c r="E7507">
        <v>2</v>
      </c>
      <c r="F7507" t="s">
        <v>8931</v>
      </c>
    </row>
    <row r="7508" spans="1:6" x14ac:dyDescent="0.25">
      <c r="A7508" t="s">
        <v>6446</v>
      </c>
      <c r="B7508" t="s">
        <v>4060</v>
      </c>
      <c r="C7508" t="s">
        <v>198</v>
      </c>
      <c r="D7508" t="str">
        <f>HYPERLINK("http://service.sap.com/sap/support/notes/1865445","1865445")</f>
        <v>1865445</v>
      </c>
      <c r="F7508" t="s">
        <v>8932</v>
      </c>
    </row>
    <row r="7509" spans="1:6" x14ac:dyDescent="0.25">
      <c r="A7509" t="s">
        <v>6446</v>
      </c>
      <c r="B7509" t="s">
        <v>4142</v>
      </c>
      <c r="C7509" t="s">
        <v>2999</v>
      </c>
      <c r="D7509" t="str">
        <f>HYPERLINK("http://service.sap.com/sap/support/notes/1782012","1782012")</f>
        <v>1782012</v>
      </c>
      <c r="E7509">
        <v>2</v>
      </c>
      <c r="F7509" t="s">
        <v>8933</v>
      </c>
    </row>
    <row r="7510" spans="1:6" x14ac:dyDescent="0.25">
      <c r="A7510" t="s">
        <v>6446</v>
      </c>
      <c r="B7510" t="s">
        <v>4142</v>
      </c>
      <c r="C7510" t="s">
        <v>2999</v>
      </c>
      <c r="D7510" t="str">
        <f>HYPERLINK("http://service.sap.com/sap/support/notes/1784752","1784752")</f>
        <v>1784752</v>
      </c>
      <c r="E7510">
        <v>1</v>
      </c>
      <c r="F7510" t="s">
        <v>8934</v>
      </c>
    </row>
    <row r="7511" spans="1:6" x14ac:dyDescent="0.25">
      <c r="A7511" t="s">
        <v>6446</v>
      </c>
      <c r="B7511" t="s">
        <v>4142</v>
      </c>
      <c r="C7511" t="s">
        <v>2999</v>
      </c>
      <c r="D7511" t="str">
        <f>HYPERLINK("http://service.sap.com/sap/support/notes/1784934","1784934")</f>
        <v>1784934</v>
      </c>
      <c r="E7511">
        <v>3</v>
      </c>
      <c r="F7511" t="s">
        <v>8935</v>
      </c>
    </row>
    <row r="7512" spans="1:6" x14ac:dyDescent="0.25">
      <c r="A7512" t="s">
        <v>6446</v>
      </c>
      <c r="B7512" t="s">
        <v>4142</v>
      </c>
      <c r="C7512" t="s">
        <v>2999</v>
      </c>
      <c r="D7512" t="str">
        <f>HYPERLINK("http://service.sap.com/sap/support/notes/1795797","1795797")</f>
        <v>1795797</v>
      </c>
      <c r="E7512">
        <v>2</v>
      </c>
      <c r="F7512" t="s">
        <v>8936</v>
      </c>
    </row>
    <row r="7513" spans="1:6" x14ac:dyDescent="0.25">
      <c r="A7513" t="s">
        <v>6446</v>
      </c>
      <c r="B7513" t="s">
        <v>4142</v>
      </c>
      <c r="C7513" t="s">
        <v>2999</v>
      </c>
      <c r="D7513" t="str">
        <f>HYPERLINK("http://service.sap.com/sap/support/notes/1798852","1798852")</f>
        <v>1798852</v>
      </c>
      <c r="E7513">
        <v>4</v>
      </c>
      <c r="F7513" t="s">
        <v>8937</v>
      </c>
    </row>
    <row r="7514" spans="1:6" x14ac:dyDescent="0.25">
      <c r="A7514" t="s">
        <v>6446</v>
      </c>
      <c r="B7514" t="s">
        <v>4142</v>
      </c>
      <c r="C7514" t="s">
        <v>2999</v>
      </c>
      <c r="D7514" t="str">
        <f>HYPERLINK("http://service.sap.com/sap/support/notes/1799051","1799051")</f>
        <v>1799051</v>
      </c>
      <c r="E7514">
        <v>1</v>
      </c>
      <c r="F7514" t="s">
        <v>8938</v>
      </c>
    </row>
    <row r="7515" spans="1:6" x14ac:dyDescent="0.25">
      <c r="A7515" t="s">
        <v>6446</v>
      </c>
      <c r="B7515" t="s">
        <v>4142</v>
      </c>
      <c r="C7515" t="s">
        <v>2999</v>
      </c>
      <c r="D7515" t="str">
        <f>HYPERLINK("http://service.sap.com/sap/support/notes/1804576","1804576")</f>
        <v>1804576</v>
      </c>
      <c r="E7515">
        <v>3</v>
      </c>
      <c r="F7515" t="s">
        <v>8939</v>
      </c>
    </row>
    <row r="7516" spans="1:6" x14ac:dyDescent="0.25">
      <c r="A7516" t="s">
        <v>6446</v>
      </c>
      <c r="B7516" t="s">
        <v>4142</v>
      </c>
      <c r="C7516" t="s">
        <v>2999</v>
      </c>
      <c r="D7516" t="str">
        <f>HYPERLINK("http://service.sap.com/sap/support/notes/1809655","1809655")</f>
        <v>1809655</v>
      </c>
      <c r="E7516">
        <v>2</v>
      </c>
      <c r="F7516" t="s">
        <v>8940</v>
      </c>
    </row>
    <row r="7517" spans="1:6" x14ac:dyDescent="0.25">
      <c r="A7517" t="s">
        <v>6446</v>
      </c>
      <c r="B7517" t="s">
        <v>4142</v>
      </c>
      <c r="C7517" t="s">
        <v>2999</v>
      </c>
      <c r="D7517" t="str">
        <f>HYPERLINK("http://service.sap.com/sap/support/notes/1810210","1810210")</f>
        <v>1810210</v>
      </c>
      <c r="E7517">
        <v>1</v>
      </c>
      <c r="F7517" t="s">
        <v>8941</v>
      </c>
    </row>
    <row r="7518" spans="1:6" x14ac:dyDescent="0.25">
      <c r="A7518" t="s">
        <v>6446</v>
      </c>
      <c r="B7518" t="s">
        <v>4142</v>
      </c>
      <c r="C7518" t="s">
        <v>2999</v>
      </c>
      <c r="D7518" t="str">
        <f>HYPERLINK("http://service.sap.com/sap/support/notes/1815321","1815321")</f>
        <v>1815321</v>
      </c>
      <c r="E7518">
        <v>2</v>
      </c>
      <c r="F7518" t="s">
        <v>8942</v>
      </c>
    </row>
    <row r="7519" spans="1:6" x14ac:dyDescent="0.25">
      <c r="A7519" t="s">
        <v>6446</v>
      </c>
      <c r="B7519" t="s">
        <v>4142</v>
      </c>
      <c r="C7519" t="s">
        <v>2999</v>
      </c>
      <c r="D7519" t="str">
        <f>HYPERLINK("http://service.sap.com/sap/support/notes/1820325","1820325")</f>
        <v>1820325</v>
      </c>
      <c r="E7519">
        <v>2</v>
      </c>
      <c r="F7519" t="s">
        <v>8943</v>
      </c>
    </row>
    <row r="7520" spans="1:6" x14ac:dyDescent="0.25">
      <c r="A7520" t="s">
        <v>6446</v>
      </c>
      <c r="B7520" t="s">
        <v>4147</v>
      </c>
      <c r="C7520" t="s">
        <v>4148</v>
      </c>
    </row>
    <row r="7521" spans="1:6" x14ac:dyDescent="0.25">
      <c r="A7521" t="s">
        <v>6446</v>
      </c>
      <c r="B7521" t="s">
        <v>8944</v>
      </c>
      <c r="C7521" t="s">
        <v>3698</v>
      </c>
      <c r="D7521" t="str">
        <f>HYPERLINK("http://service.sap.com/sap/support/notes/1801583","1801583")</f>
        <v>1801583</v>
      </c>
      <c r="E7521">
        <v>1</v>
      </c>
      <c r="F7521" t="s">
        <v>8945</v>
      </c>
    </row>
    <row r="7522" spans="1:6" x14ac:dyDescent="0.25">
      <c r="A7522" t="s">
        <v>6446</v>
      </c>
      <c r="B7522" t="s">
        <v>8944</v>
      </c>
      <c r="C7522" t="s">
        <v>3698</v>
      </c>
      <c r="D7522" t="str">
        <f>HYPERLINK("http://service.sap.com/sap/support/notes/1819244","1819244")</f>
        <v>1819244</v>
      </c>
      <c r="E7522">
        <v>1</v>
      </c>
      <c r="F7522" t="s">
        <v>8946</v>
      </c>
    </row>
    <row r="7523" spans="1:6" x14ac:dyDescent="0.25">
      <c r="A7523" t="s">
        <v>6446</v>
      </c>
      <c r="B7523" t="s">
        <v>8944</v>
      </c>
      <c r="C7523" t="s">
        <v>3698</v>
      </c>
      <c r="D7523" t="str">
        <f>HYPERLINK("http://service.sap.com/sap/support/notes/1825002","1825002")</f>
        <v>1825002</v>
      </c>
      <c r="E7523">
        <v>4</v>
      </c>
      <c r="F7523" t="s">
        <v>8947</v>
      </c>
    </row>
    <row r="7524" spans="1:6" x14ac:dyDescent="0.25">
      <c r="A7524" t="s">
        <v>6446</v>
      </c>
      <c r="B7524" t="s">
        <v>4154</v>
      </c>
      <c r="C7524" t="s">
        <v>4155</v>
      </c>
      <c r="D7524" t="str">
        <f>HYPERLINK("http://service.sap.com/sap/support/notes/1807102","1807102")</f>
        <v>1807102</v>
      </c>
      <c r="E7524">
        <v>2</v>
      </c>
      <c r="F7524" t="s">
        <v>8948</v>
      </c>
    </row>
    <row r="7525" spans="1:6" x14ac:dyDescent="0.25">
      <c r="A7525" t="s">
        <v>6446</v>
      </c>
      <c r="B7525" t="s">
        <v>4154</v>
      </c>
      <c r="C7525" t="s">
        <v>4155</v>
      </c>
      <c r="D7525" t="str">
        <f>HYPERLINK("http://service.sap.com/sap/support/notes/1830550","1830550")</f>
        <v>1830550</v>
      </c>
      <c r="E7525">
        <v>1</v>
      </c>
      <c r="F7525" t="s">
        <v>8949</v>
      </c>
    </row>
    <row r="7526" spans="1:6" x14ac:dyDescent="0.25">
      <c r="A7526" t="s">
        <v>6446</v>
      </c>
      <c r="B7526" t="s">
        <v>4159</v>
      </c>
      <c r="C7526" t="s">
        <v>4160</v>
      </c>
      <c r="D7526" t="str">
        <f>HYPERLINK("http://service.sap.com/sap/support/notes/1755044","1755044")</f>
        <v>1755044</v>
      </c>
      <c r="E7526">
        <v>3</v>
      </c>
      <c r="F7526" t="s">
        <v>8950</v>
      </c>
    </row>
    <row r="7527" spans="1:6" x14ac:dyDescent="0.25">
      <c r="A7527" t="s">
        <v>6446</v>
      </c>
      <c r="B7527" t="s">
        <v>4159</v>
      </c>
      <c r="C7527" t="s">
        <v>4160</v>
      </c>
      <c r="D7527" t="str">
        <f>HYPERLINK("http://service.sap.com/sap/support/notes/1767220","1767220")</f>
        <v>1767220</v>
      </c>
      <c r="E7527">
        <v>4</v>
      </c>
      <c r="F7527" t="s">
        <v>8951</v>
      </c>
    </row>
    <row r="7528" spans="1:6" x14ac:dyDescent="0.25">
      <c r="A7528" t="s">
        <v>6446</v>
      </c>
      <c r="B7528" t="s">
        <v>4163</v>
      </c>
      <c r="C7528" t="s">
        <v>4164</v>
      </c>
      <c r="D7528" t="str">
        <f>HYPERLINK("http://service.sap.com/sap/support/notes/1803403","1803403")</f>
        <v>1803403</v>
      </c>
      <c r="E7528">
        <v>3</v>
      </c>
      <c r="F7528" t="s">
        <v>8952</v>
      </c>
    </row>
    <row r="7529" spans="1:6" x14ac:dyDescent="0.25">
      <c r="A7529" t="s">
        <v>6446</v>
      </c>
      <c r="B7529" t="s">
        <v>4163</v>
      </c>
      <c r="C7529" t="s">
        <v>4164</v>
      </c>
      <c r="D7529" t="str">
        <f>HYPERLINK("http://service.sap.com/sap/support/notes/1816131","1816131")</f>
        <v>1816131</v>
      </c>
      <c r="E7529">
        <v>2</v>
      </c>
      <c r="F7529" t="s">
        <v>8953</v>
      </c>
    </row>
    <row r="7530" spans="1:6" x14ac:dyDescent="0.25">
      <c r="A7530" t="s">
        <v>6446</v>
      </c>
      <c r="B7530" t="s">
        <v>4175</v>
      </c>
      <c r="C7530" t="s">
        <v>4176</v>
      </c>
    </row>
    <row r="7531" spans="1:6" x14ac:dyDescent="0.25">
      <c r="A7531" t="s">
        <v>6446</v>
      </c>
      <c r="B7531" t="s">
        <v>4177</v>
      </c>
      <c r="C7531" t="s">
        <v>4178</v>
      </c>
      <c r="D7531" t="str">
        <f>HYPERLINK("http://service.sap.com/sap/support/notes/1801340","1801340")</f>
        <v>1801340</v>
      </c>
      <c r="E7531">
        <v>2</v>
      </c>
      <c r="F7531" t="s">
        <v>8954</v>
      </c>
    </row>
    <row r="7532" spans="1:6" x14ac:dyDescent="0.25">
      <c r="A7532" t="s">
        <v>6446</v>
      </c>
      <c r="B7532" t="s">
        <v>72</v>
      </c>
      <c r="C7532" t="s">
        <v>73</v>
      </c>
    </row>
    <row r="7533" spans="1:6" x14ac:dyDescent="0.25">
      <c r="A7533" t="s">
        <v>6446</v>
      </c>
      <c r="B7533" t="s">
        <v>8955</v>
      </c>
      <c r="C7533" t="s">
        <v>8956</v>
      </c>
    </row>
    <row r="7534" spans="1:6" x14ac:dyDescent="0.25">
      <c r="A7534" t="s">
        <v>6446</v>
      </c>
      <c r="B7534" t="s">
        <v>8957</v>
      </c>
      <c r="C7534" t="s">
        <v>8958</v>
      </c>
    </row>
    <row r="7535" spans="1:6" x14ac:dyDescent="0.25">
      <c r="A7535" t="s">
        <v>6446</v>
      </c>
      <c r="B7535" t="s">
        <v>8959</v>
      </c>
      <c r="C7535" t="s">
        <v>8960</v>
      </c>
      <c r="D7535" t="str">
        <f>HYPERLINK("http://service.sap.com/sap/support/notes/1360307","1360307")</f>
        <v>1360307</v>
      </c>
      <c r="E7535">
        <v>4</v>
      </c>
      <c r="F7535" t="s">
        <v>8961</v>
      </c>
    </row>
    <row r="7536" spans="1:6" x14ac:dyDescent="0.25">
      <c r="A7536" t="s">
        <v>6446</v>
      </c>
      <c r="B7536" t="s">
        <v>4184</v>
      </c>
      <c r="C7536" t="s">
        <v>4185</v>
      </c>
    </row>
    <row r="7537" spans="1:6" x14ac:dyDescent="0.25">
      <c r="A7537" t="s">
        <v>6446</v>
      </c>
      <c r="B7537" t="s">
        <v>6433</v>
      </c>
      <c r="C7537" t="s">
        <v>6434</v>
      </c>
      <c r="D7537" t="str">
        <f>HYPERLINK("http://service.sap.com/sap/support/notes/1772721","1772721")</f>
        <v>1772721</v>
      </c>
      <c r="E7537">
        <v>3</v>
      </c>
      <c r="F7537" t="s">
        <v>8962</v>
      </c>
    </row>
    <row r="7538" spans="1:6" x14ac:dyDescent="0.25">
      <c r="A7538" t="s">
        <v>6446</v>
      </c>
      <c r="B7538" t="s">
        <v>6433</v>
      </c>
      <c r="C7538" t="s">
        <v>6434</v>
      </c>
      <c r="D7538" t="str">
        <f>HYPERLINK("http://service.sap.com/sap/support/notes/1819023","1819023")</f>
        <v>1819023</v>
      </c>
      <c r="E7538">
        <v>2</v>
      </c>
      <c r="F7538" t="s">
        <v>8963</v>
      </c>
    </row>
    <row r="7539" spans="1:6" x14ac:dyDescent="0.25">
      <c r="A7539" t="s">
        <v>6446</v>
      </c>
      <c r="B7539" t="s">
        <v>4187</v>
      </c>
      <c r="C7539" t="s">
        <v>4188</v>
      </c>
    </row>
    <row r="7540" spans="1:6" x14ac:dyDescent="0.25">
      <c r="A7540" t="s">
        <v>6446</v>
      </c>
      <c r="B7540" t="s">
        <v>4189</v>
      </c>
      <c r="C7540" t="s">
        <v>4190</v>
      </c>
      <c r="D7540" t="str">
        <f>HYPERLINK("http://service.sap.com/sap/support/notes/1823257","1823257")</f>
        <v>1823257</v>
      </c>
      <c r="E7540">
        <v>2</v>
      </c>
      <c r="F7540" t="s">
        <v>8964</v>
      </c>
    </row>
    <row r="7541" spans="1:6" x14ac:dyDescent="0.25">
      <c r="A7541" t="s">
        <v>6446</v>
      </c>
      <c r="B7541" t="s">
        <v>6438</v>
      </c>
    </row>
    <row r="7542" spans="1:6" x14ac:dyDescent="0.25">
      <c r="A7542" t="s">
        <v>6446</v>
      </c>
      <c r="B7542" t="s">
        <v>6439</v>
      </c>
      <c r="C7542" t="s">
        <v>3745</v>
      </c>
      <c r="D7542" t="str">
        <f>HYPERLINK("http://service.sap.com/sap/support/notes/1830387","1830387")</f>
        <v>1830387</v>
      </c>
      <c r="E7542">
        <v>1</v>
      </c>
      <c r="F7542" t="s">
        <v>8965</v>
      </c>
    </row>
    <row r="7543" spans="1:6" x14ac:dyDescent="0.25">
      <c r="A7543" t="s">
        <v>6446</v>
      </c>
      <c r="B7543" t="s">
        <v>74</v>
      </c>
      <c r="C7543" t="s">
        <v>75</v>
      </c>
    </row>
    <row r="7544" spans="1:6" x14ac:dyDescent="0.25">
      <c r="A7544" t="s">
        <v>6446</v>
      </c>
      <c r="B7544" t="s">
        <v>76</v>
      </c>
      <c r="C7544" t="s">
        <v>77</v>
      </c>
      <c r="D7544" t="str">
        <f>HYPERLINK("http://service.sap.com/sap/support/notes/1674760","1674760")</f>
        <v>1674760</v>
      </c>
      <c r="E7544">
        <v>14</v>
      </c>
      <c r="F7544" t="s">
        <v>127</v>
      </c>
    </row>
    <row r="7545" spans="1:6" x14ac:dyDescent="0.25">
      <c r="A7545" t="s">
        <v>6446</v>
      </c>
      <c r="B7545" t="s">
        <v>76</v>
      </c>
      <c r="C7545" t="s">
        <v>77</v>
      </c>
      <c r="D7545" t="str">
        <f>HYPERLINK("http://service.sap.com/sap/support/notes/1782618","1782618")</f>
        <v>1782618</v>
      </c>
      <c r="E7545">
        <v>5</v>
      </c>
      <c r="F7545" t="s">
        <v>8966</v>
      </c>
    </row>
    <row r="7546" spans="1:6" x14ac:dyDescent="0.25">
      <c r="A7546" t="s">
        <v>6446</v>
      </c>
      <c r="B7546" t="s">
        <v>6441</v>
      </c>
      <c r="C7546" t="s">
        <v>6442</v>
      </c>
    </row>
    <row r="7547" spans="1:6" x14ac:dyDescent="0.25">
      <c r="A7547" t="s">
        <v>6446</v>
      </c>
      <c r="B7547" t="s">
        <v>8967</v>
      </c>
      <c r="C7547" t="s">
        <v>8968</v>
      </c>
      <c r="D7547" t="str">
        <f>HYPERLINK("http://service.sap.com/sap/support/notes/1820897","1820897")</f>
        <v>1820897</v>
      </c>
      <c r="E7547">
        <v>3</v>
      </c>
      <c r="F7547" t="s">
        <v>8969</v>
      </c>
    </row>
    <row r="7548" spans="1:6" x14ac:dyDescent="0.25">
      <c r="A7548" t="s">
        <v>10927</v>
      </c>
      <c r="B7548" t="s">
        <v>128</v>
      </c>
      <c r="C7548" t="s">
        <v>129</v>
      </c>
    </row>
    <row r="7549" spans="1:6" x14ac:dyDescent="0.25">
      <c r="A7549" t="s">
        <v>10927</v>
      </c>
      <c r="B7549" t="s">
        <v>130</v>
      </c>
      <c r="C7549" t="s">
        <v>131</v>
      </c>
      <c r="D7549" t="str">
        <f>HYPERLINK("http://service.sap.com/sap/support/notes/1838974","1838974")</f>
        <v>1838974</v>
      </c>
      <c r="E7549">
        <v>2</v>
      </c>
      <c r="F7549" t="s">
        <v>8970</v>
      </c>
    </row>
    <row r="7550" spans="1:6" x14ac:dyDescent="0.25">
      <c r="A7550" t="s">
        <v>10927</v>
      </c>
      <c r="B7550" t="s">
        <v>130</v>
      </c>
      <c r="C7550" t="s">
        <v>131</v>
      </c>
      <c r="D7550" t="str">
        <f>HYPERLINK("http://service.sap.com/sap/support/notes/1854553","1854553")</f>
        <v>1854553</v>
      </c>
      <c r="E7550">
        <v>1</v>
      </c>
      <c r="F7550" t="s">
        <v>8971</v>
      </c>
    </row>
    <row r="7551" spans="1:6" x14ac:dyDescent="0.25">
      <c r="A7551" t="s">
        <v>10927</v>
      </c>
      <c r="B7551" t="s">
        <v>139</v>
      </c>
      <c r="C7551" t="s">
        <v>140</v>
      </c>
    </row>
    <row r="7552" spans="1:6" x14ac:dyDescent="0.25">
      <c r="A7552" t="s">
        <v>10927</v>
      </c>
      <c r="B7552" t="s">
        <v>144</v>
      </c>
      <c r="C7552" t="s">
        <v>145</v>
      </c>
      <c r="D7552" t="str">
        <f>HYPERLINK("http://service.sap.com/sap/support/notes/1828890","1828890")</f>
        <v>1828890</v>
      </c>
      <c r="E7552">
        <v>3</v>
      </c>
      <c r="F7552" t="s">
        <v>6460</v>
      </c>
    </row>
    <row r="7553" spans="1:6" x14ac:dyDescent="0.25">
      <c r="A7553" t="s">
        <v>10927</v>
      </c>
      <c r="B7553" t="s">
        <v>5</v>
      </c>
      <c r="C7553" t="s">
        <v>6</v>
      </c>
    </row>
    <row r="7554" spans="1:6" x14ac:dyDescent="0.25">
      <c r="A7554" t="s">
        <v>10927</v>
      </c>
      <c r="B7554" t="s">
        <v>28</v>
      </c>
      <c r="C7554" t="s">
        <v>29</v>
      </c>
    </row>
    <row r="7555" spans="1:6" x14ac:dyDescent="0.25">
      <c r="A7555" t="s">
        <v>10927</v>
      </c>
      <c r="B7555" t="s">
        <v>125</v>
      </c>
      <c r="C7555" t="s">
        <v>126</v>
      </c>
      <c r="D7555" t="str">
        <f>HYPERLINK("http://service.sap.com/sap/support/notes/1840706","1840706")</f>
        <v>1840706</v>
      </c>
      <c r="E7555">
        <v>2</v>
      </c>
      <c r="F7555" t="s">
        <v>8972</v>
      </c>
    </row>
    <row r="7556" spans="1:6" x14ac:dyDescent="0.25">
      <c r="A7556" t="s">
        <v>10927</v>
      </c>
      <c r="B7556" t="s">
        <v>125</v>
      </c>
      <c r="C7556" t="s">
        <v>126</v>
      </c>
      <c r="D7556" t="str">
        <f>HYPERLINK("http://service.sap.com/sap/support/notes/1859543","1859543")</f>
        <v>1859543</v>
      </c>
      <c r="E7556">
        <v>1</v>
      </c>
      <c r="F7556" t="s">
        <v>8973</v>
      </c>
    </row>
    <row r="7557" spans="1:6" x14ac:dyDescent="0.25">
      <c r="A7557" t="s">
        <v>10927</v>
      </c>
      <c r="B7557" t="s">
        <v>159</v>
      </c>
      <c r="C7557" t="s">
        <v>160</v>
      </c>
      <c r="D7557" t="str">
        <f>HYPERLINK("http://service.sap.com/sap/support/notes/1835413","1835413")</f>
        <v>1835413</v>
      </c>
      <c r="E7557">
        <v>3</v>
      </c>
      <c r="F7557" t="s">
        <v>8974</v>
      </c>
    </row>
    <row r="7558" spans="1:6" x14ac:dyDescent="0.25">
      <c r="A7558" t="s">
        <v>10927</v>
      </c>
      <c r="B7558" t="s">
        <v>164</v>
      </c>
      <c r="C7558" t="s">
        <v>165</v>
      </c>
    </row>
    <row r="7559" spans="1:6" x14ac:dyDescent="0.25">
      <c r="A7559" t="s">
        <v>10927</v>
      </c>
      <c r="B7559" t="s">
        <v>8975</v>
      </c>
      <c r="C7559" t="s">
        <v>169</v>
      </c>
    </row>
    <row r="7560" spans="1:6" x14ac:dyDescent="0.25">
      <c r="A7560" t="s">
        <v>10927</v>
      </c>
      <c r="B7560" t="s">
        <v>8976</v>
      </c>
      <c r="C7560" t="s">
        <v>8977</v>
      </c>
      <c r="D7560" t="str">
        <f>HYPERLINK("http://service.sap.com/sap/support/notes/1846322","1846322")</f>
        <v>1846322</v>
      </c>
      <c r="E7560">
        <v>3</v>
      </c>
      <c r="F7560" t="s">
        <v>8978</v>
      </c>
    </row>
    <row r="7561" spans="1:6" x14ac:dyDescent="0.25">
      <c r="A7561" t="s">
        <v>10927</v>
      </c>
      <c r="B7561" t="s">
        <v>166</v>
      </c>
      <c r="C7561" t="s">
        <v>167</v>
      </c>
    </row>
    <row r="7562" spans="1:6" x14ac:dyDescent="0.25">
      <c r="A7562" t="s">
        <v>10927</v>
      </c>
      <c r="B7562" t="s">
        <v>168</v>
      </c>
      <c r="C7562" t="s">
        <v>169</v>
      </c>
    </row>
    <row r="7563" spans="1:6" x14ac:dyDescent="0.25">
      <c r="A7563" t="s">
        <v>10927</v>
      </c>
      <c r="B7563" t="s">
        <v>170</v>
      </c>
      <c r="C7563" t="s">
        <v>171</v>
      </c>
      <c r="D7563" t="str">
        <f>HYPERLINK("http://service.sap.com/sap/support/notes/1825652","1825652")</f>
        <v>1825652</v>
      </c>
      <c r="E7563">
        <v>3</v>
      </c>
      <c r="F7563" t="s">
        <v>8979</v>
      </c>
    </row>
    <row r="7564" spans="1:6" x14ac:dyDescent="0.25">
      <c r="A7564" t="s">
        <v>10927</v>
      </c>
      <c r="B7564" t="s">
        <v>170</v>
      </c>
      <c r="C7564" t="s">
        <v>171</v>
      </c>
      <c r="D7564" t="str">
        <f>HYPERLINK("http://service.sap.com/sap/support/notes/1828834","1828834")</f>
        <v>1828834</v>
      </c>
      <c r="E7564">
        <v>2</v>
      </c>
      <c r="F7564" t="s">
        <v>8980</v>
      </c>
    </row>
    <row r="7565" spans="1:6" x14ac:dyDescent="0.25">
      <c r="A7565" t="s">
        <v>10927</v>
      </c>
      <c r="B7565" t="s">
        <v>170</v>
      </c>
      <c r="C7565" t="s">
        <v>171</v>
      </c>
      <c r="D7565" t="str">
        <f>HYPERLINK("http://service.sap.com/sap/support/notes/1846388","1846388")</f>
        <v>1846388</v>
      </c>
      <c r="E7565">
        <v>2</v>
      </c>
      <c r="F7565" t="s">
        <v>8981</v>
      </c>
    </row>
    <row r="7566" spans="1:6" x14ac:dyDescent="0.25">
      <c r="A7566" t="s">
        <v>10927</v>
      </c>
      <c r="B7566" t="s">
        <v>175</v>
      </c>
      <c r="C7566" t="s">
        <v>176</v>
      </c>
    </row>
    <row r="7567" spans="1:6" x14ac:dyDescent="0.25">
      <c r="A7567" t="s">
        <v>10927</v>
      </c>
      <c r="B7567" t="s">
        <v>177</v>
      </c>
      <c r="C7567" t="s">
        <v>178</v>
      </c>
    </row>
    <row r="7568" spans="1:6" x14ac:dyDescent="0.25">
      <c r="A7568" t="s">
        <v>10927</v>
      </c>
      <c r="B7568" t="s">
        <v>182</v>
      </c>
      <c r="C7568" t="s">
        <v>183</v>
      </c>
    </row>
    <row r="7569" spans="1:6" x14ac:dyDescent="0.25">
      <c r="A7569" t="s">
        <v>10927</v>
      </c>
      <c r="B7569" t="s">
        <v>189</v>
      </c>
      <c r="C7569" t="s">
        <v>190</v>
      </c>
      <c r="D7569" t="str">
        <f>HYPERLINK("http://service.sap.com/sap/support/notes/1825599","1825599")</f>
        <v>1825599</v>
      </c>
      <c r="E7569">
        <v>2</v>
      </c>
      <c r="F7569" t="s">
        <v>8982</v>
      </c>
    </row>
    <row r="7570" spans="1:6" x14ac:dyDescent="0.25">
      <c r="A7570" t="s">
        <v>10927</v>
      </c>
      <c r="B7570" t="s">
        <v>192</v>
      </c>
      <c r="C7570" t="s">
        <v>193</v>
      </c>
      <c r="D7570" t="str">
        <f>HYPERLINK("http://service.sap.com/sap/support/notes/1855575","1855575")</f>
        <v>1855575</v>
      </c>
      <c r="E7570">
        <v>1</v>
      </c>
      <c r="F7570" t="s">
        <v>8983</v>
      </c>
    </row>
    <row r="7571" spans="1:6" x14ac:dyDescent="0.25">
      <c r="A7571" t="s">
        <v>10927</v>
      </c>
      <c r="B7571" t="s">
        <v>192</v>
      </c>
      <c r="C7571" t="s">
        <v>193</v>
      </c>
      <c r="D7571" t="str">
        <f>HYPERLINK("http://service.sap.com/sap/support/notes/1859541","1859541")</f>
        <v>1859541</v>
      </c>
      <c r="E7571">
        <v>1</v>
      </c>
      <c r="F7571" t="s">
        <v>8984</v>
      </c>
    </row>
    <row r="7572" spans="1:6" x14ac:dyDescent="0.25">
      <c r="A7572" t="s">
        <v>10927</v>
      </c>
      <c r="B7572" t="s">
        <v>4226</v>
      </c>
      <c r="C7572" t="s">
        <v>694</v>
      </c>
    </row>
    <row r="7573" spans="1:6" x14ac:dyDescent="0.25">
      <c r="A7573" t="s">
        <v>10927</v>
      </c>
      <c r="B7573" t="s">
        <v>4227</v>
      </c>
      <c r="C7573" t="s">
        <v>732</v>
      </c>
      <c r="D7573" t="str">
        <f>HYPERLINK("http://service.sap.com/sap/support/notes/1793761","1793761")</f>
        <v>1793761</v>
      </c>
      <c r="E7573">
        <v>1</v>
      </c>
      <c r="F7573" t="s">
        <v>6483</v>
      </c>
    </row>
    <row r="7574" spans="1:6" x14ac:dyDescent="0.25">
      <c r="A7574" t="s">
        <v>10927</v>
      </c>
      <c r="B7574" t="s">
        <v>197</v>
      </c>
      <c r="C7574" t="s">
        <v>198</v>
      </c>
      <c r="D7574" t="str">
        <f>HYPERLINK("http://service.sap.com/sap/support/notes/1522231","1522231")</f>
        <v>1522231</v>
      </c>
      <c r="E7574">
        <v>4</v>
      </c>
      <c r="F7574" t="s">
        <v>8985</v>
      </c>
    </row>
    <row r="7575" spans="1:6" x14ac:dyDescent="0.25">
      <c r="A7575" t="s">
        <v>10927</v>
      </c>
      <c r="B7575" t="s">
        <v>197</v>
      </c>
      <c r="C7575" t="s">
        <v>198</v>
      </c>
      <c r="D7575" t="str">
        <f>HYPERLINK("http://service.sap.com/sap/support/notes/1611544","1611544")</f>
        <v>1611544</v>
      </c>
      <c r="E7575">
        <v>6</v>
      </c>
      <c r="F7575" t="s">
        <v>8986</v>
      </c>
    </row>
    <row r="7576" spans="1:6" x14ac:dyDescent="0.25">
      <c r="A7576" t="s">
        <v>10927</v>
      </c>
      <c r="B7576" t="s">
        <v>206</v>
      </c>
      <c r="C7576" t="s">
        <v>207</v>
      </c>
      <c r="D7576" t="str">
        <f>HYPERLINK("http://service.sap.com/sap/support/notes/1718377","1718377")</f>
        <v>1718377</v>
      </c>
      <c r="E7576">
        <v>2</v>
      </c>
      <c r="F7576" t="s">
        <v>8987</v>
      </c>
    </row>
    <row r="7577" spans="1:6" x14ac:dyDescent="0.25">
      <c r="A7577" t="s">
        <v>10927</v>
      </c>
      <c r="B7577" t="s">
        <v>206</v>
      </c>
      <c r="C7577" t="s">
        <v>207</v>
      </c>
      <c r="D7577" t="str">
        <f>HYPERLINK("http://service.sap.com/sap/support/notes/1726622","1726622")</f>
        <v>1726622</v>
      </c>
      <c r="E7577">
        <v>2</v>
      </c>
      <c r="F7577" t="s">
        <v>8988</v>
      </c>
    </row>
    <row r="7578" spans="1:6" x14ac:dyDescent="0.25">
      <c r="A7578" t="s">
        <v>10927</v>
      </c>
      <c r="B7578" t="s">
        <v>206</v>
      </c>
      <c r="C7578" t="s">
        <v>207</v>
      </c>
      <c r="D7578" t="str">
        <f>HYPERLINK("http://service.sap.com/sap/support/notes/1748259","1748259")</f>
        <v>1748259</v>
      </c>
      <c r="E7578">
        <v>11</v>
      </c>
      <c r="F7578" t="s">
        <v>8989</v>
      </c>
    </row>
    <row r="7579" spans="1:6" x14ac:dyDescent="0.25">
      <c r="A7579" t="s">
        <v>10927</v>
      </c>
      <c r="B7579" t="s">
        <v>206</v>
      </c>
      <c r="C7579" t="s">
        <v>207</v>
      </c>
      <c r="D7579" t="str">
        <f>HYPERLINK("http://service.sap.com/sap/support/notes/1765570","1765570")</f>
        <v>1765570</v>
      </c>
      <c r="E7579">
        <v>4</v>
      </c>
      <c r="F7579" t="s">
        <v>8990</v>
      </c>
    </row>
    <row r="7580" spans="1:6" x14ac:dyDescent="0.25">
      <c r="A7580" t="s">
        <v>10927</v>
      </c>
      <c r="B7580" t="s">
        <v>206</v>
      </c>
      <c r="C7580" t="s">
        <v>207</v>
      </c>
      <c r="D7580" t="str">
        <f>HYPERLINK("http://service.sap.com/sap/support/notes/1826230","1826230")</f>
        <v>1826230</v>
      </c>
      <c r="E7580">
        <v>2</v>
      </c>
      <c r="F7580" t="s">
        <v>8991</v>
      </c>
    </row>
    <row r="7581" spans="1:6" x14ac:dyDescent="0.25">
      <c r="A7581" t="s">
        <v>10927</v>
      </c>
      <c r="B7581" t="s">
        <v>206</v>
      </c>
      <c r="C7581" t="s">
        <v>207</v>
      </c>
      <c r="D7581" t="str">
        <f>HYPERLINK("http://service.sap.com/sap/support/notes/1845339","1845339")</f>
        <v>1845339</v>
      </c>
      <c r="E7581">
        <v>2</v>
      </c>
      <c r="F7581" t="s">
        <v>8992</v>
      </c>
    </row>
    <row r="7582" spans="1:6" x14ac:dyDescent="0.25">
      <c r="A7582" t="s">
        <v>10927</v>
      </c>
      <c r="B7582" t="s">
        <v>206</v>
      </c>
      <c r="C7582" t="s">
        <v>207</v>
      </c>
      <c r="D7582" t="str">
        <f>HYPERLINK("http://service.sap.com/sap/support/notes/1856720","1856720")</f>
        <v>1856720</v>
      </c>
      <c r="E7582">
        <v>1</v>
      </c>
      <c r="F7582" t="s">
        <v>8993</v>
      </c>
    </row>
    <row r="7583" spans="1:6" x14ac:dyDescent="0.25">
      <c r="A7583" t="s">
        <v>10927</v>
      </c>
      <c r="B7583" t="s">
        <v>209</v>
      </c>
      <c r="C7583" t="s">
        <v>210</v>
      </c>
    </row>
    <row r="7584" spans="1:6" x14ac:dyDescent="0.25">
      <c r="A7584" t="s">
        <v>10927</v>
      </c>
      <c r="B7584" t="s">
        <v>211</v>
      </c>
      <c r="C7584" t="s">
        <v>212</v>
      </c>
      <c r="D7584" t="str">
        <f>HYPERLINK("http://service.sap.com/sap/support/notes/1831093","1831093")</f>
        <v>1831093</v>
      </c>
      <c r="E7584">
        <v>2</v>
      </c>
      <c r="F7584" t="s">
        <v>8994</v>
      </c>
    </row>
    <row r="7585" spans="1:6" x14ac:dyDescent="0.25">
      <c r="A7585" t="s">
        <v>10927</v>
      </c>
      <c r="B7585" t="s">
        <v>214</v>
      </c>
      <c r="C7585" t="s">
        <v>215</v>
      </c>
      <c r="D7585" t="str">
        <f>HYPERLINK("http://service.sap.com/sap/support/notes/1820801","1820801")</f>
        <v>1820801</v>
      </c>
      <c r="E7585">
        <v>2</v>
      </c>
    </row>
    <row r="7586" spans="1:6" x14ac:dyDescent="0.25">
      <c r="A7586" t="s">
        <v>10927</v>
      </c>
      <c r="B7586" t="s">
        <v>214</v>
      </c>
      <c r="C7586" t="s">
        <v>215</v>
      </c>
      <c r="D7586" t="str">
        <f>HYPERLINK("http://service.sap.com/sap/support/notes/1863410","1863410")</f>
        <v>1863410</v>
      </c>
      <c r="E7586">
        <v>1</v>
      </c>
    </row>
    <row r="7587" spans="1:6" x14ac:dyDescent="0.25">
      <c r="A7587" t="s">
        <v>10927</v>
      </c>
      <c r="B7587" t="s">
        <v>4240</v>
      </c>
      <c r="C7587" t="s">
        <v>62</v>
      </c>
    </row>
    <row r="7588" spans="1:6" x14ac:dyDescent="0.25">
      <c r="A7588" t="s">
        <v>10927</v>
      </c>
      <c r="B7588" t="s">
        <v>4241</v>
      </c>
      <c r="C7588" t="s">
        <v>4242</v>
      </c>
      <c r="D7588" t="str">
        <f>HYPERLINK("http://service.sap.com/sap/support/notes/1834130","1834130")</f>
        <v>1834130</v>
      </c>
      <c r="E7588">
        <v>1</v>
      </c>
      <c r="F7588" t="s">
        <v>8995</v>
      </c>
    </row>
    <row r="7589" spans="1:6" x14ac:dyDescent="0.25">
      <c r="A7589" t="s">
        <v>10927</v>
      </c>
      <c r="B7589" t="s">
        <v>217</v>
      </c>
      <c r="C7589" t="s">
        <v>218</v>
      </c>
    </row>
    <row r="7590" spans="1:6" x14ac:dyDescent="0.25">
      <c r="A7590" t="s">
        <v>10927</v>
      </c>
      <c r="B7590" t="s">
        <v>6489</v>
      </c>
      <c r="C7590" t="s">
        <v>2321</v>
      </c>
      <c r="D7590" t="str">
        <f>HYPERLINK("http://service.sap.com/sap/support/notes/1844750","1844750")</f>
        <v>1844750</v>
      </c>
      <c r="E7590">
        <v>2</v>
      </c>
      <c r="F7590" t="s">
        <v>8996</v>
      </c>
    </row>
    <row r="7591" spans="1:6" x14ac:dyDescent="0.25">
      <c r="A7591" t="s">
        <v>10927</v>
      </c>
      <c r="B7591" t="s">
        <v>219</v>
      </c>
      <c r="C7591" t="s">
        <v>220</v>
      </c>
      <c r="D7591" t="str">
        <f>HYPERLINK("http://service.sap.com/sap/support/notes/1718757","1718757")</f>
        <v>1718757</v>
      </c>
      <c r="E7591">
        <v>1</v>
      </c>
      <c r="F7591" t="s">
        <v>8997</v>
      </c>
    </row>
    <row r="7592" spans="1:6" x14ac:dyDescent="0.25">
      <c r="A7592" t="s">
        <v>10927</v>
      </c>
      <c r="B7592" t="s">
        <v>219</v>
      </c>
      <c r="C7592" t="s">
        <v>220</v>
      </c>
      <c r="D7592" t="str">
        <f>HYPERLINK("http://service.sap.com/sap/support/notes/1824330","1824330")</f>
        <v>1824330</v>
      </c>
      <c r="E7592">
        <v>2</v>
      </c>
      <c r="F7592" t="s">
        <v>8998</v>
      </c>
    </row>
    <row r="7593" spans="1:6" x14ac:dyDescent="0.25">
      <c r="A7593" t="s">
        <v>10927</v>
      </c>
      <c r="B7593" t="s">
        <v>222</v>
      </c>
      <c r="C7593" t="s">
        <v>223</v>
      </c>
    </row>
    <row r="7594" spans="1:6" x14ac:dyDescent="0.25">
      <c r="A7594" t="s">
        <v>10927</v>
      </c>
      <c r="B7594" t="s">
        <v>224</v>
      </c>
      <c r="C7594" t="s">
        <v>225</v>
      </c>
      <c r="D7594" t="str">
        <f>HYPERLINK("http://service.sap.com/sap/support/notes/1839689","1839689")</f>
        <v>1839689</v>
      </c>
      <c r="E7594">
        <v>2</v>
      </c>
      <c r="F7594" t="s">
        <v>8999</v>
      </c>
    </row>
    <row r="7595" spans="1:6" x14ac:dyDescent="0.25">
      <c r="A7595" t="s">
        <v>10927</v>
      </c>
      <c r="B7595" t="s">
        <v>232</v>
      </c>
      <c r="C7595" t="s">
        <v>233</v>
      </c>
      <c r="D7595" t="str">
        <f>HYPERLINK("http://service.sap.com/sap/support/notes/1756257","1756257")</f>
        <v>1756257</v>
      </c>
      <c r="E7595">
        <v>1</v>
      </c>
      <c r="F7595" t="s">
        <v>9000</v>
      </c>
    </row>
    <row r="7596" spans="1:6" x14ac:dyDescent="0.25">
      <c r="A7596" t="s">
        <v>10927</v>
      </c>
      <c r="B7596" t="s">
        <v>232</v>
      </c>
      <c r="C7596" t="s">
        <v>233</v>
      </c>
      <c r="D7596" t="str">
        <f>HYPERLINK("http://service.sap.com/sap/support/notes/1828267","1828267")</f>
        <v>1828267</v>
      </c>
      <c r="E7596">
        <v>1</v>
      </c>
      <c r="F7596" t="s">
        <v>9001</v>
      </c>
    </row>
    <row r="7597" spans="1:6" x14ac:dyDescent="0.25">
      <c r="A7597" t="s">
        <v>10927</v>
      </c>
      <c r="B7597" t="s">
        <v>232</v>
      </c>
      <c r="C7597" t="s">
        <v>233</v>
      </c>
      <c r="D7597" t="str">
        <f>HYPERLINK("http://service.sap.com/sap/support/notes/1851828","1851828")</f>
        <v>1851828</v>
      </c>
      <c r="E7597">
        <v>2</v>
      </c>
      <c r="F7597" t="s">
        <v>9002</v>
      </c>
    </row>
    <row r="7598" spans="1:6" x14ac:dyDescent="0.25">
      <c r="A7598" t="s">
        <v>10927</v>
      </c>
      <c r="B7598" t="s">
        <v>232</v>
      </c>
      <c r="C7598" t="s">
        <v>233</v>
      </c>
      <c r="D7598" t="str">
        <f>HYPERLINK("http://service.sap.com/sap/support/notes/1852778","1852778")</f>
        <v>1852778</v>
      </c>
      <c r="E7598">
        <v>1</v>
      </c>
      <c r="F7598" t="s">
        <v>9003</v>
      </c>
    </row>
    <row r="7599" spans="1:6" x14ac:dyDescent="0.25">
      <c r="A7599" t="s">
        <v>10927</v>
      </c>
      <c r="B7599" t="s">
        <v>232</v>
      </c>
      <c r="C7599" t="s">
        <v>233</v>
      </c>
      <c r="D7599" t="str">
        <f>HYPERLINK("http://service.sap.com/sap/support/notes/1859091","1859091")</f>
        <v>1859091</v>
      </c>
      <c r="E7599">
        <v>2</v>
      </c>
      <c r="F7599" t="s">
        <v>9004</v>
      </c>
    </row>
    <row r="7600" spans="1:6" x14ac:dyDescent="0.25">
      <c r="A7600" t="s">
        <v>10927</v>
      </c>
      <c r="B7600" t="s">
        <v>232</v>
      </c>
      <c r="C7600" t="s">
        <v>233</v>
      </c>
      <c r="D7600" t="str">
        <f>HYPERLINK("http://service.sap.com/sap/support/notes/1861749","1861749")</f>
        <v>1861749</v>
      </c>
      <c r="E7600">
        <v>1</v>
      </c>
      <c r="F7600" t="s">
        <v>9005</v>
      </c>
    </row>
    <row r="7601" spans="1:6" x14ac:dyDescent="0.25">
      <c r="A7601" t="s">
        <v>10927</v>
      </c>
      <c r="B7601" t="s">
        <v>237</v>
      </c>
      <c r="C7601" t="s">
        <v>238</v>
      </c>
    </row>
    <row r="7602" spans="1:6" x14ac:dyDescent="0.25">
      <c r="A7602" t="s">
        <v>10927</v>
      </c>
      <c r="B7602" t="s">
        <v>239</v>
      </c>
      <c r="C7602" t="s">
        <v>240</v>
      </c>
      <c r="D7602" t="str">
        <f>HYPERLINK("http://service.sap.com/sap/support/notes/1866201","1866201")</f>
        <v>1866201</v>
      </c>
      <c r="E7602">
        <v>1</v>
      </c>
      <c r="F7602" t="s">
        <v>9006</v>
      </c>
    </row>
    <row r="7603" spans="1:6" x14ac:dyDescent="0.25">
      <c r="A7603" t="s">
        <v>10927</v>
      </c>
      <c r="B7603" t="s">
        <v>6501</v>
      </c>
      <c r="C7603" t="s">
        <v>3342</v>
      </c>
    </row>
    <row r="7604" spans="1:6" x14ac:dyDescent="0.25">
      <c r="A7604" t="s">
        <v>10927</v>
      </c>
      <c r="B7604" t="s">
        <v>9007</v>
      </c>
      <c r="C7604" t="s">
        <v>1878</v>
      </c>
      <c r="D7604" t="str">
        <f>HYPERLINK("http://service.sap.com/sap/support/notes/1841940","1841940")</f>
        <v>1841940</v>
      </c>
      <c r="E7604">
        <v>1</v>
      </c>
    </row>
    <row r="7605" spans="1:6" x14ac:dyDescent="0.25">
      <c r="A7605" t="s">
        <v>10927</v>
      </c>
      <c r="B7605" t="s">
        <v>248</v>
      </c>
      <c r="C7605" t="s">
        <v>249</v>
      </c>
    </row>
    <row r="7606" spans="1:6" x14ac:dyDescent="0.25">
      <c r="A7606" t="s">
        <v>10927</v>
      </c>
      <c r="B7606" t="s">
        <v>258</v>
      </c>
      <c r="C7606" t="s">
        <v>259</v>
      </c>
      <c r="D7606" t="str">
        <f>HYPERLINK("http://service.sap.com/sap/support/notes/1846636","1846636")</f>
        <v>1846636</v>
      </c>
      <c r="E7606">
        <v>1</v>
      </c>
      <c r="F7606" t="s">
        <v>9008</v>
      </c>
    </row>
    <row r="7607" spans="1:6" x14ac:dyDescent="0.25">
      <c r="A7607" t="s">
        <v>10927</v>
      </c>
      <c r="B7607" t="s">
        <v>267</v>
      </c>
      <c r="C7607" t="s">
        <v>268</v>
      </c>
    </row>
    <row r="7608" spans="1:6" x14ac:dyDescent="0.25">
      <c r="A7608" t="s">
        <v>10927</v>
      </c>
      <c r="B7608" t="s">
        <v>269</v>
      </c>
      <c r="C7608" t="s">
        <v>270</v>
      </c>
      <c r="D7608" t="str">
        <f>HYPERLINK("http://service.sap.com/sap/support/notes/1839820","1839820")</f>
        <v>1839820</v>
      </c>
      <c r="E7608">
        <v>2</v>
      </c>
      <c r="F7608" t="s">
        <v>9009</v>
      </c>
    </row>
    <row r="7609" spans="1:6" x14ac:dyDescent="0.25">
      <c r="A7609" t="s">
        <v>10927</v>
      </c>
      <c r="B7609" t="s">
        <v>269</v>
      </c>
      <c r="C7609" t="s">
        <v>270</v>
      </c>
      <c r="D7609" t="str">
        <f>HYPERLINK("http://service.sap.com/sap/support/notes/1840390","1840390")</f>
        <v>1840390</v>
      </c>
      <c r="E7609">
        <v>2</v>
      </c>
      <c r="F7609" t="s">
        <v>9010</v>
      </c>
    </row>
    <row r="7610" spans="1:6" x14ac:dyDescent="0.25">
      <c r="A7610" t="s">
        <v>10927</v>
      </c>
      <c r="B7610" t="s">
        <v>274</v>
      </c>
      <c r="C7610" t="s">
        <v>275</v>
      </c>
      <c r="D7610" t="str">
        <f>HYPERLINK("http://service.sap.com/sap/support/notes/1834114","1834114")</f>
        <v>1834114</v>
      </c>
      <c r="E7610">
        <v>1</v>
      </c>
      <c r="F7610" t="s">
        <v>9011</v>
      </c>
    </row>
    <row r="7611" spans="1:6" x14ac:dyDescent="0.25">
      <c r="A7611" t="s">
        <v>10927</v>
      </c>
      <c r="B7611" t="s">
        <v>274</v>
      </c>
      <c r="C7611" t="s">
        <v>275</v>
      </c>
      <c r="D7611" t="str">
        <f>HYPERLINK("http://service.sap.com/sap/support/notes/1835172","1835172")</f>
        <v>1835172</v>
      </c>
      <c r="E7611">
        <v>2</v>
      </c>
      <c r="F7611" t="s">
        <v>9012</v>
      </c>
    </row>
    <row r="7612" spans="1:6" x14ac:dyDescent="0.25">
      <c r="A7612" t="s">
        <v>10927</v>
      </c>
      <c r="B7612" t="s">
        <v>274</v>
      </c>
      <c r="C7612" t="s">
        <v>275</v>
      </c>
      <c r="D7612" t="str">
        <f>HYPERLINK("http://service.sap.com/sap/support/notes/1836640","1836640")</f>
        <v>1836640</v>
      </c>
      <c r="E7612">
        <v>2</v>
      </c>
      <c r="F7612" t="s">
        <v>9013</v>
      </c>
    </row>
    <row r="7613" spans="1:6" x14ac:dyDescent="0.25">
      <c r="A7613" t="s">
        <v>10927</v>
      </c>
      <c r="B7613" t="s">
        <v>277</v>
      </c>
      <c r="C7613" t="s">
        <v>278</v>
      </c>
      <c r="D7613" t="str">
        <f>HYPERLINK("http://service.sap.com/sap/support/notes/1408956","1408956")</f>
        <v>1408956</v>
      </c>
      <c r="E7613">
        <v>3</v>
      </c>
      <c r="F7613" t="s">
        <v>9014</v>
      </c>
    </row>
    <row r="7614" spans="1:6" x14ac:dyDescent="0.25">
      <c r="A7614" t="s">
        <v>10927</v>
      </c>
      <c r="B7614" t="s">
        <v>277</v>
      </c>
      <c r="C7614" t="s">
        <v>278</v>
      </c>
      <c r="D7614" t="str">
        <f>HYPERLINK("http://service.sap.com/sap/support/notes/1711898","1711898")</f>
        <v>1711898</v>
      </c>
      <c r="E7614">
        <v>2</v>
      </c>
      <c r="F7614" t="s">
        <v>9015</v>
      </c>
    </row>
    <row r="7615" spans="1:6" x14ac:dyDescent="0.25">
      <c r="A7615" t="s">
        <v>10927</v>
      </c>
      <c r="B7615" t="s">
        <v>277</v>
      </c>
      <c r="C7615" t="s">
        <v>278</v>
      </c>
      <c r="D7615" t="str">
        <f>HYPERLINK("http://service.sap.com/sap/support/notes/1759501","1759501")</f>
        <v>1759501</v>
      </c>
      <c r="E7615">
        <v>2</v>
      </c>
      <c r="F7615" t="s">
        <v>9016</v>
      </c>
    </row>
    <row r="7616" spans="1:6" x14ac:dyDescent="0.25">
      <c r="A7616" t="s">
        <v>10927</v>
      </c>
      <c r="B7616" t="s">
        <v>277</v>
      </c>
      <c r="C7616" t="s">
        <v>278</v>
      </c>
      <c r="D7616" t="str">
        <f>HYPERLINK("http://service.sap.com/sap/support/notes/1759653","1759653")</f>
        <v>1759653</v>
      </c>
      <c r="E7616">
        <v>1</v>
      </c>
      <c r="F7616" t="s">
        <v>9017</v>
      </c>
    </row>
    <row r="7617" spans="1:6" x14ac:dyDescent="0.25">
      <c r="A7617" t="s">
        <v>10927</v>
      </c>
      <c r="B7617" t="s">
        <v>277</v>
      </c>
      <c r="C7617" t="s">
        <v>278</v>
      </c>
      <c r="D7617" t="str">
        <f>HYPERLINK("http://service.sap.com/sap/support/notes/1831716","1831716")</f>
        <v>1831716</v>
      </c>
      <c r="E7617">
        <v>1</v>
      </c>
      <c r="F7617" t="s">
        <v>9018</v>
      </c>
    </row>
    <row r="7618" spans="1:6" x14ac:dyDescent="0.25">
      <c r="A7618" t="s">
        <v>10927</v>
      </c>
      <c r="B7618" t="s">
        <v>277</v>
      </c>
      <c r="C7618" t="s">
        <v>278</v>
      </c>
      <c r="D7618" t="str">
        <f>HYPERLINK("http://service.sap.com/sap/support/notes/1834184","1834184")</f>
        <v>1834184</v>
      </c>
      <c r="E7618">
        <v>1</v>
      </c>
      <c r="F7618" t="s">
        <v>9019</v>
      </c>
    </row>
    <row r="7619" spans="1:6" x14ac:dyDescent="0.25">
      <c r="A7619" t="s">
        <v>10927</v>
      </c>
      <c r="B7619" t="s">
        <v>277</v>
      </c>
      <c r="C7619" t="s">
        <v>278</v>
      </c>
      <c r="D7619" t="str">
        <f>HYPERLINK("http://service.sap.com/sap/support/notes/1839361","1839361")</f>
        <v>1839361</v>
      </c>
      <c r="E7619">
        <v>4</v>
      </c>
      <c r="F7619" t="s">
        <v>9020</v>
      </c>
    </row>
    <row r="7620" spans="1:6" x14ac:dyDescent="0.25">
      <c r="A7620" t="s">
        <v>10927</v>
      </c>
      <c r="B7620" t="s">
        <v>277</v>
      </c>
      <c r="C7620" t="s">
        <v>278</v>
      </c>
      <c r="D7620" t="str">
        <f>HYPERLINK("http://service.sap.com/sap/support/notes/1839993","1839993")</f>
        <v>1839993</v>
      </c>
      <c r="E7620">
        <v>3</v>
      </c>
      <c r="F7620" t="s">
        <v>9021</v>
      </c>
    </row>
    <row r="7621" spans="1:6" x14ac:dyDescent="0.25">
      <c r="A7621" t="s">
        <v>10927</v>
      </c>
      <c r="B7621" t="s">
        <v>277</v>
      </c>
      <c r="C7621" t="s">
        <v>278</v>
      </c>
      <c r="D7621" t="str">
        <f>HYPERLINK("http://service.sap.com/sap/support/notes/1841205","1841205")</f>
        <v>1841205</v>
      </c>
      <c r="E7621">
        <v>2</v>
      </c>
      <c r="F7621" t="s">
        <v>9022</v>
      </c>
    </row>
    <row r="7622" spans="1:6" x14ac:dyDescent="0.25">
      <c r="A7622" t="s">
        <v>10927</v>
      </c>
      <c r="B7622" t="s">
        <v>277</v>
      </c>
      <c r="C7622" t="s">
        <v>278</v>
      </c>
      <c r="D7622" t="str">
        <f>HYPERLINK("http://service.sap.com/sap/support/notes/1843321","1843321")</f>
        <v>1843321</v>
      </c>
      <c r="E7622">
        <v>1</v>
      </c>
      <c r="F7622" t="s">
        <v>9023</v>
      </c>
    </row>
    <row r="7623" spans="1:6" x14ac:dyDescent="0.25">
      <c r="A7623" t="s">
        <v>10927</v>
      </c>
      <c r="B7623" t="s">
        <v>277</v>
      </c>
      <c r="C7623" t="s">
        <v>278</v>
      </c>
      <c r="D7623" t="str">
        <f>HYPERLINK("http://service.sap.com/sap/support/notes/1844815","1844815")</f>
        <v>1844815</v>
      </c>
      <c r="E7623">
        <v>3</v>
      </c>
      <c r="F7623" t="s">
        <v>9024</v>
      </c>
    </row>
    <row r="7624" spans="1:6" x14ac:dyDescent="0.25">
      <c r="A7624" t="s">
        <v>10927</v>
      </c>
      <c r="B7624" t="s">
        <v>277</v>
      </c>
      <c r="C7624" t="s">
        <v>278</v>
      </c>
      <c r="D7624" t="str">
        <f>HYPERLINK("http://service.sap.com/sap/support/notes/1851592","1851592")</f>
        <v>1851592</v>
      </c>
      <c r="E7624">
        <v>2</v>
      </c>
      <c r="F7624" t="s">
        <v>6540</v>
      </c>
    </row>
    <row r="7625" spans="1:6" x14ac:dyDescent="0.25">
      <c r="A7625" t="s">
        <v>10927</v>
      </c>
      <c r="B7625" t="s">
        <v>288</v>
      </c>
      <c r="C7625" t="s">
        <v>289</v>
      </c>
      <c r="D7625" t="str">
        <f>HYPERLINK("http://service.sap.com/sap/support/notes/1780022","1780022")</f>
        <v>1780022</v>
      </c>
      <c r="E7625">
        <v>1</v>
      </c>
      <c r="F7625" t="s">
        <v>9025</v>
      </c>
    </row>
    <row r="7626" spans="1:6" x14ac:dyDescent="0.25">
      <c r="A7626" t="s">
        <v>10927</v>
      </c>
      <c r="B7626" t="s">
        <v>288</v>
      </c>
      <c r="C7626" t="s">
        <v>289</v>
      </c>
      <c r="D7626" t="str">
        <f>HYPERLINK("http://service.sap.com/sap/support/notes/1793344","1793344")</f>
        <v>1793344</v>
      </c>
      <c r="E7626">
        <v>2</v>
      </c>
      <c r="F7626" t="s">
        <v>9026</v>
      </c>
    </row>
    <row r="7627" spans="1:6" x14ac:dyDescent="0.25">
      <c r="A7627" t="s">
        <v>10927</v>
      </c>
      <c r="B7627" t="s">
        <v>288</v>
      </c>
      <c r="C7627" t="s">
        <v>289</v>
      </c>
      <c r="D7627" t="str">
        <f>HYPERLINK("http://service.sap.com/sap/support/notes/1833062","1833062")</f>
        <v>1833062</v>
      </c>
      <c r="E7627">
        <v>1</v>
      </c>
      <c r="F7627" t="s">
        <v>9027</v>
      </c>
    </row>
    <row r="7628" spans="1:6" x14ac:dyDescent="0.25">
      <c r="A7628" t="s">
        <v>10927</v>
      </c>
      <c r="B7628" t="s">
        <v>288</v>
      </c>
      <c r="C7628" t="s">
        <v>289</v>
      </c>
      <c r="D7628" t="str">
        <f>HYPERLINK("http://service.sap.com/sap/support/notes/1833173","1833173")</f>
        <v>1833173</v>
      </c>
      <c r="E7628">
        <v>1</v>
      </c>
      <c r="F7628" t="s">
        <v>9028</v>
      </c>
    </row>
    <row r="7629" spans="1:6" x14ac:dyDescent="0.25">
      <c r="A7629" t="s">
        <v>10927</v>
      </c>
      <c r="B7629" t="s">
        <v>288</v>
      </c>
      <c r="C7629" t="s">
        <v>289</v>
      </c>
      <c r="D7629" t="str">
        <f>HYPERLINK("http://service.sap.com/sap/support/notes/1834918","1834918")</f>
        <v>1834918</v>
      </c>
      <c r="E7629">
        <v>1</v>
      </c>
      <c r="F7629" t="s">
        <v>9029</v>
      </c>
    </row>
    <row r="7630" spans="1:6" x14ac:dyDescent="0.25">
      <c r="A7630" t="s">
        <v>10927</v>
      </c>
      <c r="B7630" t="s">
        <v>288</v>
      </c>
      <c r="C7630" t="s">
        <v>289</v>
      </c>
      <c r="D7630" t="str">
        <f>HYPERLINK("http://service.sap.com/sap/support/notes/1841608","1841608")</f>
        <v>1841608</v>
      </c>
      <c r="E7630">
        <v>2</v>
      </c>
      <c r="F7630" t="s">
        <v>9030</v>
      </c>
    </row>
    <row r="7631" spans="1:6" x14ac:dyDescent="0.25">
      <c r="A7631" t="s">
        <v>10927</v>
      </c>
      <c r="B7631" t="s">
        <v>288</v>
      </c>
      <c r="C7631" t="s">
        <v>289</v>
      </c>
      <c r="D7631" t="str">
        <f>HYPERLINK("http://service.sap.com/sap/support/notes/1843291","1843291")</f>
        <v>1843291</v>
      </c>
      <c r="E7631">
        <v>3</v>
      </c>
      <c r="F7631" t="s">
        <v>9031</v>
      </c>
    </row>
    <row r="7632" spans="1:6" x14ac:dyDescent="0.25">
      <c r="A7632" t="s">
        <v>10927</v>
      </c>
      <c r="B7632" t="s">
        <v>288</v>
      </c>
      <c r="C7632" t="s">
        <v>289</v>
      </c>
      <c r="D7632" t="str">
        <f>HYPERLINK("http://service.sap.com/sap/support/notes/1844046","1844046")</f>
        <v>1844046</v>
      </c>
      <c r="E7632">
        <v>2</v>
      </c>
      <c r="F7632" t="s">
        <v>9032</v>
      </c>
    </row>
    <row r="7633" spans="1:6" x14ac:dyDescent="0.25">
      <c r="A7633" t="s">
        <v>10927</v>
      </c>
      <c r="B7633" t="s">
        <v>288</v>
      </c>
      <c r="C7633" t="s">
        <v>289</v>
      </c>
      <c r="D7633" t="str">
        <f>HYPERLINK("http://service.sap.com/sap/support/notes/1856425","1856425")</f>
        <v>1856425</v>
      </c>
      <c r="E7633">
        <v>1</v>
      </c>
      <c r="F7633" t="s">
        <v>9033</v>
      </c>
    </row>
    <row r="7634" spans="1:6" x14ac:dyDescent="0.25">
      <c r="A7634" t="s">
        <v>10927</v>
      </c>
      <c r="B7634" t="s">
        <v>288</v>
      </c>
      <c r="C7634" t="s">
        <v>289</v>
      </c>
      <c r="D7634" t="str">
        <f>HYPERLINK("http://service.sap.com/sap/support/notes/1857452","1857452")</f>
        <v>1857452</v>
      </c>
      <c r="E7634">
        <v>5</v>
      </c>
      <c r="F7634" t="s">
        <v>9034</v>
      </c>
    </row>
    <row r="7635" spans="1:6" x14ac:dyDescent="0.25">
      <c r="A7635" t="s">
        <v>10927</v>
      </c>
      <c r="B7635" t="s">
        <v>288</v>
      </c>
      <c r="C7635" t="s">
        <v>289</v>
      </c>
      <c r="D7635" t="str">
        <f>HYPERLINK("http://service.sap.com/sap/support/notes/1859386","1859386")</f>
        <v>1859386</v>
      </c>
      <c r="E7635">
        <v>1</v>
      </c>
      <c r="F7635" t="s">
        <v>9035</v>
      </c>
    </row>
    <row r="7636" spans="1:6" x14ac:dyDescent="0.25">
      <c r="A7636" t="s">
        <v>10927</v>
      </c>
      <c r="B7636" t="s">
        <v>288</v>
      </c>
      <c r="C7636" t="s">
        <v>289</v>
      </c>
      <c r="D7636" t="str">
        <f>HYPERLINK("http://service.sap.com/sap/support/notes/1860019","1860019")</f>
        <v>1860019</v>
      </c>
      <c r="E7636">
        <v>1</v>
      </c>
      <c r="F7636" t="s">
        <v>9036</v>
      </c>
    </row>
    <row r="7637" spans="1:6" x14ac:dyDescent="0.25">
      <c r="A7637" t="s">
        <v>10927</v>
      </c>
      <c r="B7637" t="s">
        <v>288</v>
      </c>
      <c r="C7637" t="s">
        <v>289</v>
      </c>
      <c r="D7637" t="str">
        <f>HYPERLINK("http://service.sap.com/sap/support/notes/1862153","1862153")</f>
        <v>1862153</v>
      </c>
      <c r="E7637">
        <v>2</v>
      </c>
      <c r="F7637" t="s">
        <v>9037</v>
      </c>
    </row>
    <row r="7638" spans="1:6" x14ac:dyDescent="0.25">
      <c r="A7638" t="s">
        <v>10927</v>
      </c>
      <c r="B7638" t="s">
        <v>293</v>
      </c>
      <c r="C7638" t="s">
        <v>294</v>
      </c>
      <c r="D7638" t="str">
        <f>HYPERLINK("http://service.sap.com/sap/support/notes/1824462","1824462")</f>
        <v>1824462</v>
      </c>
      <c r="E7638">
        <v>2</v>
      </c>
      <c r="F7638" t="s">
        <v>9038</v>
      </c>
    </row>
    <row r="7639" spans="1:6" x14ac:dyDescent="0.25">
      <c r="A7639" t="s">
        <v>10927</v>
      </c>
      <c r="B7639" t="s">
        <v>293</v>
      </c>
      <c r="C7639" t="s">
        <v>294</v>
      </c>
      <c r="D7639" t="str">
        <f>HYPERLINK("http://service.sap.com/sap/support/notes/1840488","1840488")</f>
        <v>1840488</v>
      </c>
      <c r="E7639">
        <v>2</v>
      </c>
      <c r="F7639" t="s">
        <v>9039</v>
      </c>
    </row>
    <row r="7640" spans="1:6" x14ac:dyDescent="0.25">
      <c r="A7640" t="s">
        <v>10927</v>
      </c>
      <c r="B7640" t="s">
        <v>293</v>
      </c>
      <c r="C7640" t="s">
        <v>294</v>
      </c>
      <c r="D7640" t="str">
        <f>HYPERLINK("http://service.sap.com/sap/support/notes/1843205","1843205")</f>
        <v>1843205</v>
      </c>
      <c r="E7640">
        <v>3</v>
      </c>
      <c r="F7640" t="s">
        <v>9040</v>
      </c>
    </row>
    <row r="7641" spans="1:6" x14ac:dyDescent="0.25">
      <c r="A7641" t="s">
        <v>10927</v>
      </c>
      <c r="B7641" t="s">
        <v>293</v>
      </c>
      <c r="C7641" t="s">
        <v>294</v>
      </c>
      <c r="D7641" t="str">
        <f>HYPERLINK("http://service.sap.com/sap/support/notes/1854901","1854901")</f>
        <v>1854901</v>
      </c>
      <c r="E7641">
        <v>2</v>
      </c>
      <c r="F7641" t="s">
        <v>9041</v>
      </c>
    </row>
    <row r="7642" spans="1:6" x14ac:dyDescent="0.25">
      <c r="A7642" t="s">
        <v>10927</v>
      </c>
      <c r="B7642" t="s">
        <v>293</v>
      </c>
      <c r="C7642" t="s">
        <v>294</v>
      </c>
      <c r="D7642" t="str">
        <f>HYPERLINK("http://service.sap.com/sap/support/notes/1863108","1863108")</f>
        <v>1863108</v>
      </c>
      <c r="E7642">
        <v>4</v>
      </c>
      <c r="F7642" t="s">
        <v>9042</v>
      </c>
    </row>
    <row r="7643" spans="1:6" x14ac:dyDescent="0.25">
      <c r="A7643" t="s">
        <v>10927</v>
      </c>
      <c r="B7643" t="s">
        <v>297</v>
      </c>
      <c r="C7643" t="s">
        <v>298</v>
      </c>
      <c r="D7643" t="str">
        <f>HYPERLINK("http://service.sap.com/sap/support/notes/1835012","1835012")</f>
        <v>1835012</v>
      </c>
      <c r="E7643">
        <v>1</v>
      </c>
      <c r="F7643" t="s">
        <v>9043</v>
      </c>
    </row>
    <row r="7644" spans="1:6" x14ac:dyDescent="0.25">
      <c r="A7644" t="s">
        <v>10927</v>
      </c>
      <c r="B7644" t="s">
        <v>297</v>
      </c>
      <c r="C7644" t="s">
        <v>298</v>
      </c>
      <c r="D7644" t="str">
        <f>HYPERLINK("http://service.sap.com/sap/support/notes/1835227","1835227")</f>
        <v>1835227</v>
      </c>
      <c r="E7644">
        <v>3</v>
      </c>
      <c r="F7644" t="s">
        <v>9044</v>
      </c>
    </row>
    <row r="7645" spans="1:6" x14ac:dyDescent="0.25">
      <c r="A7645" t="s">
        <v>10927</v>
      </c>
      <c r="B7645" t="s">
        <v>297</v>
      </c>
      <c r="C7645" t="s">
        <v>298</v>
      </c>
      <c r="D7645" t="str">
        <f>HYPERLINK("http://service.sap.com/sap/support/notes/1856838","1856838")</f>
        <v>1856838</v>
      </c>
      <c r="E7645">
        <v>1</v>
      </c>
      <c r="F7645" t="s">
        <v>9045</v>
      </c>
    </row>
    <row r="7646" spans="1:6" x14ac:dyDescent="0.25">
      <c r="A7646" t="s">
        <v>10927</v>
      </c>
      <c r="B7646" t="s">
        <v>307</v>
      </c>
      <c r="C7646" t="s">
        <v>308</v>
      </c>
    </row>
    <row r="7647" spans="1:6" x14ac:dyDescent="0.25">
      <c r="A7647" t="s">
        <v>10927</v>
      </c>
      <c r="B7647" t="s">
        <v>309</v>
      </c>
      <c r="C7647" t="s">
        <v>310</v>
      </c>
      <c r="D7647" t="str">
        <f>HYPERLINK("http://service.sap.com/sap/support/notes/1832765","1832765")</f>
        <v>1832765</v>
      </c>
      <c r="E7647">
        <v>1</v>
      </c>
      <c r="F7647" t="s">
        <v>9046</v>
      </c>
    </row>
    <row r="7648" spans="1:6" x14ac:dyDescent="0.25">
      <c r="A7648" t="s">
        <v>10927</v>
      </c>
      <c r="B7648" t="s">
        <v>309</v>
      </c>
      <c r="C7648" t="s">
        <v>310</v>
      </c>
      <c r="D7648" t="str">
        <f>HYPERLINK("http://service.sap.com/sap/support/notes/1834248","1834248")</f>
        <v>1834248</v>
      </c>
      <c r="E7648">
        <v>1</v>
      </c>
      <c r="F7648" t="s">
        <v>9047</v>
      </c>
    </row>
    <row r="7649" spans="1:6" x14ac:dyDescent="0.25">
      <c r="A7649" t="s">
        <v>10927</v>
      </c>
      <c r="B7649" t="s">
        <v>312</v>
      </c>
      <c r="C7649" t="s">
        <v>313</v>
      </c>
    </row>
    <row r="7650" spans="1:6" x14ac:dyDescent="0.25">
      <c r="A7650" t="s">
        <v>10927</v>
      </c>
      <c r="B7650" t="s">
        <v>321</v>
      </c>
      <c r="C7650" t="s">
        <v>322</v>
      </c>
      <c r="D7650" t="str">
        <f>HYPERLINK("http://service.sap.com/sap/support/notes/1861544","1861544")</f>
        <v>1861544</v>
      </c>
      <c r="E7650">
        <v>2</v>
      </c>
      <c r="F7650" t="s">
        <v>9048</v>
      </c>
    </row>
    <row r="7651" spans="1:6" x14ac:dyDescent="0.25">
      <c r="A7651" t="s">
        <v>10927</v>
      </c>
      <c r="B7651" t="s">
        <v>331</v>
      </c>
      <c r="C7651" t="s">
        <v>332</v>
      </c>
      <c r="D7651" t="str">
        <f>HYPERLINK("http://service.sap.com/sap/support/notes/1840088","1840088")</f>
        <v>1840088</v>
      </c>
      <c r="E7651">
        <v>2</v>
      </c>
      <c r="F7651" t="s">
        <v>9049</v>
      </c>
    </row>
    <row r="7652" spans="1:6" x14ac:dyDescent="0.25">
      <c r="A7652" t="s">
        <v>10927</v>
      </c>
      <c r="B7652" t="s">
        <v>331</v>
      </c>
      <c r="C7652" t="s">
        <v>332</v>
      </c>
      <c r="D7652" t="str">
        <f>HYPERLINK("http://service.sap.com/sap/support/notes/1856517","1856517")</f>
        <v>1856517</v>
      </c>
      <c r="E7652">
        <v>1</v>
      </c>
      <c r="F7652" t="s">
        <v>9050</v>
      </c>
    </row>
    <row r="7653" spans="1:6" x14ac:dyDescent="0.25">
      <c r="A7653" t="s">
        <v>10927</v>
      </c>
      <c r="B7653" t="s">
        <v>331</v>
      </c>
      <c r="C7653" t="s">
        <v>332</v>
      </c>
      <c r="D7653" t="str">
        <f>HYPERLINK("http://service.sap.com/sap/support/notes/1861664","1861664")</f>
        <v>1861664</v>
      </c>
      <c r="E7653">
        <v>2</v>
      </c>
      <c r="F7653" t="s">
        <v>9051</v>
      </c>
    </row>
    <row r="7654" spans="1:6" x14ac:dyDescent="0.25">
      <c r="A7654" t="s">
        <v>10927</v>
      </c>
      <c r="B7654" t="s">
        <v>335</v>
      </c>
      <c r="C7654" t="s">
        <v>336</v>
      </c>
      <c r="D7654" t="str">
        <f>HYPERLINK("http://service.sap.com/sap/support/notes/1857492","1857492")</f>
        <v>1857492</v>
      </c>
      <c r="E7654">
        <v>1</v>
      </c>
      <c r="F7654" t="s">
        <v>9052</v>
      </c>
    </row>
    <row r="7655" spans="1:6" x14ac:dyDescent="0.25">
      <c r="A7655" t="s">
        <v>10927</v>
      </c>
      <c r="B7655" t="s">
        <v>338</v>
      </c>
      <c r="C7655" t="s">
        <v>339</v>
      </c>
    </row>
    <row r="7656" spans="1:6" x14ac:dyDescent="0.25">
      <c r="A7656" t="s">
        <v>10927</v>
      </c>
      <c r="B7656" t="s">
        <v>340</v>
      </c>
      <c r="C7656" t="s">
        <v>341</v>
      </c>
    </row>
    <row r="7657" spans="1:6" x14ac:dyDescent="0.25">
      <c r="A7657" t="s">
        <v>10927</v>
      </c>
      <c r="B7657" t="s">
        <v>342</v>
      </c>
      <c r="C7657" t="s">
        <v>343</v>
      </c>
      <c r="D7657" t="str">
        <f>HYPERLINK("http://service.sap.com/sap/support/notes/1852932","1852932")</f>
        <v>1852932</v>
      </c>
      <c r="E7657">
        <v>1</v>
      </c>
      <c r="F7657" t="s">
        <v>5037</v>
      </c>
    </row>
    <row r="7658" spans="1:6" x14ac:dyDescent="0.25">
      <c r="A7658" t="s">
        <v>10927</v>
      </c>
      <c r="B7658" t="s">
        <v>342</v>
      </c>
      <c r="C7658" t="s">
        <v>343</v>
      </c>
      <c r="D7658" t="str">
        <f>HYPERLINK("http://service.sap.com/sap/support/notes/1863555","1863555")</f>
        <v>1863555</v>
      </c>
      <c r="E7658">
        <v>1</v>
      </c>
      <c r="F7658" t="s">
        <v>9053</v>
      </c>
    </row>
    <row r="7659" spans="1:6" x14ac:dyDescent="0.25">
      <c r="A7659" t="s">
        <v>10927</v>
      </c>
      <c r="B7659" t="s">
        <v>347</v>
      </c>
      <c r="C7659" t="s">
        <v>348</v>
      </c>
      <c r="D7659" t="str">
        <f>HYPERLINK("http://service.sap.com/sap/support/notes/1853574","1853574")</f>
        <v>1853574</v>
      </c>
      <c r="E7659">
        <v>1</v>
      </c>
      <c r="F7659" t="s">
        <v>9054</v>
      </c>
    </row>
    <row r="7660" spans="1:6" x14ac:dyDescent="0.25">
      <c r="A7660" t="s">
        <v>10927</v>
      </c>
      <c r="B7660" t="s">
        <v>347</v>
      </c>
      <c r="C7660" t="s">
        <v>348</v>
      </c>
      <c r="D7660" t="str">
        <f>HYPERLINK("http://service.sap.com/sap/support/notes/1855032","1855032")</f>
        <v>1855032</v>
      </c>
      <c r="E7660">
        <v>1</v>
      </c>
      <c r="F7660" t="s">
        <v>9055</v>
      </c>
    </row>
    <row r="7661" spans="1:6" x14ac:dyDescent="0.25">
      <c r="A7661" t="s">
        <v>10927</v>
      </c>
      <c r="B7661" t="s">
        <v>347</v>
      </c>
      <c r="C7661" t="s">
        <v>348</v>
      </c>
      <c r="D7661" t="str">
        <f>HYPERLINK("http://service.sap.com/sap/support/notes/1858576","1858576")</f>
        <v>1858576</v>
      </c>
      <c r="E7661">
        <v>2</v>
      </c>
      <c r="F7661" t="s">
        <v>9056</v>
      </c>
    </row>
    <row r="7662" spans="1:6" x14ac:dyDescent="0.25">
      <c r="A7662" t="s">
        <v>10927</v>
      </c>
      <c r="B7662" t="s">
        <v>356</v>
      </c>
      <c r="C7662" t="s">
        <v>357</v>
      </c>
      <c r="D7662" t="str">
        <f>HYPERLINK("http://service.sap.com/sap/support/notes/1818113","1818113")</f>
        <v>1818113</v>
      </c>
      <c r="E7662">
        <v>1</v>
      </c>
      <c r="F7662" t="s">
        <v>6588</v>
      </c>
    </row>
    <row r="7663" spans="1:6" x14ac:dyDescent="0.25">
      <c r="A7663" t="s">
        <v>10927</v>
      </c>
      <c r="B7663" t="s">
        <v>356</v>
      </c>
      <c r="C7663" t="s">
        <v>357</v>
      </c>
      <c r="D7663" t="str">
        <f>HYPERLINK("http://service.sap.com/sap/support/notes/1831421","1831421")</f>
        <v>1831421</v>
      </c>
      <c r="E7663">
        <v>5</v>
      </c>
      <c r="F7663" t="s">
        <v>9057</v>
      </c>
    </row>
    <row r="7664" spans="1:6" x14ac:dyDescent="0.25">
      <c r="A7664" t="s">
        <v>10927</v>
      </c>
      <c r="B7664" t="s">
        <v>356</v>
      </c>
      <c r="C7664" t="s">
        <v>357</v>
      </c>
      <c r="D7664" t="str">
        <f>HYPERLINK("http://service.sap.com/sap/support/notes/1845345","1845345")</f>
        <v>1845345</v>
      </c>
      <c r="E7664">
        <v>2</v>
      </c>
      <c r="F7664" t="s">
        <v>9058</v>
      </c>
    </row>
    <row r="7665" spans="1:6" x14ac:dyDescent="0.25">
      <c r="A7665" t="s">
        <v>10927</v>
      </c>
      <c r="B7665" t="s">
        <v>356</v>
      </c>
      <c r="C7665" t="s">
        <v>357</v>
      </c>
      <c r="D7665" t="str">
        <f>HYPERLINK("http://service.sap.com/sap/support/notes/1862681","1862681")</f>
        <v>1862681</v>
      </c>
      <c r="E7665">
        <v>1</v>
      </c>
      <c r="F7665" t="s">
        <v>9059</v>
      </c>
    </row>
    <row r="7666" spans="1:6" x14ac:dyDescent="0.25">
      <c r="A7666" t="s">
        <v>10927</v>
      </c>
      <c r="B7666" t="s">
        <v>9060</v>
      </c>
      <c r="C7666" t="s">
        <v>3151</v>
      </c>
      <c r="D7666" t="str">
        <f>HYPERLINK("http://service.sap.com/sap/support/notes/1848450","1848450")</f>
        <v>1848450</v>
      </c>
      <c r="E7666">
        <v>1</v>
      </c>
      <c r="F7666" t="s">
        <v>9061</v>
      </c>
    </row>
    <row r="7667" spans="1:6" x14ac:dyDescent="0.25">
      <c r="A7667" t="s">
        <v>10927</v>
      </c>
      <c r="B7667" t="s">
        <v>9060</v>
      </c>
      <c r="C7667" t="s">
        <v>3151</v>
      </c>
      <c r="D7667" t="str">
        <f>HYPERLINK("http://service.sap.com/sap/support/notes/1860353","1860353")</f>
        <v>1860353</v>
      </c>
      <c r="E7667">
        <v>1</v>
      </c>
      <c r="F7667" t="s">
        <v>9062</v>
      </c>
    </row>
    <row r="7668" spans="1:6" x14ac:dyDescent="0.25">
      <c r="A7668" t="s">
        <v>10927</v>
      </c>
      <c r="B7668" t="s">
        <v>389</v>
      </c>
      <c r="C7668" t="s">
        <v>390</v>
      </c>
      <c r="D7668" t="str">
        <f>HYPERLINK("http://service.sap.com/sap/support/notes/1717396","1717396")</f>
        <v>1717396</v>
      </c>
      <c r="E7668">
        <v>1</v>
      </c>
      <c r="F7668" t="s">
        <v>9063</v>
      </c>
    </row>
    <row r="7669" spans="1:6" x14ac:dyDescent="0.25">
      <c r="A7669" t="s">
        <v>10927</v>
      </c>
      <c r="B7669" t="s">
        <v>389</v>
      </c>
      <c r="C7669" t="s">
        <v>390</v>
      </c>
      <c r="D7669" t="str">
        <f>HYPERLINK("http://service.sap.com/sap/support/notes/1736559","1736559")</f>
        <v>1736559</v>
      </c>
      <c r="E7669">
        <v>2</v>
      </c>
      <c r="F7669" t="s">
        <v>9064</v>
      </c>
    </row>
    <row r="7670" spans="1:6" x14ac:dyDescent="0.25">
      <c r="A7670" t="s">
        <v>10927</v>
      </c>
      <c r="B7670" t="s">
        <v>389</v>
      </c>
      <c r="C7670" t="s">
        <v>390</v>
      </c>
      <c r="D7670" t="str">
        <f>HYPERLINK("http://service.sap.com/sap/support/notes/1811445","1811445")</f>
        <v>1811445</v>
      </c>
      <c r="E7670">
        <v>3</v>
      </c>
      <c r="F7670" t="s">
        <v>9065</v>
      </c>
    </row>
    <row r="7671" spans="1:6" x14ac:dyDescent="0.25">
      <c r="A7671" t="s">
        <v>10927</v>
      </c>
      <c r="B7671" t="s">
        <v>389</v>
      </c>
      <c r="C7671" t="s">
        <v>390</v>
      </c>
      <c r="D7671" t="str">
        <f>HYPERLINK("http://service.sap.com/sap/support/notes/1841843","1841843")</f>
        <v>1841843</v>
      </c>
      <c r="E7671">
        <v>1</v>
      </c>
      <c r="F7671" t="s">
        <v>9066</v>
      </c>
    </row>
    <row r="7672" spans="1:6" x14ac:dyDescent="0.25">
      <c r="A7672" t="s">
        <v>10927</v>
      </c>
      <c r="B7672" t="s">
        <v>9067</v>
      </c>
      <c r="C7672" t="s">
        <v>9068</v>
      </c>
      <c r="D7672" t="str">
        <f>HYPERLINK("http://service.sap.com/sap/support/notes/1830323","1830323")</f>
        <v>1830323</v>
      </c>
      <c r="E7672">
        <v>2</v>
      </c>
      <c r="F7672" t="s">
        <v>9069</v>
      </c>
    </row>
    <row r="7673" spans="1:6" x14ac:dyDescent="0.25">
      <c r="A7673" t="s">
        <v>10927</v>
      </c>
      <c r="B7673" t="s">
        <v>9070</v>
      </c>
      <c r="C7673" t="s">
        <v>9071</v>
      </c>
      <c r="D7673" t="str">
        <f>HYPERLINK("http://service.sap.com/sap/support/notes/1708896","1708896")</f>
        <v>1708896</v>
      </c>
      <c r="E7673">
        <v>2</v>
      </c>
      <c r="F7673" t="s">
        <v>9072</v>
      </c>
    </row>
    <row r="7674" spans="1:6" x14ac:dyDescent="0.25">
      <c r="A7674" t="s">
        <v>10927</v>
      </c>
      <c r="B7674" t="s">
        <v>9073</v>
      </c>
      <c r="C7674" t="s">
        <v>9074</v>
      </c>
    </row>
    <row r="7675" spans="1:6" x14ac:dyDescent="0.25">
      <c r="A7675" t="s">
        <v>10927</v>
      </c>
      <c r="B7675" t="s">
        <v>9075</v>
      </c>
      <c r="C7675" t="s">
        <v>9076</v>
      </c>
      <c r="D7675" t="str">
        <f>HYPERLINK("http://service.sap.com/sap/support/notes/1836444","1836444")</f>
        <v>1836444</v>
      </c>
      <c r="E7675">
        <v>2</v>
      </c>
      <c r="F7675" t="s">
        <v>9077</v>
      </c>
    </row>
    <row r="7676" spans="1:6" x14ac:dyDescent="0.25">
      <c r="A7676" t="s">
        <v>10927</v>
      </c>
      <c r="B7676" t="s">
        <v>401</v>
      </c>
      <c r="C7676" t="s">
        <v>183</v>
      </c>
    </row>
    <row r="7677" spans="1:6" x14ac:dyDescent="0.25">
      <c r="A7677" t="s">
        <v>10927</v>
      </c>
      <c r="B7677" t="s">
        <v>403</v>
      </c>
      <c r="C7677" t="s">
        <v>185</v>
      </c>
      <c r="D7677" t="str">
        <f>HYPERLINK("http://service.sap.com/sap/support/notes/1823707","1823707")</f>
        <v>1823707</v>
      </c>
      <c r="E7677">
        <v>3</v>
      </c>
      <c r="F7677" t="s">
        <v>9078</v>
      </c>
    </row>
    <row r="7678" spans="1:6" x14ac:dyDescent="0.25">
      <c r="A7678" t="s">
        <v>10927</v>
      </c>
      <c r="B7678" t="s">
        <v>403</v>
      </c>
      <c r="C7678" t="s">
        <v>185</v>
      </c>
      <c r="D7678" t="str">
        <f>HYPERLINK("http://service.sap.com/sap/support/notes/1834922","1834922")</f>
        <v>1834922</v>
      </c>
      <c r="E7678">
        <v>1</v>
      </c>
      <c r="F7678" t="s">
        <v>9079</v>
      </c>
    </row>
    <row r="7679" spans="1:6" x14ac:dyDescent="0.25">
      <c r="A7679" t="s">
        <v>10927</v>
      </c>
      <c r="B7679" t="s">
        <v>403</v>
      </c>
      <c r="C7679" t="s">
        <v>185</v>
      </c>
      <c r="D7679" t="str">
        <f>HYPERLINK("http://service.sap.com/sap/support/notes/1836261","1836261")</f>
        <v>1836261</v>
      </c>
      <c r="E7679">
        <v>5</v>
      </c>
      <c r="F7679" t="s">
        <v>9080</v>
      </c>
    </row>
    <row r="7680" spans="1:6" x14ac:dyDescent="0.25">
      <c r="A7680" t="s">
        <v>10927</v>
      </c>
      <c r="B7680" t="s">
        <v>403</v>
      </c>
      <c r="C7680" t="s">
        <v>185</v>
      </c>
      <c r="D7680" t="str">
        <f>HYPERLINK("http://service.sap.com/sap/support/notes/1837183","1837183")</f>
        <v>1837183</v>
      </c>
      <c r="E7680">
        <v>2</v>
      </c>
      <c r="F7680" t="s">
        <v>9081</v>
      </c>
    </row>
    <row r="7681" spans="1:6" x14ac:dyDescent="0.25">
      <c r="A7681" t="s">
        <v>10927</v>
      </c>
      <c r="B7681" t="s">
        <v>403</v>
      </c>
      <c r="C7681" t="s">
        <v>185</v>
      </c>
      <c r="D7681" t="str">
        <f>HYPERLINK("http://service.sap.com/sap/support/notes/1843130","1843130")</f>
        <v>1843130</v>
      </c>
      <c r="E7681">
        <v>3</v>
      </c>
      <c r="F7681" t="s">
        <v>9082</v>
      </c>
    </row>
    <row r="7682" spans="1:6" x14ac:dyDescent="0.25">
      <c r="A7682" t="s">
        <v>10927</v>
      </c>
      <c r="B7682" t="s">
        <v>403</v>
      </c>
      <c r="C7682" t="s">
        <v>185</v>
      </c>
      <c r="D7682" t="str">
        <f>HYPERLINK("http://service.sap.com/sap/support/notes/1849171","1849171")</f>
        <v>1849171</v>
      </c>
      <c r="E7682">
        <v>2</v>
      </c>
      <c r="F7682" t="s">
        <v>9083</v>
      </c>
    </row>
    <row r="7683" spans="1:6" x14ac:dyDescent="0.25">
      <c r="A7683" t="s">
        <v>10927</v>
      </c>
      <c r="B7683" t="s">
        <v>403</v>
      </c>
      <c r="C7683" t="s">
        <v>185</v>
      </c>
      <c r="D7683" t="str">
        <f>HYPERLINK("http://service.sap.com/sap/support/notes/1853148","1853148")</f>
        <v>1853148</v>
      </c>
      <c r="E7683">
        <v>2</v>
      </c>
      <c r="F7683" t="s">
        <v>9084</v>
      </c>
    </row>
    <row r="7684" spans="1:6" x14ac:dyDescent="0.25">
      <c r="A7684" t="s">
        <v>10927</v>
      </c>
      <c r="B7684" t="s">
        <v>423</v>
      </c>
      <c r="C7684" t="s">
        <v>424</v>
      </c>
      <c r="D7684" t="str">
        <f>HYPERLINK("http://service.sap.com/sap/support/notes/1845160","1845160")</f>
        <v>1845160</v>
      </c>
      <c r="E7684">
        <v>3</v>
      </c>
      <c r="F7684" t="s">
        <v>9085</v>
      </c>
    </row>
    <row r="7685" spans="1:6" x14ac:dyDescent="0.25">
      <c r="A7685" t="s">
        <v>10927</v>
      </c>
      <c r="B7685" t="s">
        <v>6608</v>
      </c>
      <c r="C7685" t="s">
        <v>29</v>
      </c>
      <c r="D7685" t="str">
        <f>HYPERLINK("http://service.sap.com/sap/support/notes/1842393","1842393")</f>
        <v>1842393</v>
      </c>
      <c r="E7685">
        <v>2</v>
      </c>
      <c r="F7685" t="s">
        <v>9086</v>
      </c>
    </row>
    <row r="7686" spans="1:6" x14ac:dyDescent="0.25">
      <c r="A7686" t="s">
        <v>10927</v>
      </c>
      <c r="B7686" t="s">
        <v>442</v>
      </c>
      <c r="C7686" t="s">
        <v>9087</v>
      </c>
      <c r="D7686" t="str">
        <f>HYPERLINK("http://service.sap.com/sap/support/notes/1832659","1832659")</f>
        <v>1832659</v>
      </c>
      <c r="E7686">
        <v>2</v>
      </c>
      <c r="F7686" t="s">
        <v>9088</v>
      </c>
    </row>
    <row r="7687" spans="1:6" x14ac:dyDescent="0.25">
      <c r="A7687" t="s">
        <v>10927</v>
      </c>
      <c r="B7687" t="s">
        <v>4333</v>
      </c>
      <c r="C7687" t="s">
        <v>29</v>
      </c>
      <c r="D7687" t="str">
        <f>HYPERLINK("http://service.sap.com/sap/support/notes/779734","779734")</f>
        <v>779734</v>
      </c>
      <c r="E7687">
        <v>4</v>
      </c>
      <c r="F7687" t="s">
        <v>9089</v>
      </c>
    </row>
    <row r="7688" spans="1:6" x14ac:dyDescent="0.25">
      <c r="A7688" t="s">
        <v>10927</v>
      </c>
      <c r="B7688" t="s">
        <v>4333</v>
      </c>
      <c r="C7688" t="s">
        <v>29</v>
      </c>
      <c r="D7688" t="str">
        <f>HYPERLINK("http://service.sap.com/sap/support/notes/1842226","1842226")</f>
        <v>1842226</v>
      </c>
      <c r="E7688">
        <v>2</v>
      </c>
      <c r="F7688" t="s">
        <v>9090</v>
      </c>
    </row>
    <row r="7689" spans="1:6" x14ac:dyDescent="0.25">
      <c r="A7689" t="s">
        <v>10927</v>
      </c>
      <c r="B7689" t="s">
        <v>450</v>
      </c>
      <c r="C7689" t="s">
        <v>451</v>
      </c>
      <c r="D7689" t="str">
        <f>HYPERLINK("http://service.sap.com/sap/support/notes/1845579","1845579")</f>
        <v>1845579</v>
      </c>
      <c r="E7689">
        <v>2</v>
      </c>
      <c r="F7689" t="s">
        <v>9091</v>
      </c>
    </row>
    <row r="7690" spans="1:6" x14ac:dyDescent="0.25">
      <c r="A7690" t="s">
        <v>10927</v>
      </c>
      <c r="B7690" t="s">
        <v>450</v>
      </c>
      <c r="C7690" t="s">
        <v>451</v>
      </c>
      <c r="D7690" t="str">
        <f>HYPERLINK("http://service.sap.com/sap/support/notes/1849242","1849242")</f>
        <v>1849242</v>
      </c>
      <c r="E7690">
        <v>2</v>
      </c>
      <c r="F7690" t="s">
        <v>9092</v>
      </c>
    </row>
    <row r="7691" spans="1:6" x14ac:dyDescent="0.25">
      <c r="A7691" t="s">
        <v>10927</v>
      </c>
      <c r="B7691" t="s">
        <v>456</v>
      </c>
      <c r="C7691" t="s">
        <v>431</v>
      </c>
      <c r="D7691" t="str">
        <f>HYPERLINK("http://service.sap.com/sap/support/notes/1853395","1853395")</f>
        <v>1853395</v>
      </c>
      <c r="E7691">
        <v>1</v>
      </c>
      <c r="F7691" t="s">
        <v>9093</v>
      </c>
    </row>
    <row r="7692" spans="1:6" x14ac:dyDescent="0.25">
      <c r="A7692" t="s">
        <v>10927</v>
      </c>
      <c r="B7692" t="s">
        <v>456</v>
      </c>
      <c r="C7692" t="s">
        <v>431</v>
      </c>
      <c r="D7692" t="str">
        <f>HYPERLINK("http://service.sap.com/sap/support/notes/1857839","1857839")</f>
        <v>1857839</v>
      </c>
      <c r="E7692">
        <v>2</v>
      </c>
      <c r="F7692" t="s">
        <v>9094</v>
      </c>
    </row>
    <row r="7693" spans="1:6" x14ac:dyDescent="0.25">
      <c r="A7693" t="s">
        <v>10927</v>
      </c>
      <c r="B7693" t="s">
        <v>465</v>
      </c>
      <c r="C7693" t="s">
        <v>466</v>
      </c>
      <c r="D7693" t="str">
        <f>HYPERLINK("http://service.sap.com/sap/support/notes/873604","873604")</f>
        <v>873604</v>
      </c>
      <c r="E7693">
        <v>3</v>
      </c>
      <c r="F7693" t="s">
        <v>9095</v>
      </c>
    </row>
    <row r="7694" spans="1:6" x14ac:dyDescent="0.25">
      <c r="A7694" t="s">
        <v>10927</v>
      </c>
      <c r="B7694" t="s">
        <v>469</v>
      </c>
      <c r="C7694" t="s">
        <v>470</v>
      </c>
    </row>
    <row r="7695" spans="1:6" x14ac:dyDescent="0.25">
      <c r="A7695" t="s">
        <v>10927</v>
      </c>
      <c r="B7695" t="s">
        <v>471</v>
      </c>
      <c r="C7695" t="s">
        <v>451</v>
      </c>
      <c r="D7695" t="str">
        <f>HYPERLINK("http://service.sap.com/sap/support/notes/1830924","1830924")</f>
        <v>1830924</v>
      </c>
      <c r="E7695">
        <v>2</v>
      </c>
      <c r="F7695" t="s">
        <v>9096</v>
      </c>
    </row>
    <row r="7696" spans="1:6" x14ac:dyDescent="0.25">
      <c r="A7696" t="s">
        <v>10927</v>
      </c>
      <c r="B7696" t="s">
        <v>473</v>
      </c>
      <c r="C7696" t="s">
        <v>474</v>
      </c>
      <c r="D7696" t="str">
        <f>HYPERLINK("http://service.sap.com/sap/support/notes/1837282","1837282")</f>
        <v>1837282</v>
      </c>
      <c r="E7696">
        <v>3</v>
      </c>
      <c r="F7696" t="s">
        <v>9097</v>
      </c>
    </row>
    <row r="7697" spans="1:6" x14ac:dyDescent="0.25">
      <c r="A7697" t="s">
        <v>10927</v>
      </c>
      <c r="B7697" t="s">
        <v>473</v>
      </c>
      <c r="C7697" t="s">
        <v>474</v>
      </c>
      <c r="D7697" t="str">
        <f>HYPERLINK("http://service.sap.com/sap/support/notes/1845240","1845240")</f>
        <v>1845240</v>
      </c>
      <c r="E7697">
        <v>2</v>
      </c>
      <c r="F7697" t="s">
        <v>9098</v>
      </c>
    </row>
    <row r="7698" spans="1:6" x14ac:dyDescent="0.25">
      <c r="A7698" t="s">
        <v>10927</v>
      </c>
      <c r="B7698" t="s">
        <v>473</v>
      </c>
      <c r="C7698" t="s">
        <v>474</v>
      </c>
      <c r="D7698" t="str">
        <f>HYPERLINK("http://service.sap.com/sap/support/notes/1848203","1848203")</f>
        <v>1848203</v>
      </c>
      <c r="E7698">
        <v>2</v>
      </c>
      <c r="F7698" t="s">
        <v>9099</v>
      </c>
    </row>
    <row r="7699" spans="1:6" x14ac:dyDescent="0.25">
      <c r="A7699" t="s">
        <v>10927</v>
      </c>
      <c r="B7699" t="s">
        <v>473</v>
      </c>
      <c r="C7699" t="s">
        <v>474</v>
      </c>
      <c r="D7699" t="str">
        <f>HYPERLINK("http://service.sap.com/sap/support/notes/1852839","1852839")</f>
        <v>1852839</v>
      </c>
      <c r="E7699">
        <v>3</v>
      </c>
      <c r="F7699" t="s">
        <v>9100</v>
      </c>
    </row>
    <row r="7700" spans="1:6" x14ac:dyDescent="0.25">
      <c r="A7700" t="s">
        <v>10927</v>
      </c>
      <c r="B7700" t="s">
        <v>479</v>
      </c>
      <c r="C7700" t="s">
        <v>480</v>
      </c>
      <c r="D7700" t="str">
        <f>HYPERLINK("http://service.sap.com/sap/support/notes/1866325","1866325")</f>
        <v>1866325</v>
      </c>
      <c r="E7700">
        <v>1</v>
      </c>
      <c r="F7700" t="s">
        <v>9101</v>
      </c>
    </row>
    <row r="7701" spans="1:6" x14ac:dyDescent="0.25">
      <c r="A7701" t="s">
        <v>10927</v>
      </c>
      <c r="B7701" t="s">
        <v>481</v>
      </c>
      <c r="C7701" t="s">
        <v>29</v>
      </c>
      <c r="D7701" t="str">
        <f>HYPERLINK("http://service.sap.com/sap/support/notes/1855196","1855196")</f>
        <v>1855196</v>
      </c>
      <c r="E7701">
        <v>1</v>
      </c>
      <c r="F7701" t="s">
        <v>9102</v>
      </c>
    </row>
    <row r="7702" spans="1:6" x14ac:dyDescent="0.25">
      <c r="A7702" t="s">
        <v>10927</v>
      </c>
      <c r="B7702" t="s">
        <v>489</v>
      </c>
      <c r="C7702" t="s">
        <v>490</v>
      </c>
      <c r="D7702" t="str">
        <f>HYPERLINK("http://service.sap.com/sap/support/notes/1820273","1820273")</f>
        <v>1820273</v>
      </c>
      <c r="E7702">
        <v>2</v>
      </c>
      <c r="F7702" t="s">
        <v>9103</v>
      </c>
    </row>
    <row r="7703" spans="1:6" x14ac:dyDescent="0.25">
      <c r="A7703" t="s">
        <v>10927</v>
      </c>
      <c r="B7703" t="s">
        <v>489</v>
      </c>
      <c r="C7703" t="s">
        <v>490</v>
      </c>
      <c r="D7703" t="str">
        <f>HYPERLINK("http://service.sap.com/sap/support/notes/1822401","1822401")</f>
        <v>1822401</v>
      </c>
      <c r="E7703">
        <v>3</v>
      </c>
      <c r="F7703" t="s">
        <v>9104</v>
      </c>
    </row>
    <row r="7704" spans="1:6" x14ac:dyDescent="0.25">
      <c r="A7704" t="s">
        <v>10927</v>
      </c>
      <c r="B7704" t="s">
        <v>489</v>
      </c>
      <c r="C7704" t="s">
        <v>490</v>
      </c>
      <c r="D7704" t="str">
        <f>HYPERLINK("http://service.sap.com/sap/support/notes/1832018","1832018")</f>
        <v>1832018</v>
      </c>
      <c r="E7704">
        <v>2</v>
      </c>
      <c r="F7704" t="s">
        <v>9105</v>
      </c>
    </row>
    <row r="7705" spans="1:6" x14ac:dyDescent="0.25">
      <c r="A7705" t="s">
        <v>10927</v>
      </c>
      <c r="B7705" t="s">
        <v>489</v>
      </c>
      <c r="C7705" t="s">
        <v>490</v>
      </c>
      <c r="D7705" t="str">
        <f>HYPERLINK("http://service.sap.com/sap/support/notes/1835688","1835688")</f>
        <v>1835688</v>
      </c>
      <c r="E7705">
        <v>3</v>
      </c>
      <c r="F7705" t="s">
        <v>9106</v>
      </c>
    </row>
    <row r="7706" spans="1:6" x14ac:dyDescent="0.25">
      <c r="A7706" t="s">
        <v>10927</v>
      </c>
      <c r="B7706" t="s">
        <v>489</v>
      </c>
      <c r="C7706" t="s">
        <v>490</v>
      </c>
      <c r="D7706" t="str">
        <f>HYPERLINK("http://service.sap.com/sap/support/notes/1837672","1837672")</f>
        <v>1837672</v>
      </c>
      <c r="E7706">
        <v>2</v>
      </c>
      <c r="F7706" t="s">
        <v>9107</v>
      </c>
    </row>
    <row r="7707" spans="1:6" x14ac:dyDescent="0.25">
      <c r="A7707" t="s">
        <v>10927</v>
      </c>
      <c r="B7707" t="s">
        <v>489</v>
      </c>
      <c r="C7707" t="s">
        <v>490</v>
      </c>
      <c r="D7707" t="str">
        <f>HYPERLINK("http://service.sap.com/sap/support/notes/1840182","1840182")</f>
        <v>1840182</v>
      </c>
      <c r="E7707">
        <v>2</v>
      </c>
      <c r="F7707" t="s">
        <v>9108</v>
      </c>
    </row>
    <row r="7708" spans="1:6" x14ac:dyDescent="0.25">
      <c r="A7708" t="s">
        <v>10927</v>
      </c>
      <c r="B7708" t="s">
        <v>501</v>
      </c>
      <c r="C7708" t="s">
        <v>502</v>
      </c>
      <c r="D7708" t="str">
        <f>HYPERLINK("http://service.sap.com/sap/support/notes/1825880","1825880")</f>
        <v>1825880</v>
      </c>
      <c r="E7708">
        <v>1</v>
      </c>
      <c r="F7708" t="s">
        <v>9109</v>
      </c>
    </row>
    <row r="7709" spans="1:6" x14ac:dyDescent="0.25">
      <c r="A7709" t="s">
        <v>10927</v>
      </c>
      <c r="B7709" t="s">
        <v>519</v>
      </c>
      <c r="C7709" t="s">
        <v>190</v>
      </c>
      <c r="D7709" t="str">
        <f>HYPERLINK("http://service.sap.com/sap/support/notes/1799231","1799231")</f>
        <v>1799231</v>
      </c>
      <c r="E7709">
        <v>1</v>
      </c>
      <c r="F7709" t="s">
        <v>9110</v>
      </c>
    </row>
    <row r="7710" spans="1:6" x14ac:dyDescent="0.25">
      <c r="A7710" t="s">
        <v>10927</v>
      </c>
      <c r="B7710" t="s">
        <v>519</v>
      </c>
      <c r="C7710" t="s">
        <v>190</v>
      </c>
      <c r="D7710" t="str">
        <f>HYPERLINK("http://service.sap.com/sap/support/notes/1823814","1823814")</f>
        <v>1823814</v>
      </c>
      <c r="E7710">
        <v>6</v>
      </c>
      <c r="F7710" t="s">
        <v>9111</v>
      </c>
    </row>
    <row r="7711" spans="1:6" x14ac:dyDescent="0.25">
      <c r="A7711" t="s">
        <v>10927</v>
      </c>
      <c r="B7711" t="s">
        <v>519</v>
      </c>
      <c r="C7711" t="s">
        <v>190</v>
      </c>
      <c r="D7711" t="str">
        <f>HYPERLINK("http://service.sap.com/sap/support/notes/1824548","1824548")</f>
        <v>1824548</v>
      </c>
      <c r="E7711">
        <v>1</v>
      </c>
      <c r="F7711" t="s">
        <v>9112</v>
      </c>
    </row>
    <row r="7712" spans="1:6" x14ac:dyDescent="0.25">
      <c r="A7712" t="s">
        <v>10927</v>
      </c>
      <c r="B7712" t="s">
        <v>519</v>
      </c>
      <c r="C7712" t="s">
        <v>190</v>
      </c>
      <c r="D7712" t="str">
        <f>HYPERLINK("http://service.sap.com/sap/support/notes/1831670","1831670")</f>
        <v>1831670</v>
      </c>
      <c r="E7712">
        <v>2</v>
      </c>
      <c r="F7712" t="s">
        <v>9113</v>
      </c>
    </row>
    <row r="7713" spans="1:6" x14ac:dyDescent="0.25">
      <c r="A7713" t="s">
        <v>10927</v>
      </c>
      <c r="B7713" t="s">
        <v>519</v>
      </c>
      <c r="C7713" t="s">
        <v>190</v>
      </c>
      <c r="D7713" t="str">
        <f>HYPERLINK("http://service.sap.com/sap/support/notes/1836874","1836874")</f>
        <v>1836874</v>
      </c>
      <c r="E7713">
        <v>2</v>
      </c>
      <c r="F7713" t="s">
        <v>9114</v>
      </c>
    </row>
    <row r="7714" spans="1:6" x14ac:dyDescent="0.25">
      <c r="A7714" t="s">
        <v>10927</v>
      </c>
      <c r="B7714" t="s">
        <v>519</v>
      </c>
      <c r="C7714" t="s">
        <v>190</v>
      </c>
      <c r="D7714" t="str">
        <f>HYPERLINK("http://service.sap.com/sap/support/notes/1851103","1851103")</f>
        <v>1851103</v>
      </c>
      <c r="E7714">
        <v>1</v>
      </c>
      <c r="F7714" t="s">
        <v>9115</v>
      </c>
    </row>
    <row r="7715" spans="1:6" x14ac:dyDescent="0.25">
      <c r="A7715" t="s">
        <v>10927</v>
      </c>
      <c r="B7715" t="s">
        <v>519</v>
      </c>
      <c r="C7715" t="s">
        <v>190</v>
      </c>
      <c r="D7715" t="str">
        <f>HYPERLINK("http://service.sap.com/sap/support/notes/1858023","1858023")</f>
        <v>1858023</v>
      </c>
      <c r="E7715">
        <v>2</v>
      </c>
      <c r="F7715" t="s">
        <v>9116</v>
      </c>
    </row>
    <row r="7716" spans="1:6" x14ac:dyDescent="0.25">
      <c r="A7716" t="s">
        <v>10927</v>
      </c>
      <c r="B7716" t="s">
        <v>519</v>
      </c>
      <c r="C7716" t="s">
        <v>190</v>
      </c>
      <c r="D7716" t="str">
        <f>HYPERLINK("http://service.sap.com/sap/support/notes/1860367","1860367")</f>
        <v>1860367</v>
      </c>
      <c r="E7716">
        <v>2</v>
      </c>
      <c r="F7716" t="s">
        <v>9117</v>
      </c>
    </row>
    <row r="7717" spans="1:6" x14ac:dyDescent="0.25">
      <c r="A7717" t="s">
        <v>10927</v>
      </c>
      <c r="B7717" t="s">
        <v>519</v>
      </c>
      <c r="C7717" t="s">
        <v>190</v>
      </c>
      <c r="D7717" t="str">
        <f>HYPERLINK("http://service.sap.com/sap/support/notes/1864229","1864229")</f>
        <v>1864229</v>
      </c>
      <c r="E7717">
        <v>1</v>
      </c>
      <c r="F7717" t="s">
        <v>9118</v>
      </c>
    </row>
    <row r="7718" spans="1:6" x14ac:dyDescent="0.25">
      <c r="A7718" t="s">
        <v>10927</v>
      </c>
      <c r="B7718" t="s">
        <v>519</v>
      </c>
      <c r="C7718" t="s">
        <v>190</v>
      </c>
      <c r="D7718" t="str">
        <f>HYPERLINK("http://service.sap.com/sap/support/notes/1865302","1865302")</f>
        <v>1865302</v>
      </c>
      <c r="E7718">
        <v>3</v>
      </c>
      <c r="F7718" t="s">
        <v>9119</v>
      </c>
    </row>
    <row r="7719" spans="1:6" x14ac:dyDescent="0.25">
      <c r="A7719" t="s">
        <v>10927</v>
      </c>
      <c r="B7719" t="s">
        <v>535</v>
      </c>
      <c r="C7719" t="s">
        <v>536</v>
      </c>
      <c r="D7719" t="str">
        <f>HYPERLINK("http://service.sap.com/sap/support/notes/1816729","1816729")</f>
        <v>1816729</v>
      </c>
      <c r="E7719">
        <v>4</v>
      </c>
      <c r="F7719" t="s">
        <v>9120</v>
      </c>
    </row>
    <row r="7720" spans="1:6" x14ac:dyDescent="0.25">
      <c r="A7720" t="s">
        <v>10927</v>
      </c>
      <c r="B7720" t="s">
        <v>535</v>
      </c>
      <c r="C7720" t="s">
        <v>536</v>
      </c>
      <c r="D7720" t="str">
        <f>HYPERLINK("http://service.sap.com/sap/support/notes/1816993","1816993")</f>
        <v>1816993</v>
      </c>
      <c r="E7720">
        <v>1</v>
      </c>
      <c r="F7720" t="s">
        <v>9121</v>
      </c>
    </row>
    <row r="7721" spans="1:6" x14ac:dyDescent="0.25">
      <c r="A7721" t="s">
        <v>10927</v>
      </c>
      <c r="B7721" t="s">
        <v>4381</v>
      </c>
      <c r="C7721" t="s">
        <v>824</v>
      </c>
      <c r="D7721" t="str">
        <f>HYPERLINK("http://service.sap.com/sap/support/notes/1828339","1828339")</f>
        <v>1828339</v>
      </c>
      <c r="E7721">
        <v>2</v>
      </c>
      <c r="F7721" t="s">
        <v>9122</v>
      </c>
    </row>
    <row r="7722" spans="1:6" x14ac:dyDescent="0.25">
      <c r="A7722" t="s">
        <v>10927</v>
      </c>
      <c r="B7722" t="s">
        <v>543</v>
      </c>
      <c r="C7722" t="s">
        <v>29</v>
      </c>
      <c r="D7722" t="str">
        <f>HYPERLINK("http://service.sap.com/sap/support/notes/1738732","1738732")</f>
        <v>1738732</v>
      </c>
      <c r="E7722">
        <v>4</v>
      </c>
      <c r="F7722" t="s">
        <v>9123</v>
      </c>
    </row>
    <row r="7723" spans="1:6" x14ac:dyDescent="0.25">
      <c r="A7723" t="s">
        <v>10927</v>
      </c>
      <c r="B7723" t="s">
        <v>543</v>
      </c>
      <c r="C7723" t="s">
        <v>29</v>
      </c>
      <c r="D7723" t="str">
        <f>HYPERLINK("http://service.sap.com/sap/support/notes/1823666","1823666")</f>
        <v>1823666</v>
      </c>
      <c r="E7723">
        <v>2</v>
      </c>
      <c r="F7723" t="s">
        <v>9124</v>
      </c>
    </row>
    <row r="7724" spans="1:6" x14ac:dyDescent="0.25">
      <c r="A7724" t="s">
        <v>10927</v>
      </c>
      <c r="B7724" t="s">
        <v>543</v>
      </c>
      <c r="C7724" t="s">
        <v>29</v>
      </c>
      <c r="D7724" t="str">
        <f>HYPERLINK("http://service.sap.com/sap/support/notes/1839589","1839589")</f>
        <v>1839589</v>
      </c>
      <c r="E7724">
        <v>2</v>
      </c>
      <c r="F7724" t="s">
        <v>9125</v>
      </c>
    </row>
    <row r="7725" spans="1:6" x14ac:dyDescent="0.25">
      <c r="A7725" t="s">
        <v>10927</v>
      </c>
      <c r="B7725" t="s">
        <v>543</v>
      </c>
      <c r="C7725" t="s">
        <v>29</v>
      </c>
      <c r="D7725" t="str">
        <f>HYPERLINK("http://service.sap.com/sap/support/notes/1860176","1860176")</f>
        <v>1860176</v>
      </c>
      <c r="E7725">
        <v>2</v>
      </c>
      <c r="F7725" t="s">
        <v>9126</v>
      </c>
    </row>
    <row r="7726" spans="1:6" x14ac:dyDescent="0.25">
      <c r="A7726" t="s">
        <v>10927</v>
      </c>
      <c r="B7726" t="s">
        <v>4393</v>
      </c>
      <c r="C7726" t="s">
        <v>3041</v>
      </c>
      <c r="D7726" t="str">
        <f>HYPERLINK("http://service.sap.com/sap/support/notes/1836557","1836557")</f>
        <v>1836557</v>
      </c>
      <c r="E7726">
        <v>3</v>
      </c>
      <c r="F7726" t="s">
        <v>9127</v>
      </c>
    </row>
    <row r="7727" spans="1:6" x14ac:dyDescent="0.25">
      <c r="A7727" t="s">
        <v>10927</v>
      </c>
      <c r="B7727" t="s">
        <v>550</v>
      </c>
      <c r="C7727" t="s">
        <v>551</v>
      </c>
      <c r="D7727" t="str">
        <f>HYPERLINK("http://service.sap.com/sap/support/notes/1802650","1802650")</f>
        <v>1802650</v>
      </c>
      <c r="E7727">
        <v>1</v>
      </c>
      <c r="F7727" t="s">
        <v>9128</v>
      </c>
    </row>
    <row r="7728" spans="1:6" x14ac:dyDescent="0.25">
      <c r="A7728" t="s">
        <v>10927</v>
      </c>
      <c r="B7728" t="s">
        <v>553</v>
      </c>
      <c r="C7728" t="s">
        <v>554</v>
      </c>
    </row>
    <row r="7729" spans="1:6" x14ac:dyDescent="0.25">
      <c r="A7729" t="s">
        <v>10927</v>
      </c>
      <c r="B7729" t="s">
        <v>555</v>
      </c>
      <c r="C7729" t="s">
        <v>556</v>
      </c>
      <c r="D7729" t="str">
        <f>HYPERLINK("http://service.sap.com/sap/support/notes/1508613","1508613")</f>
        <v>1508613</v>
      </c>
      <c r="E7729">
        <v>12</v>
      </c>
      <c r="F7729" t="s">
        <v>9129</v>
      </c>
    </row>
    <row r="7730" spans="1:6" x14ac:dyDescent="0.25">
      <c r="A7730" t="s">
        <v>10927</v>
      </c>
      <c r="B7730" t="s">
        <v>555</v>
      </c>
      <c r="C7730" t="s">
        <v>556</v>
      </c>
      <c r="D7730" t="str">
        <f>HYPERLINK("http://service.sap.com/sap/support/notes/1528057","1528057")</f>
        <v>1528057</v>
      </c>
      <c r="E7730">
        <v>7</v>
      </c>
      <c r="F7730" t="s">
        <v>9130</v>
      </c>
    </row>
    <row r="7731" spans="1:6" x14ac:dyDescent="0.25">
      <c r="A7731" t="s">
        <v>10927</v>
      </c>
      <c r="B7731" t="s">
        <v>555</v>
      </c>
      <c r="C7731" t="s">
        <v>556</v>
      </c>
      <c r="D7731" t="str">
        <f>HYPERLINK("http://service.sap.com/sap/support/notes/1717292","1717292")</f>
        <v>1717292</v>
      </c>
      <c r="E7731">
        <v>3</v>
      </c>
      <c r="F7731" t="s">
        <v>9131</v>
      </c>
    </row>
    <row r="7732" spans="1:6" x14ac:dyDescent="0.25">
      <c r="A7732" t="s">
        <v>10927</v>
      </c>
      <c r="B7732" t="s">
        <v>555</v>
      </c>
      <c r="C7732" t="s">
        <v>556</v>
      </c>
      <c r="D7732" t="str">
        <f>HYPERLINK("http://service.sap.com/sap/support/notes/1722907","1722907")</f>
        <v>1722907</v>
      </c>
      <c r="E7732">
        <v>7</v>
      </c>
      <c r="F7732" t="s">
        <v>9132</v>
      </c>
    </row>
    <row r="7733" spans="1:6" x14ac:dyDescent="0.25">
      <c r="A7733" t="s">
        <v>10927</v>
      </c>
      <c r="B7733" t="s">
        <v>555</v>
      </c>
      <c r="C7733" t="s">
        <v>556</v>
      </c>
      <c r="D7733" t="str">
        <f>HYPERLINK("http://service.sap.com/sap/support/notes/1736133","1736133")</f>
        <v>1736133</v>
      </c>
      <c r="E7733">
        <v>15</v>
      </c>
      <c r="F7733" t="s">
        <v>9133</v>
      </c>
    </row>
    <row r="7734" spans="1:6" x14ac:dyDescent="0.25">
      <c r="A7734" t="s">
        <v>10927</v>
      </c>
      <c r="B7734" t="s">
        <v>555</v>
      </c>
      <c r="C7734" t="s">
        <v>556</v>
      </c>
      <c r="D7734" t="str">
        <f>HYPERLINK("http://service.sap.com/sap/support/notes/1743029","1743029")</f>
        <v>1743029</v>
      </c>
      <c r="E7734">
        <v>3</v>
      </c>
      <c r="F7734" t="s">
        <v>9134</v>
      </c>
    </row>
    <row r="7735" spans="1:6" x14ac:dyDescent="0.25">
      <c r="A7735" t="s">
        <v>10927</v>
      </c>
      <c r="B7735" t="s">
        <v>555</v>
      </c>
      <c r="C7735" t="s">
        <v>556</v>
      </c>
      <c r="D7735" t="str">
        <f>HYPERLINK("http://service.sap.com/sap/support/notes/1769226","1769226")</f>
        <v>1769226</v>
      </c>
      <c r="E7735">
        <v>4</v>
      </c>
      <c r="F7735" t="s">
        <v>9135</v>
      </c>
    </row>
    <row r="7736" spans="1:6" x14ac:dyDescent="0.25">
      <c r="A7736" t="s">
        <v>10927</v>
      </c>
      <c r="B7736" t="s">
        <v>555</v>
      </c>
      <c r="C7736" t="s">
        <v>556</v>
      </c>
      <c r="D7736" t="str">
        <f>HYPERLINK("http://service.sap.com/sap/support/notes/1783766","1783766")</f>
        <v>1783766</v>
      </c>
      <c r="E7736">
        <v>3</v>
      </c>
      <c r="F7736" t="s">
        <v>9136</v>
      </c>
    </row>
    <row r="7737" spans="1:6" x14ac:dyDescent="0.25">
      <c r="A7737" t="s">
        <v>10927</v>
      </c>
      <c r="B7737" t="s">
        <v>555</v>
      </c>
      <c r="C7737" t="s">
        <v>556</v>
      </c>
      <c r="D7737" t="str">
        <f>HYPERLINK("http://service.sap.com/sap/support/notes/1798337","1798337")</f>
        <v>1798337</v>
      </c>
      <c r="E7737">
        <v>4</v>
      </c>
      <c r="F7737" t="s">
        <v>9137</v>
      </c>
    </row>
    <row r="7738" spans="1:6" x14ac:dyDescent="0.25">
      <c r="A7738" t="s">
        <v>10927</v>
      </c>
      <c r="B7738" t="s">
        <v>555</v>
      </c>
      <c r="C7738" t="s">
        <v>556</v>
      </c>
      <c r="D7738" t="str">
        <f>HYPERLINK("http://service.sap.com/sap/support/notes/1807442","1807442")</f>
        <v>1807442</v>
      </c>
      <c r="E7738">
        <v>5</v>
      </c>
      <c r="F7738" t="s">
        <v>9138</v>
      </c>
    </row>
    <row r="7739" spans="1:6" x14ac:dyDescent="0.25">
      <c r="A7739" t="s">
        <v>10927</v>
      </c>
      <c r="B7739" t="s">
        <v>555</v>
      </c>
      <c r="C7739" t="s">
        <v>556</v>
      </c>
      <c r="D7739" t="str">
        <f>HYPERLINK("http://service.sap.com/sap/support/notes/1807713","1807713")</f>
        <v>1807713</v>
      </c>
      <c r="E7739">
        <v>2</v>
      </c>
      <c r="F7739" t="s">
        <v>9139</v>
      </c>
    </row>
    <row r="7740" spans="1:6" x14ac:dyDescent="0.25">
      <c r="A7740" t="s">
        <v>10927</v>
      </c>
      <c r="B7740" t="s">
        <v>555</v>
      </c>
      <c r="C7740" t="s">
        <v>556</v>
      </c>
      <c r="D7740" t="str">
        <f>HYPERLINK("http://service.sap.com/sap/support/notes/1807968","1807968")</f>
        <v>1807968</v>
      </c>
      <c r="E7740">
        <v>3</v>
      </c>
      <c r="F7740" t="s">
        <v>9140</v>
      </c>
    </row>
    <row r="7741" spans="1:6" x14ac:dyDescent="0.25">
      <c r="A7741" t="s">
        <v>10927</v>
      </c>
      <c r="B7741" t="s">
        <v>555</v>
      </c>
      <c r="C7741" t="s">
        <v>556</v>
      </c>
      <c r="D7741" t="str">
        <f>HYPERLINK("http://service.sap.com/sap/support/notes/1813250","1813250")</f>
        <v>1813250</v>
      </c>
      <c r="E7741">
        <v>3</v>
      </c>
    </row>
    <row r="7742" spans="1:6" x14ac:dyDescent="0.25">
      <c r="A7742" t="s">
        <v>10927</v>
      </c>
      <c r="B7742" t="s">
        <v>555</v>
      </c>
      <c r="C7742" t="s">
        <v>556</v>
      </c>
      <c r="D7742" t="str">
        <f>HYPERLINK("http://service.sap.com/sap/support/notes/1820970","1820970")</f>
        <v>1820970</v>
      </c>
      <c r="E7742">
        <v>5</v>
      </c>
    </row>
    <row r="7743" spans="1:6" x14ac:dyDescent="0.25">
      <c r="A7743" t="s">
        <v>10927</v>
      </c>
      <c r="B7743" t="s">
        <v>555</v>
      </c>
      <c r="C7743" t="s">
        <v>556</v>
      </c>
      <c r="D7743" t="str">
        <f>HYPERLINK("http://service.sap.com/sap/support/notes/1821737","1821737")</f>
        <v>1821737</v>
      </c>
      <c r="E7743">
        <v>3</v>
      </c>
    </row>
    <row r="7744" spans="1:6" x14ac:dyDescent="0.25">
      <c r="A7744" t="s">
        <v>10927</v>
      </c>
      <c r="B7744" t="s">
        <v>555</v>
      </c>
      <c r="C7744" t="s">
        <v>556</v>
      </c>
      <c r="D7744" t="str">
        <f>HYPERLINK("http://service.sap.com/sap/support/notes/1822600","1822600")</f>
        <v>1822600</v>
      </c>
      <c r="E7744">
        <v>3</v>
      </c>
      <c r="F7744" t="s">
        <v>9141</v>
      </c>
    </row>
    <row r="7745" spans="1:6" x14ac:dyDescent="0.25">
      <c r="A7745" t="s">
        <v>10927</v>
      </c>
      <c r="B7745" t="s">
        <v>555</v>
      </c>
      <c r="C7745" t="s">
        <v>556</v>
      </c>
      <c r="D7745" t="str">
        <f>HYPERLINK("http://service.sap.com/sap/support/notes/1831872","1831872")</f>
        <v>1831872</v>
      </c>
      <c r="E7745">
        <v>2</v>
      </c>
      <c r="F7745" t="s">
        <v>9142</v>
      </c>
    </row>
    <row r="7746" spans="1:6" x14ac:dyDescent="0.25">
      <c r="A7746" t="s">
        <v>10927</v>
      </c>
      <c r="B7746" t="s">
        <v>555</v>
      </c>
      <c r="C7746" t="s">
        <v>556</v>
      </c>
      <c r="D7746" t="str">
        <f>HYPERLINK("http://service.sap.com/sap/support/notes/1831924","1831924")</f>
        <v>1831924</v>
      </c>
      <c r="E7746">
        <v>3</v>
      </c>
    </row>
    <row r="7747" spans="1:6" x14ac:dyDescent="0.25">
      <c r="A7747" t="s">
        <v>10927</v>
      </c>
      <c r="B7747" t="s">
        <v>555</v>
      </c>
      <c r="C7747" t="s">
        <v>556</v>
      </c>
      <c r="D7747" t="str">
        <f>HYPERLINK("http://service.sap.com/sap/support/notes/1835040","1835040")</f>
        <v>1835040</v>
      </c>
      <c r="E7747">
        <v>2</v>
      </c>
    </row>
    <row r="7748" spans="1:6" x14ac:dyDescent="0.25">
      <c r="A7748" t="s">
        <v>10927</v>
      </c>
      <c r="B7748" t="s">
        <v>555</v>
      </c>
      <c r="C7748" t="s">
        <v>556</v>
      </c>
      <c r="D7748" t="str">
        <f>HYPERLINK("http://service.sap.com/sap/support/notes/1836589","1836589")</f>
        <v>1836589</v>
      </c>
      <c r="E7748">
        <v>2</v>
      </c>
      <c r="F7748" t="s">
        <v>9143</v>
      </c>
    </row>
    <row r="7749" spans="1:6" x14ac:dyDescent="0.25">
      <c r="A7749" t="s">
        <v>10927</v>
      </c>
      <c r="B7749" t="s">
        <v>555</v>
      </c>
      <c r="C7749" t="s">
        <v>556</v>
      </c>
      <c r="D7749" t="str">
        <f>HYPERLINK("http://service.sap.com/sap/support/notes/1839981","1839981")</f>
        <v>1839981</v>
      </c>
      <c r="E7749">
        <v>2</v>
      </c>
    </row>
    <row r="7750" spans="1:6" x14ac:dyDescent="0.25">
      <c r="A7750" t="s">
        <v>10927</v>
      </c>
      <c r="B7750" t="s">
        <v>555</v>
      </c>
      <c r="C7750" t="s">
        <v>556</v>
      </c>
      <c r="D7750" t="str">
        <f>HYPERLINK("http://service.sap.com/sap/support/notes/1840403","1840403")</f>
        <v>1840403</v>
      </c>
      <c r="E7750">
        <v>2</v>
      </c>
    </row>
    <row r="7751" spans="1:6" x14ac:dyDescent="0.25">
      <c r="A7751" t="s">
        <v>10927</v>
      </c>
      <c r="B7751" t="s">
        <v>555</v>
      </c>
      <c r="C7751" t="s">
        <v>556</v>
      </c>
      <c r="D7751" t="str">
        <f>HYPERLINK("http://service.sap.com/sap/support/notes/1841079","1841079")</f>
        <v>1841079</v>
      </c>
      <c r="E7751">
        <v>2</v>
      </c>
      <c r="F7751" t="s">
        <v>9144</v>
      </c>
    </row>
    <row r="7752" spans="1:6" x14ac:dyDescent="0.25">
      <c r="A7752" t="s">
        <v>10927</v>
      </c>
      <c r="B7752" t="s">
        <v>555</v>
      </c>
      <c r="C7752" t="s">
        <v>556</v>
      </c>
      <c r="D7752" t="str">
        <f>HYPERLINK("http://service.sap.com/sap/support/notes/1843670","1843670")</f>
        <v>1843670</v>
      </c>
      <c r="E7752">
        <v>2</v>
      </c>
    </row>
    <row r="7753" spans="1:6" x14ac:dyDescent="0.25">
      <c r="A7753" t="s">
        <v>10927</v>
      </c>
      <c r="B7753" t="s">
        <v>555</v>
      </c>
      <c r="C7753" t="s">
        <v>556</v>
      </c>
      <c r="D7753" t="str">
        <f>HYPERLINK("http://service.sap.com/sap/support/notes/1847371","1847371")</f>
        <v>1847371</v>
      </c>
      <c r="E7753">
        <v>2</v>
      </c>
      <c r="F7753" t="s">
        <v>9145</v>
      </c>
    </row>
    <row r="7754" spans="1:6" x14ac:dyDescent="0.25">
      <c r="A7754" t="s">
        <v>10927</v>
      </c>
      <c r="B7754" t="s">
        <v>555</v>
      </c>
      <c r="C7754" t="s">
        <v>556</v>
      </c>
      <c r="D7754" t="str">
        <f>HYPERLINK("http://service.sap.com/sap/support/notes/1858144","1858144")</f>
        <v>1858144</v>
      </c>
      <c r="E7754">
        <v>1</v>
      </c>
      <c r="F7754" t="s">
        <v>9146</v>
      </c>
    </row>
    <row r="7755" spans="1:6" x14ac:dyDescent="0.25">
      <c r="A7755" t="s">
        <v>10927</v>
      </c>
      <c r="B7755" t="s">
        <v>555</v>
      </c>
      <c r="C7755" t="s">
        <v>556</v>
      </c>
      <c r="D7755" t="str">
        <f>HYPERLINK("http://service.sap.com/sap/support/notes/1860897","1860897")</f>
        <v>1860897</v>
      </c>
      <c r="E7755">
        <v>3</v>
      </c>
      <c r="F7755" t="s">
        <v>9147</v>
      </c>
    </row>
    <row r="7756" spans="1:6" x14ac:dyDescent="0.25">
      <c r="A7756" t="s">
        <v>10927</v>
      </c>
      <c r="B7756" t="s">
        <v>4419</v>
      </c>
      <c r="C7756" t="s">
        <v>4420</v>
      </c>
      <c r="D7756" t="str">
        <f>HYPERLINK("http://service.sap.com/sap/support/notes/1841681","1841681")</f>
        <v>1841681</v>
      </c>
      <c r="E7756">
        <v>2</v>
      </c>
      <c r="F7756" t="s">
        <v>9148</v>
      </c>
    </row>
    <row r="7757" spans="1:6" x14ac:dyDescent="0.25">
      <c r="A7757" t="s">
        <v>10927</v>
      </c>
      <c r="B7757" t="s">
        <v>4419</v>
      </c>
      <c r="C7757" t="s">
        <v>4420</v>
      </c>
      <c r="D7757" t="str">
        <f>HYPERLINK("http://service.sap.com/sap/support/notes/1860223","1860223")</f>
        <v>1860223</v>
      </c>
      <c r="E7757">
        <v>2</v>
      </c>
      <c r="F7757" t="s">
        <v>9149</v>
      </c>
    </row>
    <row r="7758" spans="1:6" x14ac:dyDescent="0.25">
      <c r="A7758" t="s">
        <v>10927</v>
      </c>
      <c r="B7758" t="s">
        <v>585</v>
      </c>
      <c r="C7758" t="s">
        <v>586</v>
      </c>
      <c r="D7758" t="str">
        <f>HYPERLINK("http://service.sap.com/sap/support/notes/1843079","1843079")</f>
        <v>1843079</v>
      </c>
      <c r="E7758">
        <v>3</v>
      </c>
      <c r="F7758" t="s">
        <v>9150</v>
      </c>
    </row>
    <row r="7759" spans="1:6" x14ac:dyDescent="0.25">
      <c r="A7759" t="s">
        <v>10927</v>
      </c>
      <c r="B7759" t="s">
        <v>4427</v>
      </c>
      <c r="C7759" t="s">
        <v>4428</v>
      </c>
      <c r="D7759" t="str">
        <f>HYPERLINK("http://service.sap.com/sap/support/notes/968201","968201")</f>
        <v>968201</v>
      </c>
      <c r="E7759">
        <v>7</v>
      </c>
      <c r="F7759" t="s">
        <v>9151</v>
      </c>
    </row>
    <row r="7760" spans="1:6" x14ac:dyDescent="0.25">
      <c r="A7760" t="s">
        <v>10927</v>
      </c>
      <c r="B7760" t="s">
        <v>4427</v>
      </c>
      <c r="C7760" t="s">
        <v>4428</v>
      </c>
      <c r="D7760" t="str">
        <f>HYPERLINK("http://service.sap.com/sap/support/notes/1741680","1741680")</f>
        <v>1741680</v>
      </c>
      <c r="E7760">
        <v>3</v>
      </c>
      <c r="F7760" t="s">
        <v>9152</v>
      </c>
    </row>
    <row r="7761" spans="1:6" x14ac:dyDescent="0.25">
      <c r="A7761" t="s">
        <v>10927</v>
      </c>
      <c r="B7761" t="s">
        <v>9153</v>
      </c>
      <c r="C7761" t="s">
        <v>9154</v>
      </c>
      <c r="D7761" t="str">
        <f>HYPERLINK("http://service.sap.com/sap/support/notes/1742070","1742070")</f>
        <v>1742070</v>
      </c>
      <c r="E7761">
        <v>5</v>
      </c>
      <c r="F7761" t="s">
        <v>9155</v>
      </c>
    </row>
    <row r="7762" spans="1:6" x14ac:dyDescent="0.25">
      <c r="A7762" t="s">
        <v>10927</v>
      </c>
      <c r="B7762" t="s">
        <v>9153</v>
      </c>
      <c r="C7762" t="s">
        <v>9154</v>
      </c>
      <c r="D7762" t="str">
        <f>HYPERLINK("http://service.sap.com/sap/support/notes/1811465","1811465")</f>
        <v>1811465</v>
      </c>
      <c r="E7762">
        <v>2</v>
      </c>
      <c r="F7762" t="s">
        <v>9156</v>
      </c>
    </row>
    <row r="7763" spans="1:6" x14ac:dyDescent="0.25">
      <c r="A7763" t="s">
        <v>10927</v>
      </c>
      <c r="B7763" t="s">
        <v>593</v>
      </c>
      <c r="C7763" t="s">
        <v>594</v>
      </c>
      <c r="D7763" t="str">
        <f>HYPERLINK("http://service.sap.com/sap/support/notes/1844495","1844495")</f>
        <v>1844495</v>
      </c>
      <c r="E7763">
        <v>2</v>
      </c>
      <c r="F7763" t="s">
        <v>9157</v>
      </c>
    </row>
    <row r="7764" spans="1:6" x14ac:dyDescent="0.25">
      <c r="A7764" t="s">
        <v>10927</v>
      </c>
      <c r="B7764" t="s">
        <v>4444</v>
      </c>
      <c r="C7764" t="s">
        <v>4445</v>
      </c>
      <c r="D7764" t="str">
        <f>HYPERLINK("http://service.sap.com/sap/support/notes/1855240","1855240")</f>
        <v>1855240</v>
      </c>
      <c r="E7764">
        <v>2</v>
      </c>
      <c r="F7764" t="s">
        <v>9158</v>
      </c>
    </row>
    <row r="7765" spans="1:6" x14ac:dyDescent="0.25">
      <c r="A7765" t="s">
        <v>10927</v>
      </c>
      <c r="B7765" t="s">
        <v>598</v>
      </c>
      <c r="C7765" t="s">
        <v>599</v>
      </c>
      <c r="D7765" t="str">
        <f>HYPERLINK("http://service.sap.com/sap/support/notes/1827609","1827609")</f>
        <v>1827609</v>
      </c>
      <c r="E7765">
        <v>4</v>
      </c>
      <c r="F7765" t="s">
        <v>9159</v>
      </c>
    </row>
    <row r="7766" spans="1:6" x14ac:dyDescent="0.25">
      <c r="A7766" t="s">
        <v>10927</v>
      </c>
      <c r="B7766" t="s">
        <v>598</v>
      </c>
      <c r="C7766" t="s">
        <v>599</v>
      </c>
      <c r="D7766" t="str">
        <f>HYPERLINK("http://service.sap.com/sap/support/notes/1850817","1850817")</f>
        <v>1850817</v>
      </c>
      <c r="E7766">
        <v>2</v>
      </c>
      <c r="F7766" t="s">
        <v>9160</v>
      </c>
    </row>
    <row r="7767" spans="1:6" x14ac:dyDescent="0.25">
      <c r="A7767" t="s">
        <v>10927</v>
      </c>
      <c r="B7767" t="s">
        <v>116</v>
      </c>
      <c r="C7767" t="s">
        <v>117</v>
      </c>
    </row>
    <row r="7768" spans="1:6" x14ac:dyDescent="0.25">
      <c r="A7768" t="s">
        <v>10927</v>
      </c>
      <c r="B7768" t="s">
        <v>616</v>
      </c>
      <c r="C7768" t="s">
        <v>617</v>
      </c>
    </row>
    <row r="7769" spans="1:6" x14ac:dyDescent="0.25">
      <c r="A7769" t="s">
        <v>10927</v>
      </c>
      <c r="B7769" t="s">
        <v>618</v>
      </c>
      <c r="C7769" t="s">
        <v>619</v>
      </c>
    </row>
    <row r="7770" spans="1:6" x14ac:dyDescent="0.25">
      <c r="A7770" t="s">
        <v>10927</v>
      </c>
      <c r="B7770" t="s">
        <v>620</v>
      </c>
      <c r="C7770" t="s">
        <v>621</v>
      </c>
      <c r="D7770" t="str">
        <f>HYPERLINK("http://service.sap.com/sap/support/notes/1832749","1832749")</f>
        <v>1832749</v>
      </c>
      <c r="E7770">
        <v>6</v>
      </c>
      <c r="F7770" t="s">
        <v>9161</v>
      </c>
    </row>
    <row r="7771" spans="1:6" x14ac:dyDescent="0.25">
      <c r="A7771" t="s">
        <v>10927</v>
      </c>
      <c r="B7771" t="s">
        <v>623</v>
      </c>
      <c r="C7771" t="s">
        <v>624</v>
      </c>
      <c r="D7771" t="str">
        <f>HYPERLINK("http://service.sap.com/sap/support/notes/1743749","1743749")</f>
        <v>1743749</v>
      </c>
      <c r="E7771">
        <v>9</v>
      </c>
      <c r="F7771" t="s">
        <v>9162</v>
      </c>
    </row>
    <row r="7772" spans="1:6" x14ac:dyDescent="0.25">
      <c r="A7772" t="s">
        <v>10927</v>
      </c>
      <c r="B7772" t="s">
        <v>623</v>
      </c>
      <c r="C7772" t="s">
        <v>624</v>
      </c>
      <c r="D7772" t="str">
        <f>HYPERLINK("http://service.sap.com/sap/support/notes/1798065","1798065")</f>
        <v>1798065</v>
      </c>
      <c r="E7772">
        <v>4</v>
      </c>
      <c r="F7772" t="s">
        <v>9163</v>
      </c>
    </row>
    <row r="7773" spans="1:6" x14ac:dyDescent="0.25">
      <c r="A7773" t="s">
        <v>10927</v>
      </c>
      <c r="B7773" t="s">
        <v>623</v>
      </c>
      <c r="C7773" t="s">
        <v>624</v>
      </c>
      <c r="D7773" t="str">
        <f>HYPERLINK("http://service.sap.com/sap/support/notes/1815398","1815398")</f>
        <v>1815398</v>
      </c>
      <c r="E7773">
        <v>2</v>
      </c>
      <c r="F7773" t="s">
        <v>9164</v>
      </c>
    </row>
    <row r="7774" spans="1:6" x14ac:dyDescent="0.25">
      <c r="A7774" t="s">
        <v>10927</v>
      </c>
      <c r="B7774" t="s">
        <v>626</v>
      </c>
      <c r="C7774" t="s">
        <v>627</v>
      </c>
      <c r="D7774" t="str">
        <f>HYPERLINK("http://service.sap.com/sap/support/notes/1827079","1827079")</f>
        <v>1827079</v>
      </c>
      <c r="E7774">
        <v>2</v>
      </c>
      <c r="F7774" t="s">
        <v>9165</v>
      </c>
    </row>
    <row r="7775" spans="1:6" x14ac:dyDescent="0.25">
      <c r="A7775" t="s">
        <v>10927</v>
      </c>
      <c r="B7775" t="s">
        <v>626</v>
      </c>
      <c r="C7775" t="s">
        <v>627</v>
      </c>
      <c r="D7775" t="str">
        <f>HYPERLINK("http://service.sap.com/sap/support/notes/1848678","1848678")</f>
        <v>1848678</v>
      </c>
      <c r="E7775">
        <v>3</v>
      </c>
      <c r="F7775" t="s">
        <v>9166</v>
      </c>
    </row>
    <row r="7776" spans="1:6" x14ac:dyDescent="0.25">
      <c r="A7776" t="s">
        <v>10927</v>
      </c>
      <c r="B7776" t="s">
        <v>626</v>
      </c>
      <c r="C7776" t="s">
        <v>627</v>
      </c>
      <c r="D7776" t="str">
        <f>HYPERLINK("http://service.sap.com/sap/support/notes/1853853","1853853")</f>
        <v>1853853</v>
      </c>
      <c r="E7776">
        <v>3</v>
      </c>
      <c r="F7776" t="s">
        <v>9167</v>
      </c>
    </row>
    <row r="7777" spans="1:6" x14ac:dyDescent="0.25">
      <c r="A7777" t="s">
        <v>10927</v>
      </c>
      <c r="B7777" t="s">
        <v>630</v>
      </c>
      <c r="C7777" t="s">
        <v>624</v>
      </c>
      <c r="D7777" t="str">
        <f>HYPERLINK("http://service.sap.com/sap/support/notes/1808595","1808595")</f>
        <v>1808595</v>
      </c>
      <c r="E7777">
        <v>4</v>
      </c>
      <c r="F7777" t="s">
        <v>9168</v>
      </c>
    </row>
    <row r="7778" spans="1:6" x14ac:dyDescent="0.25">
      <c r="A7778" t="s">
        <v>10927</v>
      </c>
      <c r="B7778" t="s">
        <v>630</v>
      </c>
      <c r="C7778" t="s">
        <v>624</v>
      </c>
      <c r="D7778" t="str">
        <f>HYPERLINK("http://service.sap.com/sap/support/notes/1836839","1836839")</f>
        <v>1836839</v>
      </c>
      <c r="E7778">
        <v>2</v>
      </c>
      <c r="F7778" t="s">
        <v>9169</v>
      </c>
    </row>
    <row r="7779" spans="1:6" x14ac:dyDescent="0.25">
      <c r="A7779" t="s">
        <v>10927</v>
      </c>
      <c r="B7779" t="s">
        <v>4460</v>
      </c>
      <c r="C7779" t="s">
        <v>4461</v>
      </c>
    </row>
    <row r="7780" spans="1:6" x14ac:dyDescent="0.25">
      <c r="A7780" t="s">
        <v>10927</v>
      </c>
      <c r="B7780" t="s">
        <v>4462</v>
      </c>
      <c r="C7780" t="s">
        <v>4463</v>
      </c>
      <c r="D7780" t="str">
        <f>HYPERLINK("http://service.sap.com/sap/support/notes/1829835","1829835")</f>
        <v>1829835</v>
      </c>
      <c r="E7780">
        <v>3</v>
      </c>
      <c r="F7780" t="s">
        <v>9170</v>
      </c>
    </row>
    <row r="7781" spans="1:6" x14ac:dyDescent="0.25">
      <c r="A7781" t="s">
        <v>10927</v>
      </c>
      <c r="B7781" t="s">
        <v>4462</v>
      </c>
      <c r="C7781" t="s">
        <v>4463</v>
      </c>
      <c r="D7781" t="str">
        <f>HYPERLINK("http://service.sap.com/sap/support/notes/1847531","1847531")</f>
        <v>1847531</v>
      </c>
      <c r="E7781">
        <v>2</v>
      </c>
      <c r="F7781" t="s">
        <v>9171</v>
      </c>
    </row>
    <row r="7782" spans="1:6" x14ac:dyDescent="0.25">
      <c r="A7782" t="s">
        <v>10927</v>
      </c>
      <c r="B7782" t="s">
        <v>655</v>
      </c>
      <c r="C7782" t="s">
        <v>29</v>
      </c>
    </row>
    <row r="7783" spans="1:6" x14ac:dyDescent="0.25">
      <c r="A7783" t="s">
        <v>10927</v>
      </c>
      <c r="B7783" t="s">
        <v>656</v>
      </c>
      <c r="C7783" t="s">
        <v>657</v>
      </c>
    </row>
    <row r="7784" spans="1:6" x14ac:dyDescent="0.25">
      <c r="A7784" t="s">
        <v>10927</v>
      </c>
      <c r="B7784" t="s">
        <v>658</v>
      </c>
      <c r="C7784" t="s">
        <v>659</v>
      </c>
      <c r="D7784" t="str">
        <f>HYPERLINK("http://service.sap.com/sap/support/notes/1814119","1814119")</f>
        <v>1814119</v>
      </c>
      <c r="E7784">
        <v>5</v>
      </c>
      <c r="F7784" t="s">
        <v>9172</v>
      </c>
    </row>
    <row r="7785" spans="1:6" x14ac:dyDescent="0.25">
      <c r="A7785" t="s">
        <v>10927</v>
      </c>
      <c r="B7785" t="s">
        <v>658</v>
      </c>
      <c r="C7785" t="s">
        <v>659</v>
      </c>
      <c r="D7785" t="str">
        <f>HYPERLINK("http://service.sap.com/sap/support/notes/1814138","1814138")</f>
        <v>1814138</v>
      </c>
      <c r="E7785">
        <v>10</v>
      </c>
      <c r="F7785" t="s">
        <v>9173</v>
      </c>
    </row>
    <row r="7786" spans="1:6" x14ac:dyDescent="0.25">
      <c r="A7786" t="s">
        <v>10927</v>
      </c>
      <c r="B7786" t="s">
        <v>662</v>
      </c>
      <c r="C7786" t="s">
        <v>663</v>
      </c>
      <c r="D7786" t="str">
        <f>HYPERLINK("http://service.sap.com/sap/support/notes/1802657","1802657")</f>
        <v>1802657</v>
      </c>
      <c r="E7786">
        <v>12</v>
      </c>
      <c r="F7786" t="s">
        <v>9174</v>
      </c>
    </row>
    <row r="7787" spans="1:6" x14ac:dyDescent="0.25">
      <c r="A7787" t="s">
        <v>10927</v>
      </c>
      <c r="B7787" t="s">
        <v>662</v>
      </c>
      <c r="C7787" t="s">
        <v>663</v>
      </c>
      <c r="D7787" t="str">
        <f>HYPERLINK("http://service.sap.com/sap/support/notes/1812775","1812775")</f>
        <v>1812775</v>
      </c>
      <c r="E7787">
        <v>1</v>
      </c>
      <c r="F7787" t="s">
        <v>9175</v>
      </c>
    </row>
    <row r="7788" spans="1:6" x14ac:dyDescent="0.25">
      <c r="A7788" t="s">
        <v>10927</v>
      </c>
      <c r="B7788" t="s">
        <v>668</v>
      </c>
      <c r="C7788" t="s">
        <v>669</v>
      </c>
    </row>
    <row r="7789" spans="1:6" x14ac:dyDescent="0.25">
      <c r="A7789" t="s">
        <v>10927</v>
      </c>
      <c r="B7789" t="s">
        <v>671</v>
      </c>
      <c r="C7789" t="s">
        <v>672</v>
      </c>
      <c r="D7789" t="str">
        <f>HYPERLINK("http://service.sap.com/sap/support/notes/1846320","1846320")</f>
        <v>1846320</v>
      </c>
      <c r="E7789">
        <v>4</v>
      </c>
      <c r="F7789" t="s">
        <v>9176</v>
      </c>
    </row>
    <row r="7790" spans="1:6" x14ac:dyDescent="0.25">
      <c r="A7790" t="s">
        <v>10927</v>
      </c>
      <c r="B7790" t="s">
        <v>674</v>
      </c>
      <c r="C7790" t="s">
        <v>7388</v>
      </c>
      <c r="D7790" t="str">
        <f>HYPERLINK("http://service.sap.com/sap/support/notes/1861872","1861872")</f>
        <v>1861872</v>
      </c>
      <c r="E7790">
        <v>3</v>
      </c>
      <c r="F7790" t="s">
        <v>9177</v>
      </c>
    </row>
    <row r="7791" spans="1:6" x14ac:dyDescent="0.25">
      <c r="A7791" t="s">
        <v>10927</v>
      </c>
      <c r="B7791" t="s">
        <v>4485</v>
      </c>
      <c r="C7791" t="s">
        <v>1588</v>
      </c>
    </row>
    <row r="7792" spans="1:6" x14ac:dyDescent="0.25">
      <c r="A7792" t="s">
        <v>10927</v>
      </c>
      <c r="B7792" t="s">
        <v>4486</v>
      </c>
      <c r="C7792" t="s">
        <v>657</v>
      </c>
      <c r="D7792" t="str">
        <f>HYPERLINK("http://service.sap.com/sap/support/notes/1861645","1861645")</f>
        <v>1861645</v>
      </c>
      <c r="E7792">
        <v>2</v>
      </c>
      <c r="F7792" t="s">
        <v>9178</v>
      </c>
    </row>
    <row r="7793" spans="1:6" x14ac:dyDescent="0.25">
      <c r="A7793" t="s">
        <v>10927</v>
      </c>
      <c r="B7793" t="s">
        <v>676</v>
      </c>
      <c r="C7793" t="s">
        <v>677</v>
      </c>
    </row>
    <row r="7794" spans="1:6" x14ac:dyDescent="0.25">
      <c r="A7794" t="s">
        <v>10927</v>
      </c>
      <c r="B7794" t="s">
        <v>678</v>
      </c>
      <c r="C7794" t="s">
        <v>677</v>
      </c>
      <c r="D7794" t="str">
        <f>HYPERLINK("http://service.sap.com/sap/support/notes/1792377","1792377")</f>
        <v>1792377</v>
      </c>
      <c r="E7794">
        <v>2</v>
      </c>
      <c r="F7794" t="s">
        <v>9179</v>
      </c>
    </row>
    <row r="7795" spans="1:6" x14ac:dyDescent="0.25">
      <c r="A7795" t="s">
        <v>10927</v>
      </c>
      <c r="B7795" t="s">
        <v>680</v>
      </c>
      <c r="C7795" t="s">
        <v>681</v>
      </c>
    </row>
    <row r="7796" spans="1:6" x14ac:dyDescent="0.25">
      <c r="A7796" t="s">
        <v>10927</v>
      </c>
      <c r="B7796" t="s">
        <v>9180</v>
      </c>
      <c r="C7796" t="s">
        <v>9181</v>
      </c>
      <c r="D7796" t="str">
        <f>HYPERLINK("http://service.sap.com/sap/support/notes/1856248","1856248")</f>
        <v>1856248</v>
      </c>
      <c r="E7796">
        <v>3</v>
      </c>
      <c r="F7796" t="s">
        <v>9182</v>
      </c>
    </row>
    <row r="7797" spans="1:6" x14ac:dyDescent="0.25">
      <c r="A7797" t="s">
        <v>10927</v>
      </c>
      <c r="B7797" t="s">
        <v>690</v>
      </c>
      <c r="C7797" t="s">
        <v>691</v>
      </c>
      <c r="D7797" t="str">
        <f>HYPERLINK("http://service.sap.com/sap/support/notes/1425637","1425637")</f>
        <v>1425637</v>
      </c>
      <c r="E7797">
        <v>3</v>
      </c>
      <c r="F7797" t="s">
        <v>9183</v>
      </c>
    </row>
    <row r="7798" spans="1:6" x14ac:dyDescent="0.25">
      <c r="A7798" t="s">
        <v>10927</v>
      </c>
      <c r="B7798" t="s">
        <v>4489</v>
      </c>
      <c r="C7798" t="s">
        <v>4490</v>
      </c>
      <c r="D7798" t="str">
        <f>HYPERLINK("http://service.sap.com/sap/support/notes/1858753","1858753")</f>
        <v>1858753</v>
      </c>
      <c r="E7798">
        <v>1</v>
      </c>
      <c r="F7798" t="s">
        <v>9184</v>
      </c>
    </row>
    <row r="7799" spans="1:6" x14ac:dyDescent="0.25">
      <c r="A7799" t="s">
        <v>10927</v>
      </c>
      <c r="B7799" t="s">
        <v>4489</v>
      </c>
      <c r="C7799" t="s">
        <v>4490</v>
      </c>
      <c r="D7799" t="str">
        <f>HYPERLINK("http://service.sap.com/sap/support/notes/1859280","1859280")</f>
        <v>1859280</v>
      </c>
      <c r="E7799">
        <v>1</v>
      </c>
      <c r="F7799" t="s">
        <v>9185</v>
      </c>
    </row>
    <row r="7800" spans="1:6" x14ac:dyDescent="0.25">
      <c r="A7800" t="s">
        <v>10927</v>
      </c>
      <c r="B7800" t="s">
        <v>693</v>
      </c>
      <c r="C7800" t="s">
        <v>694</v>
      </c>
    </row>
    <row r="7801" spans="1:6" x14ac:dyDescent="0.25">
      <c r="A7801" t="s">
        <v>10927</v>
      </c>
      <c r="B7801" t="s">
        <v>695</v>
      </c>
      <c r="C7801" t="s">
        <v>696</v>
      </c>
      <c r="D7801" t="str">
        <f>HYPERLINK("http://service.sap.com/sap/support/notes/1860278","1860278")</f>
        <v>1860278</v>
      </c>
      <c r="E7801">
        <v>1</v>
      </c>
      <c r="F7801" t="s">
        <v>9186</v>
      </c>
    </row>
    <row r="7802" spans="1:6" x14ac:dyDescent="0.25">
      <c r="A7802" t="s">
        <v>10927</v>
      </c>
      <c r="B7802" t="s">
        <v>697</v>
      </c>
      <c r="C7802" t="s">
        <v>698</v>
      </c>
    </row>
    <row r="7803" spans="1:6" x14ac:dyDescent="0.25">
      <c r="A7803" t="s">
        <v>10927</v>
      </c>
      <c r="B7803" t="s">
        <v>708</v>
      </c>
      <c r="C7803" t="s">
        <v>709</v>
      </c>
      <c r="D7803" t="str">
        <f>HYPERLINK("http://service.sap.com/sap/support/notes/1833554","1833554")</f>
        <v>1833554</v>
      </c>
      <c r="E7803">
        <v>1</v>
      </c>
      <c r="F7803" t="s">
        <v>9187</v>
      </c>
    </row>
    <row r="7804" spans="1:6" x14ac:dyDescent="0.25">
      <c r="A7804" t="s">
        <v>10927</v>
      </c>
      <c r="B7804" t="s">
        <v>708</v>
      </c>
      <c r="C7804" t="s">
        <v>709</v>
      </c>
      <c r="D7804" t="str">
        <f>HYPERLINK("http://service.sap.com/sap/support/notes/1850502","1850502")</f>
        <v>1850502</v>
      </c>
      <c r="E7804">
        <v>3</v>
      </c>
      <c r="F7804" t="s">
        <v>9188</v>
      </c>
    </row>
    <row r="7805" spans="1:6" x14ac:dyDescent="0.25">
      <c r="A7805" t="s">
        <v>10927</v>
      </c>
      <c r="B7805" t="s">
        <v>708</v>
      </c>
      <c r="C7805" t="s">
        <v>709</v>
      </c>
      <c r="D7805" t="str">
        <f>HYPERLINK("http://service.sap.com/sap/support/notes/1851405","1851405")</f>
        <v>1851405</v>
      </c>
      <c r="E7805">
        <v>3</v>
      </c>
      <c r="F7805" t="s">
        <v>9189</v>
      </c>
    </row>
    <row r="7806" spans="1:6" x14ac:dyDescent="0.25">
      <c r="A7806" t="s">
        <v>10927</v>
      </c>
      <c r="B7806" t="s">
        <v>716</v>
      </c>
      <c r="C7806" t="s">
        <v>717</v>
      </c>
      <c r="D7806" t="str">
        <f>HYPERLINK("http://service.sap.com/sap/support/notes/1825288","1825288")</f>
        <v>1825288</v>
      </c>
      <c r="E7806">
        <v>2</v>
      </c>
      <c r="F7806" t="s">
        <v>9190</v>
      </c>
    </row>
    <row r="7807" spans="1:6" x14ac:dyDescent="0.25">
      <c r="A7807" t="s">
        <v>10927</v>
      </c>
      <c r="B7807" t="s">
        <v>716</v>
      </c>
      <c r="C7807" t="s">
        <v>717</v>
      </c>
      <c r="D7807" t="str">
        <f>HYPERLINK("http://service.sap.com/sap/support/notes/1855396","1855396")</f>
        <v>1855396</v>
      </c>
      <c r="E7807">
        <v>1</v>
      </c>
      <c r="F7807" t="s">
        <v>9191</v>
      </c>
    </row>
    <row r="7808" spans="1:6" x14ac:dyDescent="0.25">
      <c r="A7808" t="s">
        <v>10927</v>
      </c>
      <c r="B7808" t="s">
        <v>719</v>
      </c>
      <c r="C7808" t="s">
        <v>720</v>
      </c>
    </row>
    <row r="7809" spans="1:6" x14ac:dyDescent="0.25">
      <c r="A7809" t="s">
        <v>10927</v>
      </c>
      <c r="B7809" t="s">
        <v>6741</v>
      </c>
      <c r="C7809" t="s">
        <v>6742</v>
      </c>
      <c r="D7809" t="str">
        <f>HYPERLINK("http://service.sap.com/sap/support/notes/1853110","1853110")</f>
        <v>1853110</v>
      </c>
      <c r="E7809">
        <v>2</v>
      </c>
      <c r="F7809" t="s">
        <v>9192</v>
      </c>
    </row>
    <row r="7810" spans="1:6" x14ac:dyDescent="0.25">
      <c r="A7810" t="s">
        <v>10927</v>
      </c>
      <c r="B7810" t="s">
        <v>721</v>
      </c>
      <c r="C7810" t="s">
        <v>722</v>
      </c>
      <c r="D7810" t="str">
        <f>HYPERLINK("http://service.sap.com/sap/support/notes/1847680","1847680")</f>
        <v>1847680</v>
      </c>
      <c r="E7810">
        <v>1</v>
      </c>
      <c r="F7810" t="s">
        <v>9193</v>
      </c>
    </row>
    <row r="7811" spans="1:6" x14ac:dyDescent="0.25">
      <c r="A7811" t="s">
        <v>10927</v>
      </c>
      <c r="B7811" t="s">
        <v>721</v>
      </c>
      <c r="C7811" t="s">
        <v>722</v>
      </c>
      <c r="D7811" t="str">
        <f>HYPERLINK("http://service.sap.com/sap/support/notes/1850154","1850154")</f>
        <v>1850154</v>
      </c>
      <c r="E7811">
        <v>1</v>
      </c>
      <c r="F7811" t="s">
        <v>9194</v>
      </c>
    </row>
    <row r="7812" spans="1:6" x14ac:dyDescent="0.25">
      <c r="A7812" t="s">
        <v>10927</v>
      </c>
      <c r="B7812" t="s">
        <v>721</v>
      </c>
      <c r="C7812" t="s">
        <v>722</v>
      </c>
      <c r="D7812" t="str">
        <f>HYPERLINK("http://service.sap.com/sap/support/notes/1851925","1851925")</f>
        <v>1851925</v>
      </c>
      <c r="E7812">
        <v>1</v>
      </c>
      <c r="F7812" t="s">
        <v>9195</v>
      </c>
    </row>
    <row r="7813" spans="1:6" x14ac:dyDescent="0.25">
      <c r="A7813" t="s">
        <v>10927</v>
      </c>
      <c r="B7813" t="s">
        <v>721</v>
      </c>
      <c r="C7813" t="s">
        <v>722</v>
      </c>
      <c r="D7813" t="str">
        <f>HYPERLINK("http://service.sap.com/sap/support/notes/1854325","1854325")</f>
        <v>1854325</v>
      </c>
      <c r="E7813">
        <v>1</v>
      </c>
      <c r="F7813" t="s">
        <v>9196</v>
      </c>
    </row>
    <row r="7814" spans="1:6" x14ac:dyDescent="0.25">
      <c r="A7814" t="s">
        <v>10927</v>
      </c>
      <c r="B7814" t="s">
        <v>721</v>
      </c>
      <c r="C7814" t="s">
        <v>722</v>
      </c>
      <c r="D7814" t="str">
        <f>HYPERLINK("http://service.sap.com/sap/support/notes/1855065","1855065")</f>
        <v>1855065</v>
      </c>
      <c r="E7814">
        <v>1</v>
      </c>
      <c r="F7814" t="s">
        <v>9197</v>
      </c>
    </row>
    <row r="7815" spans="1:6" x14ac:dyDescent="0.25">
      <c r="A7815" t="s">
        <v>10927</v>
      </c>
      <c r="B7815" t="s">
        <v>721</v>
      </c>
      <c r="C7815" t="s">
        <v>722</v>
      </c>
      <c r="D7815" t="str">
        <f>HYPERLINK("http://service.sap.com/sap/support/notes/1858697","1858697")</f>
        <v>1858697</v>
      </c>
      <c r="E7815">
        <v>2</v>
      </c>
      <c r="F7815" t="s">
        <v>9198</v>
      </c>
    </row>
    <row r="7816" spans="1:6" x14ac:dyDescent="0.25">
      <c r="A7816" t="s">
        <v>10927</v>
      </c>
      <c r="B7816" t="s">
        <v>731</v>
      </c>
      <c r="C7816" t="s">
        <v>6753</v>
      </c>
    </row>
    <row r="7817" spans="1:6" x14ac:dyDescent="0.25">
      <c r="A7817" t="s">
        <v>10927</v>
      </c>
      <c r="B7817" t="s">
        <v>735</v>
      </c>
      <c r="C7817" t="s">
        <v>736</v>
      </c>
      <c r="D7817" t="str">
        <f>HYPERLINK("http://service.sap.com/sap/support/notes/1792029","1792029")</f>
        <v>1792029</v>
      </c>
      <c r="E7817">
        <v>3</v>
      </c>
      <c r="F7817" t="s">
        <v>9199</v>
      </c>
    </row>
    <row r="7818" spans="1:6" x14ac:dyDescent="0.25">
      <c r="A7818" t="s">
        <v>10927</v>
      </c>
      <c r="B7818" t="s">
        <v>735</v>
      </c>
      <c r="C7818" t="s">
        <v>736</v>
      </c>
      <c r="D7818" t="str">
        <f>HYPERLINK("http://service.sap.com/sap/support/notes/1826940","1826940")</f>
        <v>1826940</v>
      </c>
      <c r="E7818">
        <v>4</v>
      </c>
      <c r="F7818" t="s">
        <v>9200</v>
      </c>
    </row>
    <row r="7819" spans="1:6" x14ac:dyDescent="0.25">
      <c r="A7819" t="s">
        <v>10927</v>
      </c>
      <c r="B7819" t="s">
        <v>4515</v>
      </c>
      <c r="C7819" t="s">
        <v>4516</v>
      </c>
      <c r="D7819" t="str">
        <f>HYPERLINK("http://service.sap.com/sap/support/notes/1831386","1831386")</f>
        <v>1831386</v>
      </c>
      <c r="E7819">
        <v>2</v>
      </c>
      <c r="F7819" t="s">
        <v>9201</v>
      </c>
    </row>
    <row r="7820" spans="1:6" x14ac:dyDescent="0.25">
      <c r="A7820" t="s">
        <v>10927</v>
      </c>
      <c r="B7820" t="s">
        <v>6757</v>
      </c>
      <c r="C7820" t="s">
        <v>6758</v>
      </c>
      <c r="D7820" t="str">
        <f>HYPERLINK("http://service.sap.com/sap/support/notes/1829597","1829597")</f>
        <v>1829597</v>
      </c>
      <c r="E7820">
        <v>2</v>
      </c>
      <c r="F7820" t="s">
        <v>9202</v>
      </c>
    </row>
    <row r="7821" spans="1:6" x14ac:dyDescent="0.25">
      <c r="A7821" t="s">
        <v>10927</v>
      </c>
      <c r="B7821" t="s">
        <v>739</v>
      </c>
      <c r="C7821" t="s">
        <v>29</v>
      </c>
      <c r="D7821" t="str">
        <f>HYPERLINK("http://service.sap.com/sap/support/notes/1799538","1799538")</f>
        <v>1799538</v>
      </c>
      <c r="E7821">
        <v>2</v>
      </c>
      <c r="F7821" t="s">
        <v>9203</v>
      </c>
    </row>
    <row r="7822" spans="1:6" x14ac:dyDescent="0.25">
      <c r="A7822" t="s">
        <v>10927</v>
      </c>
      <c r="B7822" t="s">
        <v>739</v>
      </c>
      <c r="C7822" t="s">
        <v>29</v>
      </c>
      <c r="D7822" t="str">
        <f>HYPERLINK("http://service.sap.com/sap/support/notes/1813681","1813681")</f>
        <v>1813681</v>
      </c>
      <c r="E7822">
        <v>3</v>
      </c>
      <c r="F7822" t="s">
        <v>9204</v>
      </c>
    </row>
    <row r="7823" spans="1:6" x14ac:dyDescent="0.25">
      <c r="A7823" t="s">
        <v>10927</v>
      </c>
      <c r="B7823" t="s">
        <v>739</v>
      </c>
      <c r="C7823" t="s">
        <v>29</v>
      </c>
      <c r="D7823" t="str">
        <f>HYPERLINK("http://service.sap.com/sap/support/notes/1815118","1815118")</f>
        <v>1815118</v>
      </c>
      <c r="E7823">
        <v>2</v>
      </c>
      <c r="F7823" t="s">
        <v>9205</v>
      </c>
    </row>
    <row r="7824" spans="1:6" x14ac:dyDescent="0.25">
      <c r="A7824" t="s">
        <v>10927</v>
      </c>
      <c r="B7824" t="s">
        <v>9206</v>
      </c>
      <c r="C7824" t="s">
        <v>9207</v>
      </c>
      <c r="D7824" t="str">
        <f>HYPERLINK("http://service.sap.com/sap/support/notes/1826238","1826238")</f>
        <v>1826238</v>
      </c>
      <c r="E7824">
        <v>2</v>
      </c>
      <c r="F7824" t="s">
        <v>9208</v>
      </c>
    </row>
    <row r="7825" spans="1:6" x14ac:dyDescent="0.25">
      <c r="A7825" t="s">
        <v>10927</v>
      </c>
      <c r="B7825" t="s">
        <v>748</v>
      </c>
      <c r="C7825" t="s">
        <v>749</v>
      </c>
    </row>
    <row r="7826" spans="1:6" x14ac:dyDescent="0.25">
      <c r="A7826" t="s">
        <v>10927</v>
      </c>
      <c r="B7826" t="s">
        <v>750</v>
      </c>
      <c r="C7826" t="s">
        <v>751</v>
      </c>
    </row>
    <row r="7827" spans="1:6" x14ac:dyDescent="0.25">
      <c r="A7827" t="s">
        <v>10927</v>
      </c>
      <c r="B7827" t="s">
        <v>752</v>
      </c>
      <c r="C7827" t="s">
        <v>753</v>
      </c>
      <c r="D7827" t="str">
        <f>HYPERLINK("http://service.sap.com/sap/support/notes/1850711","1850711")</f>
        <v>1850711</v>
      </c>
      <c r="E7827">
        <v>1</v>
      </c>
      <c r="F7827" t="s">
        <v>9209</v>
      </c>
    </row>
    <row r="7828" spans="1:6" x14ac:dyDescent="0.25">
      <c r="A7828" t="s">
        <v>10927</v>
      </c>
      <c r="B7828" t="s">
        <v>4525</v>
      </c>
      <c r="C7828" t="s">
        <v>4526</v>
      </c>
    </row>
    <row r="7829" spans="1:6" x14ac:dyDescent="0.25">
      <c r="A7829" t="s">
        <v>10927</v>
      </c>
      <c r="B7829" t="s">
        <v>4527</v>
      </c>
      <c r="C7829" t="s">
        <v>4528</v>
      </c>
      <c r="D7829" t="str">
        <f>HYPERLINK("http://service.sap.com/sap/support/notes/1822896","1822896")</f>
        <v>1822896</v>
      </c>
      <c r="E7829">
        <v>3</v>
      </c>
      <c r="F7829" t="s">
        <v>9210</v>
      </c>
    </row>
    <row r="7830" spans="1:6" x14ac:dyDescent="0.25">
      <c r="A7830" t="s">
        <v>10927</v>
      </c>
      <c r="B7830" t="s">
        <v>763</v>
      </c>
      <c r="C7830" t="s">
        <v>764</v>
      </c>
    </row>
    <row r="7831" spans="1:6" x14ac:dyDescent="0.25">
      <c r="A7831" t="s">
        <v>10927</v>
      </c>
      <c r="B7831" t="s">
        <v>765</v>
      </c>
      <c r="C7831" t="s">
        <v>766</v>
      </c>
    </row>
    <row r="7832" spans="1:6" x14ac:dyDescent="0.25">
      <c r="A7832" t="s">
        <v>10927</v>
      </c>
      <c r="B7832" t="s">
        <v>767</v>
      </c>
      <c r="C7832" t="s">
        <v>768</v>
      </c>
    </row>
    <row r="7833" spans="1:6" x14ac:dyDescent="0.25">
      <c r="A7833" t="s">
        <v>10927</v>
      </c>
      <c r="B7833" t="s">
        <v>4535</v>
      </c>
      <c r="C7833" t="s">
        <v>4536</v>
      </c>
      <c r="D7833" t="str">
        <f>HYPERLINK("http://service.sap.com/sap/support/notes/1840673","1840673")</f>
        <v>1840673</v>
      </c>
      <c r="E7833">
        <v>2</v>
      </c>
      <c r="F7833" t="s">
        <v>9211</v>
      </c>
    </row>
    <row r="7834" spans="1:6" x14ac:dyDescent="0.25">
      <c r="A7834" t="s">
        <v>10927</v>
      </c>
      <c r="B7834" t="s">
        <v>9212</v>
      </c>
      <c r="C7834" t="s">
        <v>9213</v>
      </c>
      <c r="D7834" t="str">
        <f>HYPERLINK("http://service.sap.com/sap/support/notes/1859190","1859190")</f>
        <v>1859190</v>
      </c>
      <c r="E7834">
        <v>1</v>
      </c>
      <c r="F7834" t="s">
        <v>9185</v>
      </c>
    </row>
    <row r="7835" spans="1:6" x14ac:dyDescent="0.25">
      <c r="A7835" t="s">
        <v>10927</v>
      </c>
      <c r="B7835" t="s">
        <v>4539</v>
      </c>
      <c r="C7835" t="s">
        <v>4540</v>
      </c>
    </row>
    <row r="7836" spans="1:6" x14ac:dyDescent="0.25">
      <c r="A7836" t="s">
        <v>10927</v>
      </c>
      <c r="B7836" t="s">
        <v>4541</v>
      </c>
      <c r="C7836" t="s">
        <v>4542</v>
      </c>
      <c r="D7836" t="str">
        <f>HYPERLINK("http://service.sap.com/sap/support/notes/1805666","1805666")</f>
        <v>1805666</v>
      </c>
      <c r="E7836">
        <v>4</v>
      </c>
      <c r="F7836" t="s">
        <v>9214</v>
      </c>
    </row>
    <row r="7837" spans="1:6" x14ac:dyDescent="0.25">
      <c r="A7837" t="s">
        <v>10927</v>
      </c>
      <c r="B7837" t="s">
        <v>4541</v>
      </c>
      <c r="C7837" t="s">
        <v>4542</v>
      </c>
      <c r="D7837" t="str">
        <f>HYPERLINK("http://service.sap.com/sap/support/notes/1844153","1844153")</f>
        <v>1844153</v>
      </c>
      <c r="E7837">
        <v>2</v>
      </c>
      <c r="F7837" t="s">
        <v>9215</v>
      </c>
    </row>
    <row r="7838" spans="1:6" x14ac:dyDescent="0.25">
      <c r="A7838" t="s">
        <v>10927</v>
      </c>
      <c r="B7838" t="s">
        <v>772</v>
      </c>
      <c r="C7838" t="s">
        <v>773</v>
      </c>
    </row>
    <row r="7839" spans="1:6" x14ac:dyDescent="0.25">
      <c r="A7839" t="s">
        <v>10927</v>
      </c>
      <c r="B7839" t="s">
        <v>774</v>
      </c>
      <c r="C7839" t="s">
        <v>775</v>
      </c>
      <c r="D7839" t="str">
        <f>HYPERLINK("http://service.sap.com/sap/support/notes/1779934","1779934")</f>
        <v>1779934</v>
      </c>
      <c r="E7839">
        <v>7</v>
      </c>
      <c r="F7839" t="s">
        <v>9216</v>
      </c>
    </row>
    <row r="7840" spans="1:6" x14ac:dyDescent="0.25">
      <c r="A7840" t="s">
        <v>10927</v>
      </c>
      <c r="B7840" t="s">
        <v>774</v>
      </c>
      <c r="C7840" t="s">
        <v>775</v>
      </c>
      <c r="D7840" t="str">
        <f>HYPERLINK("http://service.sap.com/sap/support/notes/1796434","1796434")</f>
        <v>1796434</v>
      </c>
      <c r="E7840">
        <v>1</v>
      </c>
      <c r="F7840" t="s">
        <v>9217</v>
      </c>
    </row>
    <row r="7841" spans="1:6" x14ac:dyDescent="0.25">
      <c r="A7841" t="s">
        <v>10927</v>
      </c>
      <c r="B7841" t="s">
        <v>774</v>
      </c>
      <c r="C7841" t="s">
        <v>775</v>
      </c>
      <c r="D7841" t="str">
        <f>HYPERLINK("http://service.sap.com/sap/support/notes/1821284","1821284")</f>
        <v>1821284</v>
      </c>
      <c r="E7841">
        <v>3</v>
      </c>
      <c r="F7841" t="s">
        <v>9218</v>
      </c>
    </row>
    <row r="7842" spans="1:6" x14ac:dyDescent="0.25">
      <c r="A7842" t="s">
        <v>10927</v>
      </c>
      <c r="B7842" t="s">
        <v>774</v>
      </c>
      <c r="C7842" t="s">
        <v>775</v>
      </c>
      <c r="D7842" t="str">
        <f>HYPERLINK("http://service.sap.com/sap/support/notes/1833923","1833923")</f>
        <v>1833923</v>
      </c>
      <c r="E7842">
        <v>1</v>
      </c>
      <c r="F7842" t="s">
        <v>9219</v>
      </c>
    </row>
    <row r="7843" spans="1:6" x14ac:dyDescent="0.25">
      <c r="A7843" t="s">
        <v>10927</v>
      </c>
      <c r="B7843" t="s">
        <v>774</v>
      </c>
      <c r="C7843" t="s">
        <v>775</v>
      </c>
      <c r="D7843" t="str">
        <f>HYPERLINK("http://service.sap.com/sap/support/notes/1838471","1838471")</f>
        <v>1838471</v>
      </c>
      <c r="E7843">
        <v>2</v>
      </c>
      <c r="F7843" t="s">
        <v>9220</v>
      </c>
    </row>
    <row r="7844" spans="1:6" x14ac:dyDescent="0.25">
      <c r="A7844" t="s">
        <v>10927</v>
      </c>
      <c r="B7844" t="s">
        <v>774</v>
      </c>
      <c r="C7844" t="s">
        <v>775</v>
      </c>
      <c r="D7844" t="str">
        <f>HYPERLINK("http://service.sap.com/sap/support/notes/1861812","1861812")</f>
        <v>1861812</v>
      </c>
      <c r="E7844">
        <v>1</v>
      </c>
      <c r="F7844" t="s">
        <v>9221</v>
      </c>
    </row>
    <row r="7845" spans="1:6" x14ac:dyDescent="0.25">
      <c r="A7845" t="s">
        <v>10927</v>
      </c>
      <c r="B7845" t="s">
        <v>786</v>
      </c>
      <c r="C7845" t="s">
        <v>198</v>
      </c>
    </row>
    <row r="7846" spans="1:6" x14ac:dyDescent="0.25">
      <c r="A7846" t="s">
        <v>10927</v>
      </c>
      <c r="B7846" t="s">
        <v>787</v>
      </c>
      <c r="C7846" t="s">
        <v>201</v>
      </c>
      <c r="D7846" t="str">
        <f>HYPERLINK("http://service.sap.com/sap/support/notes/1710691","1710691")</f>
        <v>1710691</v>
      </c>
      <c r="E7846">
        <v>1</v>
      </c>
      <c r="F7846" t="s">
        <v>790</v>
      </c>
    </row>
    <row r="7847" spans="1:6" x14ac:dyDescent="0.25">
      <c r="A7847" t="s">
        <v>10927</v>
      </c>
      <c r="B7847" t="s">
        <v>791</v>
      </c>
      <c r="C7847" t="s">
        <v>151</v>
      </c>
    </row>
    <row r="7848" spans="1:6" x14ac:dyDescent="0.25">
      <c r="A7848" t="s">
        <v>10927</v>
      </c>
      <c r="B7848" t="s">
        <v>793</v>
      </c>
      <c r="C7848" t="s">
        <v>29</v>
      </c>
      <c r="D7848" t="str">
        <f>HYPERLINK("http://service.sap.com/sap/support/notes/1813462","1813462")</f>
        <v>1813462</v>
      </c>
      <c r="E7848">
        <v>1</v>
      </c>
      <c r="F7848" t="s">
        <v>9222</v>
      </c>
    </row>
    <row r="7849" spans="1:6" x14ac:dyDescent="0.25">
      <c r="A7849" t="s">
        <v>10927</v>
      </c>
      <c r="B7849" t="s">
        <v>793</v>
      </c>
      <c r="C7849" t="s">
        <v>29</v>
      </c>
      <c r="D7849" t="str">
        <f>HYPERLINK("http://service.sap.com/sap/support/notes/1819290","1819290")</f>
        <v>1819290</v>
      </c>
      <c r="E7849">
        <v>3</v>
      </c>
      <c r="F7849" t="s">
        <v>9223</v>
      </c>
    </row>
    <row r="7850" spans="1:6" x14ac:dyDescent="0.25">
      <c r="A7850" t="s">
        <v>10927</v>
      </c>
      <c r="B7850" t="s">
        <v>793</v>
      </c>
      <c r="C7850" t="s">
        <v>29</v>
      </c>
      <c r="D7850" t="str">
        <f>HYPERLINK("http://service.sap.com/sap/support/notes/1838891","1838891")</f>
        <v>1838891</v>
      </c>
      <c r="E7850">
        <v>4</v>
      </c>
      <c r="F7850" t="s">
        <v>9224</v>
      </c>
    </row>
    <row r="7851" spans="1:6" x14ac:dyDescent="0.25">
      <c r="A7851" t="s">
        <v>10927</v>
      </c>
      <c r="B7851" t="s">
        <v>805</v>
      </c>
      <c r="C7851" t="s">
        <v>806</v>
      </c>
      <c r="D7851" t="str">
        <f>HYPERLINK("http://service.sap.com/sap/support/notes/1787494","1787494")</f>
        <v>1787494</v>
      </c>
      <c r="E7851">
        <v>2</v>
      </c>
      <c r="F7851" t="s">
        <v>6799</v>
      </c>
    </row>
    <row r="7852" spans="1:6" x14ac:dyDescent="0.25">
      <c r="A7852" t="s">
        <v>10927</v>
      </c>
      <c r="B7852" t="s">
        <v>809</v>
      </c>
      <c r="C7852" t="s">
        <v>810</v>
      </c>
      <c r="D7852" t="str">
        <f>HYPERLINK("http://service.sap.com/sap/support/notes/1828318","1828318")</f>
        <v>1828318</v>
      </c>
      <c r="E7852">
        <v>1</v>
      </c>
    </row>
    <row r="7853" spans="1:6" x14ac:dyDescent="0.25">
      <c r="A7853" t="s">
        <v>10927</v>
      </c>
      <c r="B7853" t="s">
        <v>809</v>
      </c>
      <c r="C7853" t="s">
        <v>810</v>
      </c>
      <c r="D7853" t="str">
        <f>HYPERLINK("http://service.sap.com/sap/support/notes/1830211","1830211")</f>
        <v>1830211</v>
      </c>
      <c r="E7853">
        <v>1</v>
      </c>
      <c r="F7853" t="s">
        <v>9225</v>
      </c>
    </row>
    <row r="7854" spans="1:6" x14ac:dyDescent="0.25">
      <c r="A7854" t="s">
        <v>10927</v>
      </c>
      <c r="B7854" t="s">
        <v>4564</v>
      </c>
      <c r="C7854" t="s">
        <v>4565</v>
      </c>
      <c r="D7854" t="str">
        <f>HYPERLINK("http://service.sap.com/sap/support/notes/1779972","1779972")</f>
        <v>1779972</v>
      </c>
      <c r="E7854">
        <v>3</v>
      </c>
      <c r="F7854" t="s">
        <v>9226</v>
      </c>
    </row>
    <row r="7855" spans="1:6" x14ac:dyDescent="0.25">
      <c r="A7855" t="s">
        <v>10927</v>
      </c>
      <c r="B7855" t="s">
        <v>823</v>
      </c>
      <c r="C7855" t="s">
        <v>824</v>
      </c>
      <c r="D7855" t="str">
        <f>HYPERLINK("http://service.sap.com/sap/support/notes/1803999","1803999")</f>
        <v>1803999</v>
      </c>
      <c r="E7855">
        <v>2</v>
      </c>
      <c r="F7855" t="s">
        <v>9227</v>
      </c>
    </row>
    <row r="7856" spans="1:6" x14ac:dyDescent="0.25">
      <c r="A7856" t="s">
        <v>10927</v>
      </c>
      <c r="B7856" t="s">
        <v>823</v>
      </c>
      <c r="C7856" t="s">
        <v>824</v>
      </c>
      <c r="D7856" t="str">
        <f>HYPERLINK("http://service.sap.com/sap/support/notes/1814561","1814561")</f>
        <v>1814561</v>
      </c>
      <c r="E7856">
        <v>3</v>
      </c>
      <c r="F7856" t="s">
        <v>9228</v>
      </c>
    </row>
    <row r="7857" spans="1:6" x14ac:dyDescent="0.25">
      <c r="A7857" t="s">
        <v>10927</v>
      </c>
      <c r="B7857" t="s">
        <v>823</v>
      </c>
      <c r="C7857" t="s">
        <v>824</v>
      </c>
      <c r="D7857" t="str">
        <f>HYPERLINK("http://service.sap.com/sap/support/notes/1819001","1819001")</f>
        <v>1819001</v>
      </c>
      <c r="E7857">
        <v>4</v>
      </c>
      <c r="F7857" t="s">
        <v>9229</v>
      </c>
    </row>
    <row r="7858" spans="1:6" x14ac:dyDescent="0.25">
      <c r="A7858" t="s">
        <v>10927</v>
      </c>
      <c r="B7858" t="s">
        <v>823</v>
      </c>
      <c r="C7858" t="s">
        <v>824</v>
      </c>
      <c r="D7858" t="str">
        <f>HYPERLINK("http://service.sap.com/sap/support/notes/1829760","1829760")</f>
        <v>1829760</v>
      </c>
      <c r="E7858">
        <v>4</v>
      </c>
      <c r="F7858" t="s">
        <v>9230</v>
      </c>
    </row>
    <row r="7859" spans="1:6" x14ac:dyDescent="0.25">
      <c r="A7859" t="s">
        <v>10927</v>
      </c>
      <c r="B7859" t="s">
        <v>823</v>
      </c>
      <c r="C7859" t="s">
        <v>824</v>
      </c>
      <c r="D7859" t="str">
        <f>HYPERLINK("http://service.sap.com/sap/support/notes/1835871","1835871")</f>
        <v>1835871</v>
      </c>
      <c r="E7859">
        <v>2</v>
      </c>
      <c r="F7859" t="s">
        <v>9231</v>
      </c>
    </row>
    <row r="7860" spans="1:6" x14ac:dyDescent="0.25">
      <c r="A7860" t="s">
        <v>10927</v>
      </c>
      <c r="B7860" t="s">
        <v>823</v>
      </c>
      <c r="C7860" t="s">
        <v>824</v>
      </c>
      <c r="D7860" t="str">
        <f>HYPERLINK("http://service.sap.com/sap/support/notes/1836725","1836725")</f>
        <v>1836725</v>
      </c>
      <c r="E7860">
        <v>2</v>
      </c>
      <c r="F7860" t="s">
        <v>9232</v>
      </c>
    </row>
    <row r="7861" spans="1:6" x14ac:dyDescent="0.25">
      <c r="A7861" t="s">
        <v>10927</v>
      </c>
      <c r="B7861" t="s">
        <v>823</v>
      </c>
      <c r="C7861" t="s">
        <v>824</v>
      </c>
      <c r="D7861" t="str">
        <f>HYPERLINK("http://service.sap.com/sap/support/notes/1838457","1838457")</f>
        <v>1838457</v>
      </c>
      <c r="E7861">
        <v>2</v>
      </c>
      <c r="F7861" t="s">
        <v>9233</v>
      </c>
    </row>
    <row r="7862" spans="1:6" x14ac:dyDescent="0.25">
      <c r="A7862" t="s">
        <v>10927</v>
      </c>
      <c r="B7862" t="s">
        <v>823</v>
      </c>
      <c r="C7862" t="s">
        <v>824</v>
      </c>
      <c r="D7862" t="str">
        <f>HYPERLINK("http://service.sap.com/sap/support/notes/1842193","1842193")</f>
        <v>1842193</v>
      </c>
      <c r="E7862">
        <v>2</v>
      </c>
    </row>
    <row r="7863" spans="1:6" x14ac:dyDescent="0.25">
      <c r="A7863" t="s">
        <v>10927</v>
      </c>
      <c r="B7863" t="s">
        <v>823</v>
      </c>
      <c r="C7863" t="s">
        <v>824</v>
      </c>
      <c r="D7863" t="str">
        <f>HYPERLINK("http://service.sap.com/sap/support/notes/1850398","1850398")</f>
        <v>1850398</v>
      </c>
      <c r="E7863">
        <v>4</v>
      </c>
      <c r="F7863" t="s">
        <v>9234</v>
      </c>
    </row>
    <row r="7864" spans="1:6" x14ac:dyDescent="0.25">
      <c r="A7864" t="s">
        <v>10927</v>
      </c>
      <c r="B7864" t="s">
        <v>9235</v>
      </c>
      <c r="C7864" t="s">
        <v>9236</v>
      </c>
      <c r="D7864" t="str">
        <f>HYPERLINK("http://service.sap.com/sap/support/notes/1820130","1820130")</f>
        <v>1820130</v>
      </c>
      <c r="E7864">
        <v>2</v>
      </c>
      <c r="F7864" t="s">
        <v>9237</v>
      </c>
    </row>
    <row r="7865" spans="1:6" x14ac:dyDescent="0.25">
      <c r="A7865" t="s">
        <v>10927</v>
      </c>
      <c r="B7865" t="s">
        <v>4585</v>
      </c>
      <c r="C7865" t="s">
        <v>4500</v>
      </c>
    </row>
    <row r="7866" spans="1:6" x14ac:dyDescent="0.25">
      <c r="A7866" t="s">
        <v>10927</v>
      </c>
      <c r="B7866" t="s">
        <v>4586</v>
      </c>
      <c r="C7866" t="s">
        <v>4587</v>
      </c>
      <c r="D7866" t="str">
        <f>HYPERLINK("http://service.sap.com/sap/support/notes/1850781","1850781")</f>
        <v>1850781</v>
      </c>
      <c r="E7866">
        <v>1</v>
      </c>
      <c r="F7866" t="s">
        <v>9238</v>
      </c>
    </row>
    <row r="7867" spans="1:6" x14ac:dyDescent="0.25">
      <c r="A7867" t="s">
        <v>10927</v>
      </c>
      <c r="B7867" t="s">
        <v>4586</v>
      </c>
      <c r="C7867" t="s">
        <v>4587</v>
      </c>
      <c r="D7867" t="str">
        <f>HYPERLINK("http://service.sap.com/sap/support/notes/1863287","1863287")</f>
        <v>1863287</v>
      </c>
      <c r="E7867">
        <v>2</v>
      </c>
      <c r="F7867" t="s">
        <v>9239</v>
      </c>
    </row>
    <row r="7868" spans="1:6" x14ac:dyDescent="0.25">
      <c r="A7868" t="s">
        <v>10927</v>
      </c>
      <c r="B7868" t="s">
        <v>830</v>
      </c>
      <c r="C7868" t="s">
        <v>831</v>
      </c>
    </row>
    <row r="7869" spans="1:6" x14ac:dyDescent="0.25">
      <c r="A7869" t="s">
        <v>10927</v>
      </c>
      <c r="B7869" t="s">
        <v>834</v>
      </c>
      <c r="C7869" t="s">
        <v>151</v>
      </c>
      <c r="D7869" t="str">
        <f>HYPERLINK("http://service.sap.com/sap/support/notes/1860060","1860060")</f>
        <v>1860060</v>
      </c>
      <c r="E7869">
        <v>1</v>
      </c>
      <c r="F7869" t="s">
        <v>9240</v>
      </c>
    </row>
    <row r="7870" spans="1:6" x14ac:dyDescent="0.25">
      <c r="A7870" t="s">
        <v>10927</v>
      </c>
      <c r="B7870" t="s">
        <v>838</v>
      </c>
      <c r="C7870" t="s">
        <v>839</v>
      </c>
      <c r="D7870" t="str">
        <f>HYPERLINK("http://service.sap.com/sap/support/notes/1816283","1816283")</f>
        <v>1816283</v>
      </c>
      <c r="E7870">
        <v>1</v>
      </c>
      <c r="F7870" t="s">
        <v>9241</v>
      </c>
    </row>
    <row r="7871" spans="1:6" x14ac:dyDescent="0.25">
      <c r="A7871" t="s">
        <v>10927</v>
      </c>
      <c r="B7871" t="s">
        <v>838</v>
      </c>
      <c r="C7871" t="s">
        <v>839</v>
      </c>
      <c r="D7871" t="str">
        <f>HYPERLINK("http://service.sap.com/sap/support/notes/1827408","1827408")</f>
        <v>1827408</v>
      </c>
      <c r="E7871">
        <v>3</v>
      </c>
      <c r="F7871" t="s">
        <v>9242</v>
      </c>
    </row>
    <row r="7872" spans="1:6" x14ac:dyDescent="0.25">
      <c r="A7872" t="s">
        <v>10927</v>
      </c>
      <c r="B7872" t="s">
        <v>838</v>
      </c>
      <c r="C7872" t="s">
        <v>839</v>
      </c>
      <c r="D7872" t="str">
        <f>HYPERLINK("http://service.sap.com/sap/support/notes/1831600","1831600")</f>
        <v>1831600</v>
      </c>
      <c r="E7872">
        <v>1</v>
      </c>
      <c r="F7872" t="s">
        <v>9243</v>
      </c>
    </row>
    <row r="7873" spans="1:6" x14ac:dyDescent="0.25">
      <c r="A7873" t="s">
        <v>10927</v>
      </c>
      <c r="B7873" t="s">
        <v>838</v>
      </c>
      <c r="C7873" t="s">
        <v>839</v>
      </c>
      <c r="D7873" t="str">
        <f>HYPERLINK("http://service.sap.com/sap/support/notes/1833413","1833413")</f>
        <v>1833413</v>
      </c>
      <c r="E7873">
        <v>3</v>
      </c>
      <c r="F7873" t="s">
        <v>9244</v>
      </c>
    </row>
    <row r="7874" spans="1:6" x14ac:dyDescent="0.25">
      <c r="A7874" t="s">
        <v>10927</v>
      </c>
      <c r="B7874" t="s">
        <v>838</v>
      </c>
      <c r="C7874" t="s">
        <v>839</v>
      </c>
      <c r="D7874" t="str">
        <f>HYPERLINK("http://service.sap.com/sap/support/notes/1837218","1837218")</f>
        <v>1837218</v>
      </c>
      <c r="E7874">
        <v>2</v>
      </c>
      <c r="F7874" t="s">
        <v>9245</v>
      </c>
    </row>
    <row r="7875" spans="1:6" x14ac:dyDescent="0.25">
      <c r="A7875" t="s">
        <v>10927</v>
      </c>
      <c r="B7875" t="s">
        <v>838</v>
      </c>
      <c r="C7875" t="s">
        <v>839</v>
      </c>
      <c r="D7875" t="str">
        <f>HYPERLINK("http://service.sap.com/sap/support/notes/1844107","1844107")</f>
        <v>1844107</v>
      </c>
      <c r="E7875">
        <v>2</v>
      </c>
      <c r="F7875" t="s">
        <v>9246</v>
      </c>
    </row>
    <row r="7876" spans="1:6" x14ac:dyDescent="0.25">
      <c r="A7876" t="s">
        <v>10927</v>
      </c>
      <c r="B7876" t="s">
        <v>838</v>
      </c>
      <c r="C7876" t="s">
        <v>839</v>
      </c>
      <c r="D7876" t="str">
        <f>HYPERLINK("http://service.sap.com/sap/support/notes/1846078","1846078")</f>
        <v>1846078</v>
      </c>
      <c r="E7876">
        <v>2</v>
      </c>
      <c r="F7876" t="s">
        <v>9247</v>
      </c>
    </row>
    <row r="7877" spans="1:6" x14ac:dyDescent="0.25">
      <c r="A7877" t="s">
        <v>10927</v>
      </c>
      <c r="B7877" t="s">
        <v>838</v>
      </c>
      <c r="C7877" t="s">
        <v>839</v>
      </c>
      <c r="D7877" t="str">
        <f>HYPERLINK("http://service.sap.com/sap/support/notes/1847270","1847270")</f>
        <v>1847270</v>
      </c>
      <c r="E7877">
        <v>1</v>
      </c>
      <c r="F7877" t="s">
        <v>9248</v>
      </c>
    </row>
    <row r="7878" spans="1:6" x14ac:dyDescent="0.25">
      <c r="A7878" t="s">
        <v>10927</v>
      </c>
      <c r="B7878" t="s">
        <v>838</v>
      </c>
      <c r="C7878" t="s">
        <v>839</v>
      </c>
      <c r="D7878" t="str">
        <f>HYPERLINK("http://service.sap.com/sap/support/notes/1848981","1848981")</f>
        <v>1848981</v>
      </c>
      <c r="E7878">
        <v>5</v>
      </c>
      <c r="F7878" t="s">
        <v>9249</v>
      </c>
    </row>
    <row r="7879" spans="1:6" x14ac:dyDescent="0.25">
      <c r="A7879" t="s">
        <v>10927</v>
      </c>
      <c r="B7879" t="s">
        <v>838</v>
      </c>
      <c r="C7879" t="s">
        <v>839</v>
      </c>
      <c r="D7879" t="str">
        <f>HYPERLINK("http://service.sap.com/sap/support/notes/1855732","1855732")</f>
        <v>1855732</v>
      </c>
      <c r="E7879">
        <v>1</v>
      </c>
      <c r="F7879" t="s">
        <v>9250</v>
      </c>
    </row>
    <row r="7880" spans="1:6" x14ac:dyDescent="0.25">
      <c r="A7880" t="s">
        <v>10927</v>
      </c>
      <c r="B7880" t="s">
        <v>838</v>
      </c>
      <c r="C7880" t="s">
        <v>839</v>
      </c>
      <c r="D7880" t="str">
        <f>HYPERLINK("http://service.sap.com/sap/support/notes/1859317","1859317")</f>
        <v>1859317</v>
      </c>
      <c r="E7880">
        <v>3</v>
      </c>
      <c r="F7880" t="s">
        <v>9251</v>
      </c>
    </row>
    <row r="7881" spans="1:6" x14ac:dyDescent="0.25">
      <c r="A7881" t="s">
        <v>10927</v>
      </c>
      <c r="B7881" t="s">
        <v>847</v>
      </c>
      <c r="C7881" t="s">
        <v>848</v>
      </c>
      <c r="D7881" t="str">
        <f>HYPERLINK("http://service.sap.com/sap/support/notes/1640111","1640111")</f>
        <v>1640111</v>
      </c>
      <c r="E7881">
        <v>8</v>
      </c>
      <c r="F7881" t="s">
        <v>849</v>
      </c>
    </row>
    <row r="7882" spans="1:6" x14ac:dyDescent="0.25">
      <c r="A7882" t="s">
        <v>10927</v>
      </c>
      <c r="B7882" t="s">
        <v>847</v>
      </c>
      <c r="C7882" t="s">
        <v>848</v>
      </c>
      <c r="D7882" t="str">
        <f>HYPERLINK("http://service.sap.com/sap/support/notes/1780941","1780941")</f>
        <v>1780941</v>
      </c>
      <c r="E7882">
        <v>7</v>
      </c>
      <c r="F7882" t="s">
        <v>6838</v>
      </c>
    </row>
    <row r="7883" spans="1:6" x14ac:dyDescent="0.25">
      <c r="A7883" t="s">
        <v>10927</v>
      </c>
      <c r="B7883" t="s">
        <v>847</v>
      </c>
      <c r="C7883" t="s">
        <v>848</v>
      </c>
      <c r="D7883" t="str">
        <f>HYPERLINK("http://service.sap.com/sap/support/notes/1809143","1809143")</f>
        <v>1809143</v>
      </c>
      <c r="E7883">
        <v>1</v>
      </c>
      <c r="F7883" t="s">
        <v>9252</v>
      </c>
    </row>
    <row r="7884" spans="1:6" x14ac:dyDescent="0.25">
      <c r="A7884" t="s">
        <v>10927</v>
      </c>
      <c r="B7884" t="s">
        <v>847</v>
      </c>
      <c r="C7884" t="s">
        <v>848</v>
      </c>
      <c r="D7884" t="str">
        <f>HYPERLINK("http://service.sap.com/sap/support/notes/1832191","1832191")</f>
        <v>1832191</v>
      </c>
      <c r="E7884">
        <v>2</v>
      </c>
      <c r="F7884" t="s">
        <v>9253</v>
      </c>
    </row>
    <row r="7885" spans="1:6" x14ac:dyDescent="0.25">
      <c r="A7885" t="s">
        <v>10927</v>
      </c>
      <c r="B7885" t="s">
        <v>847</v>
      </c>
      <c r="C7885" t="s">
        <v>848</v>
      </c>
      <c r="D7885" t="str">
        <f>HYPERLINK("http://service.sap.com/sap/support/notes/1833782","1833782")</f>
        <v>1833782</v>
      </c>
      <c r="E7885">
        <v>2</v>
      </c>
      <c r="F7885" t="s">
        <v>9254</v>
      </c>
    </row>
    <row r="7886" spans="1:6" x14ac:dyDescent="0.25">
      <c r="A7886" t="s">
        <v>10927</v>
      </c>
      <c r="B7886" t="s">
        <v>847</v>
      </c>
      <c r="C7886" t="s">
        <v>848</v>
      </c>
      <c r="D7886" t="str">
        <f>HYPERLINK("http://service.sap.com/sap/support/notes/1839982","1839982")</f>
        <v>1839982</v>
      </c>
      <c r="E7886">
        <v>2</v>
      </c>
      <c r="F7886" t="s">
        <v>9255</v>
      </c>
    </row>
    <row r="7887" spans="1:6" x14ac:dyDescent="0.25">
      <c r="A7887" t="s">
        <v>10927</v>
      </c>
      <c r="B7887" t="s">
        <v>847</v>
      </c>
      <c r="C7887" t="s">
        <v>848</v>
      </c>
      <c r="D7887" t="str">
        <f>HYPERLINK("http://service.sap.com/sap/support/notes/1842677","1842677")</f>
        <v>1842677</v>
      </c>
      <c r="E7887">
        <v>3</v>
      </c>
      <c r="F7887" t="s">
        <v>9256</v>
      </c>
    </row>
    <row r="7888" spans="1:6" x14ac:dyDescent="0.25">
      <c r="A7888" t="s">
        <v>10927</v>
      </c>
      <c r="B7888" t="s">
        <v>847</v>
      </c>
      <c r="C7888" t="s">
        <v>848</v>
      </c>
      <c r="D7888" t="str">
        <f>HYPERLINK("http://service.sap.com/sap/support/notes/1847021","1847021")</f>
        <v>1847021</v>
      </c>
      <c r="E7888">
        <v>1</v>
      </c>
      <c r="F7888" t="s">
        <v>9257</v>
      </c>
    </row>
    <row r="7889" spans="1:6" x14ac:dyDescent="0.25">
      <c r="A7889" t="s">
        <v>10927</v>
      </c>
      <c r="B7889" t="s">
        <v>847</v>
      </c>
      <c r="C7889" t="s">
        <v>848</v>
      </c>
      <c r="D7889" t="str">
        <f>HYPERLINK("http://service.sap.com/sap/support/notes/1847208","1847208")</f>
        <v>1847208</v>
      </c>
      <c r="E7889">
        <v>5</v>
      </c>
      <c r="F7889" t="s">
        <v>9258</v>
      </c>
    </row>
    <row r="7890" spans="1:6" x14ac:dyDescent="0.25">
      <c r="A7890" t="s">
        <v>10927</v>
      </c>
      <c r="B7890" t="s">
        <v>847</v>
      </c>
      <c r="C7890" t="s">
        <v>848</v>
      </c>
      <c r="D7890" t="str">
        <f>HYPERLINK("http://service.sap.com/sap/support/notes/1847341","1847341")</f>
        <v>1847341</v>
      </c>
      <c r="E7890">
        <v>1</v>
      </c>
      <c r="F7890" t="s">
        <v>9259</v>
      </c>
    </row>
    <row r="7891" spans="1:6" x14ac:dyDescent="0.25">
      <c r="A7891" t="s">
        <v>10927</v>
      </c>
      <c r="B7891" t="s">
        <v>847</v>
      </c>
      <c r="C7891" t="s">
        <v>848</v>
      </c>
      <c r="D7891" t="str">
        <f>HYPERLINK("http://service.sap.com/sap/support/notes/1848263","1848263")</f>
        <v>1848263</v>
      </c>
      <c r="E7891">
        <v>4</v>
      </c>
      <c r="F7891" t="s">
        <v>9260</v>
      </c>
    </row>
    <row r="7892" spans="1:6" x14ac:dyDescent="0.25">
      <c r="A7892" t="s">
        <v>10927</v>
      </c>
      <c r="B7892" t="s">
        <v>847</v>
      </c>
      <c r="C7892" t="s">
        <v>848</v>
      </c>
      <c r="D7892" t="str">
        <f>HYPERLINK("http://service.sap.com/sap/support/notes/1851118","1851118")</f>
        <v>1851118</v>
      </c>
      <c r="E7892">
        <v>1</v>
      </c>
      <c r="F7892" t="s">
        <v>9261</v>
      </c>
    </row>
    <row r="7893" spans="1:6" x14ac:dyDescent="0.25">
      <c r="A7893" t="s">
        <v>10927</v>
      </c>
      <c r="B7893" t="s">
        <v>847</v>
      </c>
      <c r="C7893" t="s">
        <v>848</v>
      </c>
      <c r="D7893" t="str">
        <f>HYPERLINK("http://service.sap.com/sap/support/notes/1851510","1851510")</f>
        <v>1851510</v>
      </c>
      <c r="E7893">
        <v>3</v>
      </c>
      <c r="F7893" t="s">
        <v>9262</v>
      </c>
    </row>
    <row r="7894" spans="1:6" x14ac:dyDescent="0.25">
      <c r="A7894" t="s">
        <v>10927</v>
      </c>
      <c r="B7894" t="s">
        <v>847</v>
      </c>
      <c r="C7894" t="s">
        <v>848</v>
      </c>
      <c r="D7894" t="str">
        <f>HYPERLINK("http://service.sap.com/sap/support/notes/1855167","1855167")</f>
        <v>1855167</v>
      </c>
      <c r="E7894">
        <v>1</v>
      </c>
      <c r="F7894" t="s">
        <v>9263</v>
      </c>
    </row>
    <row r="7895" spans="1:6" x14ac:dyDescent="0.25">
      <c r="A7895" t="s">
        <v>10927</v>
      </c>
      <c r="B7895" t="s">
        <v>847</v>
      </c>
      <c r="C7895" t="s">
        <v>848</v>
      </c>
      <c r="D7895" t="str">
        <f>HYPERLINK("http://service.sap.com/sap/support/notes/1858473","1858473")</f>
        <v>1858473</v>
      </c>
      <c r="E7895">
        <v>1</v>
      </c>
      <c r="F7895" t="s">
        <v>9264</v>
      </c>
    </row>
    <row r="7896" spans="1:6" x14ac:dyDescent="0.25">
      <c r="A7896" t="s">
        <v>10927</v>
      </c>
      <c r="B7896" t="s">
        <v>847</v>
      </c>
      <c r="C7896" t="s">
        <v>848</v>
      </c>
      <c r="D7896" t="str">
        <f>HYPERLINK("http://service.sap.com/sap/support/notes/1858754","1858754")</f>
        <v>1858754</v>
      </c>
      <c r="E7896">
        <v>1</v>
      </c>
      <c r="F7896" t="s">
        <v>9265</v>
      </c>
    </row>
    <row r="7897" spans="1:6" x14ac:dyDescent="0.25">
      <c r="A7897" t="s">
        <v>10927</v>
      </c>
      <c r="B7897" t="s">
        <v>847</v>
      </c>
      <c r="C7897" t="s">
        <v>848</v>
      </c>
      <c r="D7897" t="str">
        <f>HYPERLINK("http://service.sap.com/sap/support/notes/1860692","1860692")</f>
        <v>1860692</v>
      </c>
      <c r="E7897">
        <v>1</v>
      </c>
      <c r="F7897" t="s">
        <v>9266</v>
      </c>
    </row>
    <row r="7898" spans="1:6" x14ac:dyDescent="0.25">
      <c r="A7898" t="s">
        <v>10927</v>
      </c>
      <c r="B7898" t="s">
        <v>847</v>
      </c>
      <c r="C7898" t="s">
        <v>848</v>
      </c>
      <c r="D7898" t="str">
        <f>HYPERLINK("http://service.sap.com/sap/support/notes/1863179","1863179")</f>
        <v>1863179</v>
      </c>
      <c r="E7898">
        <v>1</v>
      </c>
      <c r="F7898" t="s">
        <v>9267</v>
      </c>
    </row>
    <row r="7899" spans="1:6" x14ac:dyDescent="0.25">
      <c r="A7899" t="s">
        <v>10927</v>
      </c>
      <c r="B7899" t="s">
        <v>847</v>
      </c>
      <c r="C7899" t="s">
        <v>848</v>
      </c>
      <c r="D7899" t="str">
        <f>HYPERLINK("http://service.sap.com/sap/support/notes/1864804","1864804")</f>
        <v>1864804</v>
      </c>
      <c r="E7899">
        <v>1</v>
      </c>
      <c r="F7899" t="s">
        <v>9268</v>
      </c>
    </row>
    <row r="7900" spans="1:6" x14ac:dyDescent="0.25">
      <c r="A7900" t="s">
        <v>10927</v>
      </c>
      <c r="B7900" t="s">
        <v>868</v>
      </c>
      <c r="C7900" t="s">
        <v>869</v>
      </c>
      <c r="D7900" t="str">
        <f>HYPERLINK("http://service.sap.com/sap/support/notes/1557907","1557907")</f>
        <v>1557907</v>
      </c>
      <c r="E7900">
        <v>7</v>
      </c>
      <c r="F7900" t="s">
        <v>9269</v>
      </c>
    </row>
    <row r="7901" spans="1:6" x14ac:dyDescent="0.25">
      <c r="A7901" t="s">
        <v>10927</v>
      </c>
      <c r="B7901" t="s">
        <v>868</v>
      </c>
      <c r="C7901" t="s">
        <v>869</v>
      </c>
      <c r="D7901" t="str">
        <f>HYPERLINK("http://service.sap.com/sap/support/notes/1783612","1783612")</f>
        <v>1783612</v>
      </c>
      <c r="E7901">
        <v>1</v>
      </c>
      <c r="F7901" t="s">
        <v>9270</v>
      </c>
    </row>
    <row r="7902" spans="1:6" x14ac:dyDescent="0.25">
      <c r="A7902" t="s">
        <v>10927</v>
      </c>
      <c r="B7902" t="s">
        <v>868</v>
      </c>
      <c r="C7902" t="s">
        <v>869</v>
      </c>
      <c r="D7902" t="str">
        <f>HYPERLINK("http://service.sap.com/sap/support/notes/1828118","1828118")</f>
        <v>1828118</v>
      </c>
      <c r="E7902">
        <v>2</v>
      </c>
      <c r="F7902" t="s">
        <v>9271</v>
      </c>
    </row>
    <row r="7903" spans="1:6" x14ac:dyDescent="0.25">
      <c r="A7903" t="s">
        <v>10927</v>
      </c>
      <c r="B7903" t="s">
        <v>868</v>
      </c>
      <c r="C7903" t="s">
        <v>869</v>
      </c>
      <c r="D7903" t="str">
        <f>HYPERLINK("http://service.sap.com/sap/support/notes/1834929","1834929")</f>
        <v>1834929</v>
      </c>
      <c r="E7903">
        <v>1</v>
      </c>
      <c r="F7903" t="s">
        <v>9272</v>
      </c>
    </row>
    <row r="7904" spans="1:6" x14ac:dyDescent="0.25">
      <c r="A7904" t="s">
        <v>10927</v>
      </c>
      <c r="B7904" t="s">
        <v>868</v>
      </c>
      <c r="C7904" t="s">
        <v>869</v>
      </c>
      <c r="D7904" t="str">
        <f>HYPERLINK("http://service.sap.com/sap/support/notes/1835809","1835809")</f>
        <v>1835809</v>
      </c>
      <c r="E7904">
        <v>1</v>
      </c>
      <c r="F7904" t="s">
        <v>9273</v>
      </c>
    </row>
    <row r="7905" spans="1:6" x14ac:dyDescent="0.25">
      <c r="A7905" t="s">
        <v>10927</v>
      </c>
      <c r="B7905" t="s">
        <v>868</v>
      </c>
      <c r="C7905" t="s">
        <v>869</v>
      </c>
      <c r="D7905" t="str">
        <f>HYPERLINK("http://service.sap.com/sap/support/notes/1837075","1837075")</f>
        <v>1837075</v>
      </c>
      <c r="E7905">
        <v>2</v>
      </c>
      <c r="F7905" t="s">
        <v>9274</v>
      </c>
    </row>
    <row r="7906" spans="1:6" x14ac:dyDescent="0.25">
      <c r="A7906" t="s">
        <v>10927</v>
      </c>
      <c r="B7906" t="s">
        <v>868</v>
      </c>
      <c r="C7906" t="s">
        <v>869</v>
      </c>
      <c r="D7906" t="str">
        <f>HYPERLINK("http://service.sap.com/sap/support/notes/1844035","1844035")</f>
        <v>1844035</v>
      </c>
      <c r="E7906">
        <v>3</v>
      </c>
      <c r="F7906" t="s">
        <v>9275</v>
      </c>
    </row>
    <row r="7907" spans="1:6" x14ac:dyDescent="0.25">
      <c r="A7907" t="s">
        <v>10927</v>
      </c>
      <c r="B7907" t="s">
        <v>868</v>
      </c>
      <c r="C7907" t="s">
        <v>869</v>
      </c>
      <c r="D7907" t="str">
        <f>HYPERLINK("http://service.sap.com/sap/support/notes/1844627","1844627")</f>
        <v>1844627</v>
      </c>
      <c r="E7907">
        <v>1</v>
      </c>
      <c r="F7907" t="s">
        <v>9276</v>
      </c>
    </row>
    <row r="7908" spans="1:6" x14ac:dyDescent="0.25">
      <c r="A7908" t="s">
        <v>10927</v>
      </c>
      <c r="B7908" t="s">
        <v>868</v>
      </c>
      <c r="C7908" t="s">
        <v>869</v>
      </c>
      <c r="D7908" t="str">
        <f>HYPERLINK("http://service.sap.com/sap/support/notes/1851066","1851066")</f>
        <v>1851066</v>
      </c>
      <c r="E7908">
        <v>2</v>
      </c>
      <c r="F7908" t="s">
        <v>9277</v>
      </c>
    </row>
    <row r="7909" spans="1:6" x14ac:dyDescent="0.25">
      <c r="A7909" t="s">
        <v>10927</v>
      </c>
      <c r="B7909" t="s">
        <v>868</v>
      </c>
      <c r="C7909" t="s">
        <v>869</v>
      </c>
      <c r="D7909" t="str">
        <f>HYPERLINK("http://service.sap.com/sap/support/notes/1854759","1854759")</f>
        <v>1854759</v>
      </c>
      <c r="E7909">
        <v>3</v>
      </c>
      <c r="F7909" t="s">
        <v>9278</v>
      </c>
    </row>
    <row r="7910" spans="1:6" x14ac:dyDescent="0.25">
      <c r="A7910" t="s">
        <v>10927</v>
      </c>
      <c r="B7910" t="s">
        <v>868</v>
      </c>
      <c r="C7910" t="s">
        <v>869</v>
      </c>
      <c r="D7910" t="str">
        <f>HYPERLINK("http://service.sap.com/sap/support/notes/1858209","1858209")</f>
        <v>1858209</v>
      </c>
      <c r="E7910">
        <v>1</v>
      </c>
      <c r="F7910" t="s">
        <v>9279</v>
      </c>
    </row>
    <row r="7911" spans="1:6" x14ac:dyDescent="0.25">
      <c r="A7911" t="s">
        <v>10927</v>
      </c>
      <c r="B7911" t="s">
        <v>868</v>
      </c>
      <c r="C7911" t="s">
        <v>869</v>
      </c>
      <c r="D7911" t="str">
        <f>HYPERLINK("http://service.sap.com/sap/support/notes/1858211","1858211")</f>
        <v>1858211</v>
      </c>
      <c r="E7911">
        <v>1</v>
      </c>
      <c r="F7911" t="s">
        <v>9280</v>
      </c>
    </row>
    <row r="7912" spans="1:6" x14ac:dyDescent="0.25">
      <c r="A7912" t="s">
        <v>10927</v>
      </c>
      <c r="B7912" t="s">
        <v>890</v>
      </c>
      <c r="C7912" t="s">
        <v>891</v>
      </c>
      <c r="D7912" t="str">
        <f>HYPERLINK("http://service.sap.com/sap/support/notes/1786442","1786442")</f>
        <v>1786442</v>
      </c>
      <c r="E7912">
        <v>2</v>
      </c>
      <c r="F7912" t="s">
        <v>9281</v>
      </c>
    </row>
    <row r="7913" spans="1:6" x14ac:dyDescent="0.25">
      <c r="A7913" t="s">
        <v>10927</v>
      </c>
      <c r="B7913" t="s">
        <v>890</v>
      </c>
      <c r="C7913" t="s">
        <v>891</v>
      </c>
      <c r="D7913" t="str">
        <f>HYPERLINK("http://service.sap.com/sap/support/notes/1788698","1788698")</f>
        <v>1788698</v>
      </c>
      <c r="E7913">
        <v>7</v>
      </c>
      <c r="F7913" t="s">
        <v>9282</v>
      </c>
    </row>
    <row r="7914" spans="1:6" x14ac:dyDescent="0.25">
      <c r="A7914" t="s">
        <v>10927</v>
      </c>
      <c r="B7914" t="s">
        <v>890</v>
      </c>
      <c r="C7914" t="s">
        <v>891</v>
      </c>
      <c r="D7914" t="str">
        <f>HYPERLINK("http://service.sap.com/sap/support/notes/1829632","1829632")</f>
        <v>1829632</v>
      </c>
      <c r="E7914">
        <v>3</v>
      </c>
      <c r="F7914" t="s">
        <v>9283</v>
      </c>
    </row>
    <row r="7915" spans="1:6" x14ac:dyDescent="0.25">
      <c r="A7915" t="s">
        <v>10927</v>
      </c>
      <c r="B7915" t="s">
        <v>890</v>
      </c>
      <c r="C7915" t="s">
        <v>891</v>
      </c>
      <c r="D7915" t="str">
        <f>HYPERLINK("http://service.sap.com/sap/support/notes/1832327","1832327")</f>
        <v>1832327</v>
      </c>
      <c r="E7915">
        <v>4</v>
      </c>
      <c r="F7915" t="s">
        <v>9284</v>
      </c>
    </row>
    <row r="7916" spans="1:6" x14ac:dyDescent="0.25">
      <c r="A7916" t="s">
        <v>10927</v>
      </c>
      <c r="B7916" t="s">
        <v>890</v>
      </c>
      <c r="C7916" t="s">
        <v>891</v>
      </c>
      <c r="D7916" t="str">
        <f>HYPERLINK("http://service.sap.com/sap/support/notes/1837342","1837342")</f>
        <v>1837342</v>
      </c>
      <c r="E7916">
        <v>4</v>
      </c>
      <c r="F7916" t="s">
        <v>9285</v>
      </c>
    </row>
    <row r="7917" spans="1:6" x14ac:dyDescent="0.25">
      <c r="A7917" t="s">
        <v>10927</v>
      </c>
      <c r="B7917" t="s">
        <v>890</v>
      </c>
      <c r="C7917" t="s">
        <v>891</v>
      </c>
      <c r="D7917" t="str">
        <f>HYPERLINK("http://service.sap.com/sap/support/notes/1839643","1839643")</f>
        <v>1839643</v>
      </c>
      <c r="E7917">
        <v>3</v>
      </c>
      <c r="F7917" t="s">
        <v>9286</v>
      </c>
    </row>
    <row r="7918" spans="1:6" x14ac:dyDescent="0.25">
      <c r="A7918" t="s">
        <v>10927</v>
      </c>
      <c r="B7918" t="s">
        <v>890</v>
      </c>
      <c r="C7918" t="s">
        <v>891</v>
      </c>
      <c r="D7918" t="str">
        <f>HYPERLINK("http://service.sap.com/sap/support/notes/1841292","1841292")</f>
        <v>1841292</v>
      </c>
      <c r="E7918">
        <v>5</v>
      </c>
      <c r="F7918" t="s">
        <v>9287</v>
      </c>
    </row>
    <row r="7919" spans="1:6" x14ac:dyDescent="0.25">
      <c r="A7919" t="s">
        <v>10927</v>
      </c>
      <c r="B7919" t="s">
        <v>890</v>
      </c>
      <c r="C7919" t="s">
        <v>891</v>
      </c>
      <c r="D7919" t="str">
        <f>HYPERLINK("http://service.sap.com/sap/support/notes/1842506","1842506")</f>
        <v>1842506</v>
      </c>
      <c r="E7919">
        <v>3</v>
      </c>
      <c r="F7919" t="s">
        <v>9288</v>
      </c>
    </row>
    <row r="7920" spans="1:6" x14ac:dyDescent="0.25">
      <c r="A7920" t="s">
        <v>10927</v>
      </c>
      <c r="B7920" t="s">
        <v>890</v>
      </c>
      <c r="C7920" t="s">
        <v>891</v>
      </c>
      <c r="D7920" t="str">
        <f>HYPERLINK("http://service.sap.com/sap/support/notes/1859135","1859135")</f>
        <v>1859135</v>
      </c>
      <c r="E7920">
        <v>1</v>
      </c>
      <c r="F7920" t="s">
        <v>9289</v>
      </c>
    </row>
    <row r="7921" spans="1:6" x14ac:dyDescent="0.25">
      <c r="A7921" t="s">
        <v>10927</v>
      </c>
      <c r="B7921" t="s">
        <v>905</v>
      </c>
      <c r="C7921" t="s">
        <v>29</v>
      </c>
      <c r="D7921" t="str">
        <f>HYPERLINK("http://service.sap.com/sap/support/notes/1797533","1797533")</f>
        <v>1797533</v>
      </c>
      <c r="E7921">
        <v>7</v>
      </c>
      <c r="F7921" t="s">
        <v>9290</v>
      </c>
    </row>
    <row r="7922" spans="1:6" x14ac:dyDescent="0.25">
      <c r="A7922" t="s">
        <v>10927</v>
      </c>
      <c r="B7922" t="s">
        <v>905</v>
      </c>
      <c r="C7922" t="s">
        <v>29</v>
      </c>
      <c r="D7922" t="str">
        <f>HYPERLINK("http://service.sap.com/sap/support/notes/1808890","1808890")</f>
        <v>1808890</v>
      </c>
      <c r="E7922">
        <v>2</v>
      </c>
      <c r="F7922" t="s">
        <v>9291</v>
      </c>
    </row>
    <row r="7923" spans="1:6" x14ac:dyDescent="0.25">
      <c r="A7923" t="s">
        <v>10927</v>
      </c>
      <c r="B7923" t="s">
        <v>905</v>
      </c>
      <c r="C7923" t="s">
        <v>29</v>
      </c>
      <c r="D7923" t="str">
        <f>HYPERLINK("http://service.sap.com/sap/support/notes/1834521","1834521")</f>
        <v>1834521</v>
      </c>
      <c r="E7923">
        <v>4</v>
      </c>
      <c r="F7923" t="s">
        <v>9292</v>
      </c>
    </row>
    <row r="7924" spans="1:6" x14ac:dyDescent="0.25">
      <c r="A7924" t="s">
        <v>10927</v>
      </c>
      <c r="B7924" t="s">
        <v>905</v>
      </c>
      <c r="C7924" t="s">
        <v>29</v>
      </c>
      <c r="D7924" t="str">
        <f>HYPERLINK("http://service.sap.com/sap/support/notes/1836215","1836215")</f>
        <v>1836215</v>
      </c>
      <c r="E7924">
        <v>4</v>
      </c>
      <c r="F7924" t="s">
        <v>9293</v>
      </c>
    </row>
    <row r="7925" spans="1:6" x14ac:dyDescent="0.25">
      <c r="A7925" t="s">
        <v>10927</v>
      </c>
      <c r="B7925" t="s">
        <v>911</v>
      </c>
      <c r="C7925" t="s">
        <v>912</v>
      </c>
      <c r="D7925" t="str">
        <f>HYPERLINK("http://service.sap.com/sap/support/notes/1820571","1820571")</f>
        <v>1820571</v>
      </c>
      <c r="E7925">
        <v>3</v>
      </c>
      <c r="F7925" t="s">
        <v>9294</v>
      </c>
    </row>
    <row r="7926" spans="1:6" x14ac:dyDescent="0.25">
      <c r="A7926" t="s">
        <v>10927</v>
      </c>
      <c r="B7926" t="s">
        <v>911</v>
      </c>
      <c r="C7926" t="s">
        <v>912</v>
      </c>
      <c r="D7926" t="str">
        <f>HYPERLINK("http://service.sap.com/sap/support/notes/1834900","1834900")</f>
        <v>1834900</v>
      </c>
      <c r="E7926">
        <v>2</v>
      </c>
      <c r="F7926" t="s">
        <v>9295</v>
      </c>
    </row>
    <row r="7927" spans="1:6" x14ac:dyDescent="0.25">
      <c r="A7927" t="s">
        <v>10927</v>
      </c>
      <c r="B7927" t="s">
        <v>919</v>
      </c>
      <c r="C7927" t="s">
        <v>920</v>
      </c>
      <c r="D7927" t="str">
        <f>HYPERLINK("http://service.sap.com/sap/support/notes/1791815","1791815")</f>
        <v>1791815</v>
      </c>
      <c r="E7927">
        <v>3</v>
      </c>
      <c r="F7927" t="s">
        <v>9296</v>
      </c>
    </row>
    <row r="7928" spans="1:6" x14ac:dyDescent="0.25">
      <c r="A7928" t="s">
        <v>10927</v>
      </c>
      <c r="B7928" t="s">
        <v>919</v>
      </c>
      <c r="C7928" t="s">
        <v>920</v>
      </c>
      <c r="D7928" t="str">
        <f>HYPERLINK("http://service.sap.com/sap/support/notes/1803883","1803883")</f>
        <v>1803883</v>
      </c>
      <c r="E7928">
        <v>2</v>
      </c>
      <c r="F7928" t="s">
        <v>9297</v>
      </c>
    </row>
    <row r="7929" spans="1:6" x14ac:dyDescent="0.25">
      <c r="A7929" t="s">
        <v>10927</v>
      </c>
      <c r="B7929" t="s">
        <v>919</v>
      </c>
      <c r="C7929" t="s">
        <v>920</v>
      </c>
      <c r="D7929" t="str">
        <f>HYPERLINK("http://service.sap.com/sap/support/notes/1805885","1805885")</f>
        <v>1805885</v>
      </c>
      <c r="E7929">
        <v>4</v>
      </c>
      <c r="F7929" t="s">
        <v>9298</v>
      </c>
    </row>
    <row r="7930" spans="1:6" x14ac:dyDescent="0.25">
      <c r="A7930" t="s">
        <v>10927</v>
      </c>
      <c r="B7930" t="s">
        <v>919</v>
      </c>
      <c r="C7930" t="s">
        <v>920</v>
      </c>
      <c r="D7930" t="str">
        <f>HYPERLINK("http://service.sap.com/sap/support/notes/1821234","1821234")</f>
        <v>1821234</v>
      </c>
      <c r="E7930">
        <v>1</v>
      </c>
      <c r="F7930" t="s">
        <v>9299</v>
      </c>
    </row>
    <row r="7931" spans="1:6" x14ac:dyDescent="0.25">
      <c r="A7931" t="s">
        <v>10927</v>
      </c>
      <c r="B7931" t="s">
        <v>919</v>
      </c>
      <c r="C7931" t="s">
        <v>920</v>
      </c>
      <c r="D7931" t="str">
        <f>HYPERLINK("http://service.sap.com/sap/support/notes/1828026","1828026")</f>
        <v>1828026</v>
      </c>
      <c r="E7931">
        <v>4</v>
      </c>
      <c r="F7931" t="s">
        <v>9300</v>
      </c>
    </row>
    <row r="7932" spans="1:6" x14ac:dyDescent="0.25">
      <c r="A7932" t="s">
        <v>10927</v>
      </c>
      <c r="B7932" t="s">
        <v>919</v>
      </c>
      <c r="C7932" t="s">
        <v>920</v>
      </c>
      <c r="D7932" t="str">
        <f>HYPERLINK("http://service.sap.com/sap/support/notes/1830247","1830247")</f>
        <v>1830247</v>
      </c>
      <c r="E7932">
        <v>3</v>
      </c>
      <c r="F7932" t="s">
        <v>9301</v>
      </c>
    </row>
    <row r="7933" spans="1:6" x14ac:dyDescent="0.25">
      <c r="A7933" t="s">
        <v>10927</v>
      </c>
      <c r="B7933" t="s">
        <v>919</v>
      </c>
      <c r="C7933" t="s">
        <v>920</v>
      </c>
      <c r="D7933" t="str">
        <f>HYPERLINK("http://service.sap.com/sap/support/notes/1836311","1836311")</f>
        <v>1836311</v>
      </c>
      <c r="E7933">
        <v>2</v>
      </c>
      <c r="F7933" t="s">
        <v>9302</v>
      </c>
    </row>
    <row r="7934" spans="1:6" x14ac:dyDescent="0.25">
      <c r="A7934" t="s">
        <v>10927</v>
      </c>
      <c r="B7934" t="s">
        <v>919</v>
      </c>
      <c r="C7934" t="s">
        <v>920</v>
      </c>
      <c r="D7934" t="str">
        <f>HYPERLINK("http://service.sap.com/sap/support/notes/1836918","1836918")</f>
        <v>1836918</v>
      </c>
      <c r="E7934">
        <v>2</v>
      </c>
      <c r="F7934" t="s">
        <v>9303</v>
      </c>
    </row>
    <row r="7935" spans="1:6" x14ac:dyDescent="0.25">
      <c r="A7935" t="s">
        <v>10927</v>
      </c>
      <c r="B7935" t="s">
        <v>919</v>
      </c>
      <c r="C7935" t="s">
        <v>920</v>
      </c>
      <c r="D7935" t="str">
        <f>HYPERLINK("http://service.sap.com/sap/support/notes/1838728","1838728")</f>
        <v>1838728</v>
      </c>
      <c r="E7935">
        <v>3</v>
      </c>
      <c r="F7935" t="s">
        <v>9304</v>
      </c>
    </row>
    <row r="7936" spans="1:6" x14ac:dyDescent="0.25">
      <c r="A7936" t="s">
        <v>10927</v>
      </c>
      <c r="B7936" t="s">
        <v>919</v>
      </c>
      <c r="C7936" t="s">
        <v>920</v>
      </c>
      <c r="D7936" t="str">
        <f>HYPERLINK("http://service.sap.com/sap/support/notes/1848983","1848983")</f>
        <v>1848983</v>
      </c>
      <c r="E7936">
        <v>2</v>
      </c>
      <c r="F7936" t="s">
        <v>9305</v>
      </c>
    </row>
    <row r="7937" spans="1:6" x14ac:dyDescent="0.25">
      <c r="A7937" t="s">
        <v>10927</v>
      </c>
      <c r="B7937" t="s">
        <v>919</v>
      </c>
      <c r="C7937" t="s">
        <v>920</v>
      </c>
      <c r="D7937" t="str">
        <f>HYPERLINK("http://service.sap.com/sap/support/notes/1858283","1858283")</f>
        <v>1858283</v>
      </c>
      <c r="E7937">
        <v>1</v>
      </c>
      <c r="F7937" t="s">
        <v>9306</v>
      </c>
    </row>
    <row r="7938" spans="1:6" x14ac:dyDescent="0.25">
      <c r="A7938" t="s">
        <v>10927</v>
      </c>
      <c r="B7938" t="s">
        <v>919</v>
      </c>
      <c r="C7938" t="s">
        <v>920</v>
      </c>
      <c r="D7938" t="str">
        <f>HYPERLINK("http://service.sap.com/sap/support/notes/1859036","1859036")</f>
        <v>1859036</v>
      </c>
      <c r="E7938">
        <v>1</v>
      </c>
      <c r="F7938" t="s">
        <v>9307</v>
      </c>
    </row>
    <row r="7939" spans="1:6" x14ac:dyDescent="0.25">
      <c r="A7939" t="s">
        <v>10927</v>
      </c>
      <c r="B7939" t="s">
        <v>936</v>
      </c>
      <c r="C7939" t="s">
        <v>937</v>
      </c>
      <c r="D7939" t="str">
        <f>HYPERLINK("http://service.sap.com/sap/support/notes/1830770","1830770")</f>
        <v>1830770</v>
      </c>
      <c r="E7939">
        <v>2</v>
      </c>
      <c r="F7939" t="s">
        <v>9308</v>
      </c>
    </row>
    <row r="7940" spans="1:6" x14ac:dyDescent="0.25">
      <c r="A7940" t="s">
        <v>10927</v>
      </c>
      <c r="B7940" t="s">
        <v>9309</v>
      </c>
      <c r="C7940" t="s">
        <v>824</v>
      </c>
      <c r="D7940" t="str">
        <f>HYPERLINK("http://service.sap.com/sap/support/notes/1866004","1866004")</f>
        <v>1866004</v>
      </c>
      <c r="E7940">
        <v>1</v>
      </c>
      <c r="F7940" t="s">
        <v>9310</v>
      </c>
    </row>
    <row r="7941" spans="1:6" x14ac:dyDescent="0.25">
      <c r="A7941" t="s">
        <v>10927</v>
      </c>
      <c r="B7941" t="s">
        <v>942</v>
      </c>
      <c r="C7941" t="s">
        <v>943</v>
      </c>
      <c r="D7941" t="str">
        <f>HYPERLINK("http://service.sap.com/sap/support/notes/1836560","1836560")</f>
        <v>1836560</v>
      </c>
      <c r="E7941">
        <v>1</v>
      </c>
      <c r="F7941" t="s">
        <v>9311</v>
      </c>
    </row>
    <row r="7942" spans="1:6" x14ac:dyDescent="0.25">
      <c r="A7942" t="s">
        <v>10927</v>
      </c>
      <c r="B7942" t="s">
        <v>944</v>
      </c>
      <c r="C7942" t="s">
        <v>151</v>
      </c>
    </row>
    <row r="7943" spans="1:6" x14ac:dyDescent="0.25">
      <c r="A7943" t="s">
        <v>10927</v>
      </c>
      <c r="B7943" t="s">
        <v>945</v>
      </c>
      <c r="C7943" t="s">
        <v>839</v>
      </c>
      <c r="D7943" t="str">
        <f>HYPERLINK("http://service.sap.com/sap/support/notes/1835487","1835487")</f>
        <v>1835487</v>
      </c>
      <c r="E7943">
        <v>1</v>
      </c>
      <c r="F7943" t="s">
        <v>9312</v>
      </c>
    </row>
    <row r="7944" spans="1:6" x14ac:dyDescent="0.25">
      <c r="A7944" t="s">
        <v>10927</v>
      </c>
      <c r="B7944" t="s">
        <v>945</v>
      </c>
      <c r="C7944" t="s">
        <v>839</v>
      </c>
      <c r="D7944" t="str">
        <f>HYPERLINK("http://service.sap.com/sap/support/notes/1837238","1837238")</f>
        <v>1837238</v>
      </c>
      <c r="E7944">
        <v>2</v>
      </c>
      <c r="F7944" t="s">
        <v>9313</v>
      </c>
    </row>
    <row r="7945" spans="1:6" x14ac:dyDescent="0.25">
      <c r="A7945" t="s">
        <v>10927</v>
      </c>
      <c r="B7945" t="s">
        <v>945</v>
      </c>
      <c r="C7945" t="s">
        <v>839</v>
      </c>
      <c r="D7945" t="str">
        <f>HYPERLINK("http://service.sap.com/sap/support/notes/1848259","1848259")</f>
        <v>1848259</v>
      </c>
      <c r="E7945">
        <v>2</v>
      </c>
      <c r="F7945" t="s">
        <v>9314</v>
      </c>
    </row>
    <row r="7946" spans="1:6" x14ac:dyDescent="0.25">
      <c r="A7946" t="s">
        <v>10927</v>
      </c>
      <c r="B7946" t="s">
        <v>945</v>
      </c>
      <c r="C7946" t="s">
        <v>839</v>
      </c>
      <c r="D7946" t="str">
        <f>HYPERLINK("http://service.sap.com/sap/support/notes/1855107","1855107")</f>
        <v>1855107</v>
      </c>
      <c r="E7946">
        <v>1</v>
      </c>
      <c r="F7946" t="s">
        <v>9315</v>
      </c>
    </row>
    <row r="7947" spans="1:6" x14ac:dyDescent="0.25">
      <c r="A7947" t="s">
        <v>10927</v>
      </c>
      <c r="B7947" t="s">
        <v>956</v>
      </c>
      <c r="C7947" t="s">
        <v>957</v>
      </c>
      <c r="D7947" t="str">
        <f>HYPERLINK("http://service.sap.com/sap/support/notes/1149378","1149378")</f>
        <v>1149378</v>
      </c>
      <c r="E7947">
        <v>1</v>
      </c>
      <c r="F7947" t="s">
        <v>8324</v>
      </c>
    </row>
    <row r="7948" spans="1:6" x14ac:dyDescent="0.25">
      <c r="A7948" t="s">
        <v>10927</v>
      </c>
      <c r="B7948" t="s">
        <v>956</v>
      </c>
      <c r="C7948" t="s">
        <v>957</v>
      </c>
      <c r="D7948" t="str">
        <f>HYPERLINK("http://service.sap.com/sap/support/notes/1821304","1821304")</f>
        <v>1821304</v>
      </c>
      <c r="E7948">
        <v>2</v>
      </c>
      <c r="F7948" t="s">
        <v>9316</v>
      </c>
    </row>
    <row r="7949" spans="1:6" x14ac:dyDescent="0.25">
      <c r="A7949" t="s">
        <v>10927</v>
      </c>
      <c r="B7949" t="s">
        <v>956</v>
      </c>
      <c r="C7949" t="s">
        <v>957</v>
      </c>
      <c r="D7949" t="str">
        <f>HYPERLINK("http://service.sap.com/sap/support/notes/1823964","1823964")</f>
        <v>1823964</v>
      </c>
      <c r="E7949">
        <v>12</v>
      </c>
      <c r="F7949" t="s">
        <v>9317</v>
      </c>
    </row>
    <row r="7950" spans="1:6" x14ac:dyDescent="0.25">
      <c r="A7950" t="s">
        <v>10927</v>
      </c>
      <c r="B7950" t="s">
        <v>956</v>
      </c>
      <c r="C7950" t="s">
        <v>957</v>
      </c>
      <c r="D7950" t="str">
        <f>HYPERLINK("http://service.sap.com/sap/support/notes/1826317","1826317")</f>
        <v>1826317</v>
      </c>
      <c r="E7950">
        <v>7</v>
      </c>
      <c r="F7950" t="s">
        <v>9318</v>
      </c>
    </row>
    <row r="7951" spans="1:6" x14ac:dyDescent="0.25">
      <c r="A7951" t="s">
        <v>10927</v>
      </c>
      <c r="B7951" t="s">
        <v>956</v>
      </c>
      <c r="C7951" t="s">
        <v>957</v>
      </c>
      <c r="D7951" t="str">
        <f>HYPERLINK("http://service.sap.com/sap/support/notes/1832557","1832557")</f>
        <v>1832557</v>
      </c>
      <c r="E7951">
        <v>1</v>
      </c>
      <c r="F7951" t="s">
        <v>9319</v>
      </c>
    </row>
    <row r="7952" spans="1:6" x14ac:dyDescent="0.25">
      <c r="A7952" t="s">
        <v>10927</v>
      </c>
      <c r="B7952" t="s">
        <v>956</v>
      </c>
      <c r="C7952" t="s">
        <v>957</v>
      </c>
      <c r="D7952" t="str">
        <f>HYPERLINK("http://service.sap.com/sap/support/notes/1832561","1832561")</f>
        <v>1832561</v>
      </c>
      <c r="E7952">
        <v>2</v>
      </c>
      <c r="F7952" t="s">
        <v>9320</v>
      </c>
    </row>
    <row r="7953" spans="1:6" x14ac:dyDescent="0.25">
      <c r="A7953" t="s">
        <v>10927</v>
      </c>
      <c r="B7953" t="s">
        <v>970</v>
      </c>
      <c r="C7953" t="s">
        <v>971</v>
      </c>
      <c r="D7953" t="str">
        <f>HYPERLINK("http://service.sap.com/sap/support/notes/1837159","1837159")</f>
        <v>1837159</v>
      </c>
      <c r="E7953">
        <v>2</v>
      </c>
      <c r="F7953" t="s">
        <v>9321</v>
      </c>
    </row>
    <row r="7954" spans="1:6" x14ac:dyDescent="0.25">
      <c r="A7954" t="s">
        <v>10927</v>
      </c>
      <c r="B7954" t="s">
        <v>970</v>
      </c>
      <c r="C7954" t="s">
        <v>971</v>
      </c>
      <c r="D7954" t="str">
        <f>HYPERLINK("http://service.sap.com/sap/support/notes/1841809","1841809")</f>
        <v>1841809</v>
      </c>
      <c r="E7954">
        <v>2</v>
      </c>
      <c r="F7954" t="s">
        <v>9322</v>
      </c>
    </row>
    <row r="7955" spans="1:6" x14ac:dyDescent="0.25">
      <c r="A7955" t="s">
        <v>10927</v>
      </c>
      <c r="B7955" t="s">
        <v>970</v>
      </c>
      <c r="C7955" t="s">
        <v>971</v>
      </c>
      <c r="D7955" t="str">
        <f>HYPERLINK("http://service.sap.com/sap/support/notes/1844970","1844970")</f>
        <v>1844970</v>
      </c>
      <c r="E7955">
        <v>2</v>
      </c>
      <c r="F7955" t="s">
        <v>9323</v>
      </c>
    </row>
    <row r="7956" spans="1:6" x14ac:dyDescent="0.25">
      <c r="A7956" t="s">
        <v>10927</v>
      </c>
      <c r="B7956" t="s">
        <v>970</v>
      </c>
      <c r="C7956" t="s">
        <v>971</v>
      </c>
      <c r="D7956" t="str">
        <f>HYPERLINK("http://service.sap.com/sap/support/notes/1845140","1845140")</f>
        <v>1845140</v>
      </c>
      <c r="E7956">
        <v>2</v>
      </c>
      <c r="F7956" t="s">
        <v>9324</v>
      </c>
    </row>
    <row r="7957" spans="1:6" x14ac:dyDescent="0.25">
      <c r="A7957" t="s">
        <v>10927</v>
      </c>
      <c r="B7957" t="s">
        <v>970</v>
      </c>
      <c r="C7957" t="s">
        <v>971</v>
      </c>
      <c r="D7957" t="str">
        <f>HYPERLINK("http://service.sap.com/sap/support/notes/1860734","1860734")</f>
        <v>1860734</v>
      </c>
      <c r="E7957">
        <v>2</v>
      </c>
      <c r="F7957" t="s">
        <v>9325</v>
      </c>
    </row>
    <row r="7958" spans="1:6" x14ac:dyDescent="0.25">
      <c r="A7958" t="s">
        <v>10927</v>
      </c>
      <c r="B7958" t="s">
        <v>980</v>
      </c>
      <c r="C7958" t="s">
        <v>883</v>
      </c>
      <c r="D7958" t="str">
        <f>HYPERLINK("http://service.sap.com/sap/support/notes/658521","658521")</f>
        <v>658521</v>
      </c>
      <c r="E7958">
        <v>1</v>
      </c>
      <c r="F7958" t="s">
        <v>981</v>
      </c>
    </row>
    <row r="7959" spans="1:6" x14ac:dyDescent="0.25">
      <c r="A7959" t="s">
        <v>10927</v>
      </c>
      <c r="B7959" t="s">
        <v>982</v>
      </c>
      <c r="C7959" t="s">
        <v>983</v>
      </c>
      <c r="D7959" t="str">
        <f>HYPERLINK("http://service.sap.com/sap/support/notes/1843739","1843739")</f>
        <v>1843739</v>
      </c>
      <c r="E7959">
        <v>2</v>
      </c>
      <c r="F7959" t="s">
        <v>9326</v>
      </c>
    </row>
    <row r="7960" spans="1:6" x14ac:dyDescent="0.25">
      <c r="A7960" t="s">
        <v>10927</v>
      </c>
      <c r="B7960" t="s">
        <v>4697</v>
      </c>
      <c r="C7960" t="s">
        <v>891</v>
      </c>
      <c r="D7960" t="str">
        <f>HYPERLINK("http://service.sap.com/sap/support/notes/1779701","1779701")</f>
        <v>1779701</v>
      </c>
      <c r="E7960">
        <v>2</v>
      </c>
      <c r="F7960" t="s">
        <v>9327</v>
      </c>
    </row>
    <row r="7961" spans="1:6" x14ac:dyDescent="0.25">
      <c r="A7961" t="s">
        <v>10927</v>
      </c>
      <c r="B7961" t="s">
        <v>4697</v>
      </c>
      <c r="C7961" t="s">
        <v>891</v>
      </c>
      <c r="D7961" t="str">
        <f>HYPERLINK("http://service.sap.com/sap/support/notes/1840380","1840380")</f>
        <v>1840380</v>
      </c>
      <c r="E7961">
        <v>2</v>
      </c>
      <c r="F7961" t="s">
        <v>9328</v>
      </c>
    </row>
    <row r="7962" spans="1:6" x14ac:dyDescent="0.25">
      <c r="A7962" t="s">
        <v>10927</v>
      </c>
      <c r="B7962" t="s">
        <v>4697</v>
      </c>
      <c r="C7962" t="s">
        <v>891</v>
      </c>
      <c r="D7962" t="str">
        <f>HYPERLINK("http://service.sap.com/sap/support/notes/1843679","1843679")</f>
        <v>1843679</v>
      </c>
      <c r="E7962">
        <v>3</v>
      </c>
      <c r="F7962" t="s">
        <v>9329</v>
      </c>
    </row>
    <row r="7963" spans="1:6" x14ac:dyDescent="0.25">
      <c r="A7963" t="s">
        <v>10927</v>
      </c>
      <c r="B7963" t="s">
        <v>4697</v>
      </c>
      <c r="C7963" t="s">
        <v>891</v>
      </c>
      <c r="D7963" t="str">
        <f>HYPERLINK("http://service.sap.com/sap/support/notes/1845547","1845547")</f>
        <v>1845547</v>
      </c>
      <c r="E7963">
        <v>2</v>
      </c>
      <c r="F7963" t="s">
        <v>9330</v>
      </c>
    </row>
    <row r="7964" spans="1:6" x14ac:dyDescent="0.25">
      <c r="A7964" t="s">
        <v>10927</v>
      </c>
      <c r="B7964" t="s">
        <v>990</v>
      </c>
      <c r="C7964" t="s">
        <v>29</v>
      </c>
      <c r="D7964" t="str">
        <f>HYPERLINK("http://service.sap.com/sap/support/notes/1693619","1693619")</f>
        <v>1693619</v>
      </c>
      <c r="E7964">
        <v>2</v>
      </c>
      <c r="F7964" t="s">
        <v>9331</v>
      </c>
    </row>
    <row r="7965" spans="1:6" x14ac:dyDescent="0.25">
      <c r="A7965" t="s">
        <v>10927</v>
      </c>
      <c r="B7965" t="s">
        <v>990</v>
      </c>
      <c r="C7965" t="s">
        <v>29</v>
      </c>
      <c r="D7965" t="str">
        <f>HYPERLINK("http://service.sap.com/sap/support/notes/1825074","1825074")</f>
        <v>1825074</v>
      </c>
      <c r="E7965">
        <v>2</v>
      </c>
      <c r="F7965" t="s">
        <v>9332</v>
      </c>
    </row>
    <row r="7966" spans="1:6" x14ac:dyDescent="0.25">
      <c r="A7966" t="s">
        <v>10927</v>
      </c>
      <c r="B7966" t="s">
        <v>990</v>
      </c>
      <c r="C7966" t="s">
        <v>29</v>
      </c>
      <c r="D7966" t="str">
        <f>HYPERLINK("http://service.sap.com/sap/support/notes/1835738","1835738")</f>
        <v>1835738</v>
      </c>
      <c r="E7966">
        <v>2</v>
      </c>
      <c r="F7966" t="s">
        <v>9333</v>
      </c>
    </row>
    <row r="7967" spans="1:6" x14ac:dyDescent="0.25">
      <c r="A7967" t="s">
        <v>10927</v>
      </c>
      <c r="B7967" t="s">
        <v>990</v>
      </c>
      <c r="C7967" t="s">
        <v>29</v>
      </c>
      <c r="D7967" t="str">
        <f>HYPERLINK("http://service.sap.com/sap/support/notes/1853805","1853805")</f>
        <v>1853805</v>
      </c>
      <c r="E7967">
        <v>2</v>
      </c>
      <c r="F7967" t="s">
        <v>9334</v>
      </c>
    </row>
    <row r="7968" spans="1:6" x14ac:dyDescent="0.25">
      <c r="A7968" t="s">
        <v>10927</v>
      </c>
      <c r="B7968" t="s">
        <v>990</v>
      </c>
      <c r="C7968" t="s">
        <v>29</v>
      </c>
      <c r="D7968" t="str">
        <f>HYPERLINK("http://service.sap.com/sap/support/notes/1854371","1854371")</f>
        <v>1854371</v>
      </c>
      <c r="E7968">
        <v>1</v>
      </c>
      <c r="F7968" t="s">
        <v>9335</v>
      </c>
    </row>
    <row r="7969" spans="1:6" x14ac:dyDescent="0.25">
      <c r="A7969" t="s">
        <v>10927</v>
      </c>
      <c r="B7969" t="s">
        <v>990</v>
      </c>
      <c r="C7969" t="s">
        <v>29</v>
      </c>
      <c r="D7969" t="str">
        <f>HYPERLINK("http://service.sap.com/sap/support/notes/1864040","1864040")</f>
        <v>1864040</v>
      </c>
      <c r="E7969">
        <v>1</v>
      </c>
      <c r="F7969" t="s">
        <v>9336</v>
      </c>
    </row>
    <row r="7970" spans="1:6" x14ac:dyDescent="0.25">
      <c r="A7970" t="s">
        <v>10927</v>
      </c>
      <c r="B7970" t="s">
        <v>990</v>
      </c>
      <c r="C7970" t="s">
        <v>29</v>
      </c>
      <c r="D7970" t="str">
        <f>HYPERLINK("http://service.sap.com/sap/support/notes/1867719","1867719")</f>
        <v>1867719</v>
      </c>
      <c r="E7970">
        <v>2</v>
      </c>
      <c r="F7970" t="s">
        <v>9337</v>
      </c>
    </row>
    <row r="7971" spans="1:6" x14ac:dyDescent="0.25">
      <c r="A7971" t="s">
        <v>10927</v>
      </c>
      <c r="B7971" t="s">
        <v>9338</v>
      </c>
      <c r="C7971" t="s">
        <v>937</v>
      </c>
      <c r="D7971" t="str">
        <f>HYPERLINK("http://service.sap.com/sap/support/notes/1830661","1830661")</f>
        <v>1830661</v>
      </c>
      <c r="E7971">
        <v>5</v>
      </c>
      <c r="F7971" t="s">
        <v>9339</v>
      </c>
    </row>
    <row r="7972" spans="1:6" x14ac:dyDescent="0.25">
      <c r="A7972" t="s">
        <v>10927</v>
      </c>
      <c r="B7972" t="s">
        <v>9338</v>
      </c>
      <c r="C7972" t="s">
        <v>937</v>
      </c>
      <c r="D7972" t="str">
        <f>HYPERLINK("http://service.sap.com/sap/support/notes/1835565","1835565")</f>
        <v>1835565</v>
      </c>
      <c r="E7972">
        <v>3</v>
      </c>
      <c r="F7972" t="s">
        <v>9340</v>
      </c>
    </row>
    <row r="7973" spans="1:6" x14ac:dyDescent="0.25">
      <c r="A7973" t="s">
        <v>10927</v>
      </c>
      <c r="B7973" t="s">
        <v>1000</v>
      </c>
      <c r="C7973" t="s">
        <v>1001</v>
      </c>
    </row>
    <row r="7974" spans="1:6" x14ac:dyDescent="0.25">
      <c r="A7974" t="s">
        <v>10927</v>
      </c>
      <c r="B7974" t="s">
        <v>1005</v>
      </c>
      <c r="C7974" t="s">
        <v>1006</v>
      </c>
    </row>
    <row r="7975" spans="1:6" x14ac:dyDescent="0.25">
      <c r="A7975" t="s">
        <v>10927</v>
      </c>
      <c r="B7975" t="s">
        <v>1008</v>
      </c>
      <c r="C7975" t="s">
        <v>1009</v>
      </c>
      <c r="D7975" t="str">
        <f>HYPERLINK("http://service.sap.com/sap/support/notes/1797646","1797646")</f>
        <v>1797646</v>
      </c>
      <c r="E7975">
        <v>2</v>
      </c>
      <c r="F7975" t="s">
        <v>9341</v>
      </c>
    </row>
    <row r="7976" spans="1:6" x14ac:dyDescent="0.25">
      <c r="A7976" t="s">
        <v>10927</v>
      </c>
      <c r="B7976" t="s">
        <v>1008</v>
      </c>
      <c r="C7976" t="s">
        <v>1009</v>
      </c>
      <c r="D7976" t="str">
        <f>HYPERLINK("http://service.sap.com/sap/support/notes/1814932","1814932")</f>
        <v>1814932</v>
      </c>
      <c r="E7976">
        <v>4</v>
      </c>
      <c r="F7976" t="s">
        <v>9342</v>
      </c>
    </row>
    <row r="7977" spans="1:6" x14ac:dyDescent="0.25">
      <c r="A7977" t="s">
        <v>10927</v>
      </c>
      <c r="B7977" t="s">
        <v>1008</v>
      </c>
      <c r="C7977" t="s">
        <v>1009</v>
      </c>
      <c r="D7977" t="str">
        <f>HYPERLINK("http://service.sap.com/sap/support/notes/1836460","1836460")</f>
        <v>1836460</v>
      </c>
      <c r="E7977">
        <v>2</v>
      </c>
      <c r="F7977" t="s">
        <v>9343</v>
      </c>
    </row>
    <row r="7978" spans="1:6" x14ac:dyDescent="0.25">
      <c r="A7978" t="s">
        <v>10927</v>
      </c>
      <c r="B7978" t="s">
        <v>1008</v>
      </c>
      <c r="C7978" t="s">
        <v>1009</v>
      </c>
      <c r="D7978" t="str">
        <f>HYPERLINK("http://service.sap.com/sap/support/notes/1841192","1841192")</f>
        <v>1841192</v>
      </c>
      <c r="E7978">
        <v>3</v>
      </c>
      <c r="F7978" t="s">
        <v>9344</v>
      </c>
    </row>
    <row r="7979" spans="1:6" x14ac:dyDescent="0.25">
      <c r="A7979" t="s">
        <v>10927</v>
      </c>
      <c r="B7979" t="s">
        <v>1023</v>
      </c>
      <c r="C7979" t="s">
        <v>1024</v>
      </c>
      <c r="D7979" t="str">
        <f>HYPERLINK("http://service.sap.com/sap/support/notes/1835442","1835442")</f>
        <v>1835442</v>
      </c>
      <c r="E7979">
        <v>2</v>
      </c>
      <c r="F7979" t="s">
        <v>9345</v>
      </c>
    </row>
    <row r="7980" spans="1:6" x14ac:dyDescent="0.25">
      <c r="A7980" t="s">
        <v>10927</v>
      </c>
      <c r="B7980" t="s">
        <v>1023</v>
      </c>
      <c r="C7980" t="s">
        <v>1024</v>
      </c>
      <c r="D7980" t="str">
        <f>HYPERLINK("http://service.sap.com/sap/support/notes/1848254","1848254")</f>
        <v>1848254</v>
      </c>
      <c r="E7980">
        <v>2</v>
      </c>
      <c r="F7980" t="s">
        <v>9346</v>
      </c>
    </row>
    <row r="7981" spans="1:6" x14ac:dyDescent="0.25">
      <c r="A7981" t="s">
        <v>10927</v>
      </c>
      <c r="B7981" t="s">
        <v>1033</v>
      </c>
      <c r="C7981" t="s">
        <v>1034</v>
      </c>
      <c r="D7981" t="str">
        <f>HYPERLINK("http://service.sap.com/sap/support/notes/1671141","1671141")</f>
        <v>1671141</v>
      </c>
      <c r="E7981">
        <v>5</v>
      </c>
      <c r="F7981" t="s">
        <v>9347</v>
      </c>
    </row>
    <row r="7982" spans="1:6" x14ac:dyDescent="0.25">
      <c r="A7982" t="s">
        <v>10927</v>
      </c>
      <c r="B7982" t="s">
        <v>1033</v>
      </c>
      <c r="C7982" t="s">
        <v>1034</v>
      </c>
      <c r="D7982" t="str">
        <f>HYPERLINK("http://service.sap.com/sap/support/notes/1746117","1746117")</f>
        <v>1746117</v>
      </c>
      <c r="E7982">
        <v>4</v>
      </c>
      <c r="F7982" t="s">
        <v>9348</v>
      </c>
    </row>
    <row r="7983" spans="1:6" x14ac:dyDescent="0.25">
      <c r="A7983" t="s">
        <v>10927</v>
      </c>
      <c r="B7983" t="s">
        <v>1033</v>
      </c>
      <c r="C7983" t="s">
        <v>1034</v>
      </c>
      <c r="D7983" t="str">
        <f>HYPERLINK("http://service.sap.com/sap/support/notes/1801136","1801136")</f>
        <v>1801136</v>
      </c>
      <c r="E7983">
        <v>5</v>
      </c>
      <c r="F7983" t="s">
        <v>9349</v>
      </c>
    </row>
    <row r="7984" spans="1:6" x14ac:dyDescent="0.25">
      <c r="A7984" t="s">
        <v>10927</v>
      </c>
      <c r="B7984" t="s">
        <v>1033</v>
      </c>
      <c r="C7984" t="s">
        <v>1034</v>
      </c>
      <c r="D7984" t="str">
        <f>HYPERLINK("http://service.sap.com/sap/support/notes/1814948","1814948")</f>
        <v>1814948</v>
      </c>
      <c r="E7984">
        <v>2</v>
      </c>
      <c r="F7984" t="s">
        <v>6974</v>
      </c>
    </row>
    <row r="7985" spans="1:6" x14ac:dyDescent="0.25">
      <c r="A7985" t="s">
        <v>10927</v>
      </c>
      <c r="B7985" t="s">
        <v>1033</v>
      </c>
      <c r="C7985" t="s">
        <v>1034</v>
      </c>
      <c r="D7985" t="str">
        <f>HYPERLINK("http://service.sap.com/sap/support/notes/1819818","1819818")</f>
        <v>1819818</v>
      </c>
      <c r="E7985">
        <v>6</v>
      </c>
      <c r="F7985" t="s">
        <v>9350</v>
      </c>
    </row>
    <row r="7986" spans="1:6" x14ac:dyDescent="0.25">
      <c r="A7986" t="s">
        <v>10927</v>
      </c>
      <c r="B7986" t="s">
        <v>1033</v>
      </c>
      <c r="C7986" t="s">
        <v>1034</v>
      </c>
      <c r="D7986" t="str">
        <f>HYPERLINK("http://service.sap.com/sap/support/notes/1833941","1833941")</f>
        <v>1833941</v>
      </c>
      <c r="E7986">
        <v>2</v>
      </c>
      <c r="F7986" t="s">
        <v>9351</v>
      </c>
    </row>
    <row r="7987" spans="1:6" x14ac:dyDescent="0.25">
      <c r="A7987" t="s">
        <v>10927</v>
      </c>
      <c r="B7987" t="s">
        <v>1033</v>
      </c>
      <c r="C7987" t="s">
        <v>1034</v>
      </c>
      <c r="D7987" t="str">
        <f>HYPERLINK("http://service.sap.com/sap/support/notes/1834055","1834055")</f>
        <v>1834055</v>
      </c>
      <c r="E7987">
        <v>1</v>
      </c>
      <c r="F7987" t="s">
        <v>9352</v>
      </c>
    </row>
    <row r="7988" spans="1:6" x14ac:dyDescent="0.25">
      <c r="A7988" t="s">
        <v>10927</v>
      </c>
      <c r="B7988" t="s">
        <v>1051</v>
      </c>
      <c r="C7988" t="s">
        <v>1052</v>
      </c>
      <c r="D7988" t="str">
        <f>HYPERLINK("http://service.sap.com/sap/support/notes/1842166","1842166")</f>
        <v>1842166</v>
      </c>
      <c r="E7988">
        <v>3</v>
      </c>
      <c r="F7988" t="s">
        <v>9353</v>
      </c>
    </row>
    <row r="7989" spans="1:6" x14ac:dyDescent="0.25">
      <c r="A7989" t="s">
        <v>10927</v>
      </c>
      <c r="B7989" t="s">
        <v>1051</v>
      </c>
      <c r="C7989" t="s">
        <v>1052</v>
      </c>
      <c r="D7989" t="str">
        <f>HYPERLINK("http://service.sap.com/sap/support/notes/1843826","1843826")</f>
        <v>1843826</v>
      </c>
      <c r="E7989">
        <v>5</v>
      </c>
      <c r="F7989" t="s">
        <v>9354</v>
      </c>
    </row>
    <row r="7990" spans="1:6" x14ac:dyDescent="0.25">
      <c r="A7990" t="s">
        <v>10927</v>
      </c>
      <c r="B7990" t="s">
        <v>1051</v>
      </c>
      <c r="C7990" t="s">
        <v>1052</v>
      </c>
      <c r="D7990" t="str">
        <f>HYPERLINK("http://service.sap.com/sap/support/notes/1860989","1860989")</f>
        <v>1860989</v>
      </c>
      <c r="E7990">
        <v>3</v>
      </c>
      <c r="F7990" t="s">
        <v>9355</v>
      </c>
    </row>
    <row r="7991" spans="1:6" x14ac:dyDescent="0.25">
      <c r="A7991" t="s">
        <v>10927</v>
      </c>
      <c r="B7991" t="s">
        <v>1058</v>
      </c>
      <c r="C7991" t="s">
        <v>1059</v>
      </c>
      <c r="D7991" t="str">
        <f>HYPERLINK("http://service.sap.com/sap/support/notes/1842330","1842330")</f>
        <v>1842330</v>
      </c>
      <c r="E7991">
        <v>2</v>
      </c>
      <c r="F7991" t="s">
        <v>6981</v>
      </c>
    </row>
    <row r="7992" spans="1:6" x14ac:dyDescent="0.25">
      <c r="A7992" t="s">
        <v>10927</v>
      </c>
      <c r="B7992" t="s">
        <v>1065</v>
      </c>
      <c r="C7992" t="s">
        <v>1066</v>
      </c>
      <c r="D7992" t="str">
        <f>HYPERLINK("http://service.sap.com/sap/support/notes/1836348","1836348")</f>
        <v>1836348</v>
      </c>
      <c r="E7992">
        <v>4</v>
      </c>
      <c r="F7992" t="s">
        <v>9356</v>
      </c>
    </row>
    <row r="7993" spans="1:6" x14ac:dyDescent="0.25">
      <c r="A7993" t="s">
        <v>10927</v>
      </c>
      <c r="B7993" t="s">
        <v>1065</v>
      </c>
      <c r="C7993" t="s">
        <v>1066</v>
      </c>
      <c r="D7993" t="str">
        <f>HYPERLINK("http://service.sap.com/sap/support/notes/1845335","1845335")</f>
        <v>1845335</v>
      </c>
      <c r="E7993">
        <v>2</v>
      </c>
      <c r="F7993" t="s">
        <v>9357</v>
      </c>
    </row>
    <row r="7994" spans="1:6" x14ac:dyDescent="0.25">
      <c r="A7994" t="s">
        <v>10927</v>
      </c>
      <c r="B7994" t="s">
        <v>1065</v>
      </c>
      <c r="C7994" t="s">
        <v>1066</v>
      </c>
      <c r="D7994" t="str">
        <f>HYPERLINK("http://service.sap.com/sap/support/notes/1848761","1848761")</f>
        <v>1848761</v>
      </c>
      <c r="E7994">
        <v>2</v>
      </c>
      <c r="F7994" t="s">
        <v>9358</v>
      </c>
    </row>
    <row r="7995" spans="1:6" x14ac:dyDescent="0.25">
      <c r="A7995" t="s">
        <v>10927</v>
      </c>
      <c r="B7995" t="s">
        <v>1065</v>
      </c>
      <c r="C7995" t="s">
        <v>1066</v>
      </c>
      <c r="D7995" t="str">
        <f>HYPERLINK("http://service.sap.com/sap/support/notes/1863460","1863460")</f>
        <v>1863460</v>
      </c>
      <c r="E7995">
        <v>1</v>
      </c>
      <c r="F7995" t="s">
        <v>9359</v>
      </c>
    </row>
    <row r="7996" spans="1:6" x14ac:dyDescent="0.25">
      <c r="A7996" t="s">
        <v>10927</v>
      </c>
      <c r="B7996" t="s">
        <v>1068</v>
      </c>
      <c r="C7996" t="s">
        <v>1069</v>
      </c>
      <c r="D7996" t="str">
        <f>HYPERLINK("http://service.sap.com/sap/support/notes/1696307","1696307")</f>
        <v>1696307</v>
      </c>
      <c r="E7996">
        <v>1</v>
      </c>
      <c r="F7996" t="s">
        <v>6983</v>
      </c>
    </row>
    <row r="7997" spans="1:6" x14ac:dyDescent="0.25">
      <c r="A7997" t="s">
        <v>10927</v>
      </c>
      <c r="B7997" t="s">
        <v>1068</v>
      </c>
      <c r="C7997" t="s">
        <v>1069</v>
      </c>
      <c r="D7997" t="str">
        <f>HYPERLINK("http://service.sap.com/sap/support/notes/1787685","1787685")</f>
        <v>1787685</v>
      </c>
      <c r="E7997">
        <v>1</v>
      </c>
      <c r="F7997" t="s">
        <v>6987</v>
      </c>
    </row>
    <row r="7998" spans="1:6" x14ac:dyDescent="0.25">
      <c r="A7998" t="s">
        <v>10927</v>
      </c>
      <c r="B7998" t="s">
        <v>1068</v>
      </c>
      <c r="C7998" t="s">
        <v>1069</v>
      </c>
      <c r="D7998" t="str">
        <f>HYPERLINK("http://service.sap.com/sap/support/notes/1807324","1807324")</f>
        <v>1807324</v>
      </c>
      <c r="E7998">
        <v>3</v>
      </c>
      <c r="F7998" t="s">
        <v>9360</v>
      </c>
    </row>
    <row r="7999" spans="1:6" x14ac:dyDescent="0.25">
      <c r="A7999" t="s">
        <v>10927</v>
      </c>
      <c r="B7999" t="s">
        <v>1068</v>
      </c>
      <c r="C7999" t="s">
        <v>1069</v>
      </c>
      <c r="D7999" t="str">
        <f>HYPERLINK("http://service.sap.com/sap/support/notes/1827067","1827067")</f>
        <v>1827067</v>
      </c>
      <c r="E7999">
        <v>1</v>
      </c>
      <c r="F7999" t="s">
        <v>9361</v>
      </c>
    </row>
    <row r="8000" spans="1:6" x14ac:dyDescent="0.25">
      <c r="A8000" t="s">
        <v>10927</v>
      </c>
      <c r="B8000" t="s">
        <v>1068</v>
      </c>
      <c r="C8000" t="s">
        <v>1069</v>
      </c>
      <c r="D8000" t="str">
        <f>HYPERLINK("http://service.sap.com/sap/support/notes/1832714","1832714")</f>
        <v>1832714</v>
      </c>
      <c r="E8000">
        <v>6</v>
      </c>
      <c r="F8000" t="s">
        <v>9362</v>
      </c>
    </row>
    <row r="8001" spans="1:6" x14ac:dyDescent="0.25">
      <c r="A8001" t="s">
        <v>10927</v>
      </c>
      <c r="B8001" t="s">
        <v>1068</v>
      </c>
      <c r="C8001" t="s">
        <v>1069</v>
      </c>
      <c r="D8001" t="str">
        <f>HYPERLINK("http://service.sap.com/sap/support/notes/1838906","1838906")</f>
        <v>1838906</v>
      </c>
      <c r="E8001">
        <v>3</v>
      </c>
      <c r="F8001" t="s">
        <v>9363</v>
      </c>
    </row>
    <row r="8002" spans="1:6" x14ac:dyDescent="0.25">
      <c r="A8002" t="s">
        <v>10927</v>
      </c>
      <c r="B8002" t="s">
        <v>1068</v>
      </c>
      <c r="C8002" t="s">
        <v>1069</v>
      </c>
      <c r="D8002" t="str">
        <f>HYPERLINK("http://service.sap.com/sap/support/notes/1856146","1856146")</f>
        <v>1856146</v>
      </c>
      <c r="E8002">
        <v>1</v>
      </c>
      <c r="F8002" t="s">
        <v>9364</v>
      </c>
    </row>
    <row r="8003" spans="1:6" x14ac:dyDescent="0.25">
      <c r="A8003" t="s">
        <v>10927</v>
      </c>
      <c r="B8003" t="s">
        <v>1068</v>
      </c>
      <c r="C8003" t="s">
        <v>1069</v>
      </c>
      <c r="D8003" t="str">
        <f>HYPERLINK("http://service.sap.com/sap/support/notes/1858700","1858700")</f>
        <v>1858700</v>
      </c>
      <c r="E8003">
        <v>1</v>
      </c>
      <c r="F8003" t="s">
        <v>9365</v>
      </c>
    </row>
    <row r="8004" spans="1:6" x14ac:dyDescent="0.25">
      <c r="A8004" t="s">
        <v>10927</v>
      </c>
      <c r="B8004" t="s">
        <v>1068</v>
      </c>
      <c r="C8004" t="s">
        <v>1069</v>
      </c>
      <c r="D8004" t="str">
        <f>HYPERLINK("http://service.sap.com/sap/support/notes/1865372","1865372")</f>
        <v>1865372</v>
      </c>
      <c r="E8004">
        <v>1</v>
      </c>
      <c r="F8004" t="s">
        <v>9365</v>
      </c>
    </row>
    <row r="8005" spans="1:6" x14ac:dyDescent="0.25">
      <c r="A8005" t="s">
        <v>10927</v>
      </c>
      <c r="B8005" t="s">
        <v>1068</v>
      </c>
      <c r="C8005" t="s">
        <v>1069</v>
      </c>
      <c r="D8005" t="str">
        <f>HYPERLINK("http://service.sap.com/sap/support/notes/1865818","1865818")</f>
        <v>1865818</v>
      </c>
      <c r="E8005">
        <v>1</v>
      </c>
      <c r="F8005" t="s">
        <v>9366</v>
      </c>
    </row>
    <row r="8006" spans="1:6" x14ac:dyDescent="0.25">
      <c r="A8006" t="s">
        <v>10927</v>
      </c>
      <c r="B8006" t="s">
        <v>1074</v>
      </c>
      <c r="C8006" t="s">
        <v>1075</v>
      </c>
      <c r="D8006" t="str">
        <f>HYPERLINK("http://service.sap.com/sap/support/notes/1844104","1844104")</f>
        <v>1844104</v>
      </c>
      <c r="E8006">
        <v>5</v>
      </c>
      <c r="F8006" t="s">
        <v>9367</v>
      </c>
    </row>
    <row r="8007" spans="1:6" x14ac:dyDescent="0.25">
      <c r="A8007" t="s">
        <v>10927</v>
      </c>
      <c r="B8007" t="s">
        <v>1079</v>
      </c>
      <c r="C8007" t="s">
        <v>1080</v>
      </c>
    </row>
    <row r="8008" spans="1:6" x14ac:dyDescent="0.25">
      <c r="A8008" t="s">
        <v>10927</v>
      </c>
      <c r="B8008" t="s">
        <v>1081</v>
      </c>
      <c r="C8008" t="s">
        <v>1082</v>
      </c>
      <c r="D8008" t="str">
        <f>HYPERLINK("http://service.sap.com/sap/support/notes/1837700","1837700")</f>
        <v>1837700</v>
      </c>
      <c r="E8008">
        <v>1</v>
      </c>
      <c r="F8008" t="s">
        <v>9368</v>
      </c>
    </row>
    <row r="8009" spans="1:6" x14ac:dyDescent="0.25">
      <c r="A8009" t="s">
        <v>10927</v>
      </c>
      <c r="B8009" t="s">
        <v>1081</v>
      </c>
      <c r="C8009" t="s">
        <v>1082</v>
      </c>
      <c r="D8009" t="str">
        <f>HYPERLINK("http://service.sap.com/sap/support/notes/1840141","1840141")</f>
        <v>1840141</v>
      </c>
      <c r="E8009">
        <v>1</v>
      </c>
      <c r="F8009" t="s">
        <v>9369</v>
      </c>
    </row>
    <row r="8010" spans="1:6" x14ac:dyDescent="0.25">
      <c r="A8010" t="s">
        <v>10927</v>
      </c>
      <c r="B8010" t="s">
        <v>1081</v>
      </c>
      <c r="C8010" t="s">
        <v>1082</v>
      </c>
      <c r="D8010" t="str">
        <f>HYPERLINK("http://service.sap.com/sap/support/notes/1847046","1847046")</f>
        <v>1847046</v>
      </c>
      <c r="E8010">
        <v>2</v>
      </c>
      <c r="F8010" t="s">
        <v>9370</v>
      </c>
    </row>
    <row r="8011" spans="1:6" x14ac:dyDescent="0.25">
      <c r="A8011" t="s">
        <v>10927</v>
      </c>
      <c r="B8011" t="s">
        <v>1081</v>
      </c>
      <c r="C8011" t="s">
        <v>1082</v>
      </c>
      <c r="D8011" t="str">
        <f>HYPERLINK("http://service.sap.com/sap/support/notes/1854544","1854544")</f>
        <v>1854544</v>
      </c>
      <c r="E8011">
        <v>1</v>
      </c>
      <c r="F8011" t="s">
        <v>9371</v>
      </c>
    </row>
    <row r="8012" spans="1:6" x14ac:dyDescent="0.25">
      <c r="A8012" t="s">
        <v>10927</v>
      </c>
      <c r="B8012" t="s">
        <v>1096</v>
      </c>
      <c r="C8012" t="s">
        <v>1097</v>
      </c>
      <c r="D8012" t="str">
        <f>HYPERLINK("http://service.sap.com/sap/support/notes/855538","855538")</f>
        <v>855538</v>
      </c>
      <c r="E8012">
        <v>1</v>
      </c>
      <c r="F8012" t="s">
        <v>1098</v>
      </c>
    </row>
    <row r="8013" spans="1:6" x14ac:dyDescent="0.25">
      <c r="A8013" t="s">
        <v>10927</v>
      </c>
      <c r="B8013" t="s">
        <v>1096</v>
      </c>
      <c r="C8013" t="s">
        <v>1097</v>
      </c>
      <c r="D8013" t="str">
        <f>HYPERLINK("http://service.sap.com/sap/support/notes/1799267","1799267")</f>
        <v>1799267</v>
      </c>
      <c r="E8013">
        <v>2</v>
      </c>
      <c r="F8013" t="s">
        <v>9372</v>
      </c>
    </row>
    <row r="8014" spans="1:6" x14ac:dyDescent="0.25">
      <c r="A8014" t="s">
        <v>10927</v>
      </c>
      <c r="B8014" t="s">
        <v>1096</v>
      </c>
      <c r="C8014" t="s">
        <v>1097</v>
      </c>
      <c r="D8014" t="str">
        <f>HYPERLINK("http://service.sap.com/sap/support/notes/1832761","1832761")</f>
        <v>1832761</v>
      </c>
      <c r="E8014">
        <v>3</v>
      </c>
      <c r="F8014" t="s">
        <v>9373</v>
      </c>
    </row>
    <row r="8015" spans="1:6" x14ac:dyDescent="0.25">
      <c r="A8015" t="s">
        <v>10927</v>
      </c>
      <c r="B8015" t="s">
        <v>1096</v>
      </c>
      <c r="C8015" t="s">
        <v>1097</v>
      </c>
      <c r="D8015" t="str">
        <f>HYPERLINK("http://service.sap.com/sap/support/notes/1835095","1835095")</f>
        <v>1835095</v>
      </c>
      <c r="E8015">
        <v>1</v>
      </c>
      <c r="F8015" t="s">
        <v>9374</v>
      </c>
    </row>
    <row r="8016" spans="1:6" x14ac:dyDescent="0.25">
      <c r="A8016" t="s">
        <v>10927</v>
      </c>
      <c r="B8016" t="s">
        <v>1096</v>
      </c>
      <c r="C8016" t="s">
        <v>1097</v>
      </c>
      <c r="D8016" t="str">
        <f>HYPERLINK("http://service.sap.com/sap/support/notes/1842222","1842222")</f>
        <v>1842222</v>
      </c>
      <c r="E8016">
        <v>4</v>
      </c>
      <c r="F8016" t="s">
        <v>9375</v>
      </c>
    </row>
    <row r="8017" spans="1:6" x14ac:dyDescent="0.25">
      <c r="A8017" t="s">
        <v>10927</v>
      </c>
      <c r="B8017" t="s">
        <v>1096</v>
      </c>
      <c r="C8017" t="s">
        <v>1097</v>
      </c>
      <c r="D8017" t="str">
        <f>HYPERLINK("http://service.sap.com/sap/support/notes/1848879","1848879")</f>
        <v>1848879</v>
      </c>
      <c r="E8017">
        <v>1</v>
      </c>
      <c r="F8017" t="s">
        <v>9376</v>
      </c>
    </row>
    <row r="8018" spans="1:6" x14ac:dyDescent="0.25">
      <c r="A8018" t="s">
        <v>10927</v>
      </c>
      <c r="B8018" t="s">
        <v>1108</v>
      </c>
      <c r="C8018" t="s">
        <v>151</v>
      </c>
      <c r="D8018" t="str">
        <f>HYPERLINK("http://service.sap.com/sap/support/notes/1338617","1338617")</f>
        <v>1338617</v>
      </c>
      <c r="E8018">
        <v>1</v>
      </c>
      <c r="F8018" t="s">
        <v>4762</v>
      </c>
    </row>
    <row r="8019" spans="1:6" x14ac:dyDescent="0.25">
      <c r="A8019" t="s">
        <v>10927</v>
      </c>
      <c r="B8019" t="s">
        <v>1108</v>
      </c>
      <c r="C8019" t="s">
        <v>151</v>
      </c>
      <c r="D8019" t="str">
        <f>HYPERLINK("http://service.sap.com/sap/support/notes/1794543","1794543")</f>
        <v>1794543</v>
      </c>
      <c r="E8019">
        <v>2</v>
      </c>
      <c r="F8019" t="s">
        <v>9377</v>
      </c>
    </row>
    <row r="8020" spans="1:6" x14ac:dyDescent="0.25">
      <c r="A8020" t="s">
        <v>10927</v>
      </c>
      <c r="B8020" t="s">
        <v>1108</v>
      </c>
      <c r="C8020" t="s">
        <v>151</v>
      </c>
      <c r="D8020" t="str">
        <f>HYPERLINK("http://service.sap.com/sap/support/notes/1795073","1795073")</f>
        <v>1795073</v>
      </c>
      <c r="E8020">
        <v>1</v>
      </c>
      <c r="F8020" t="s">
        <v>9378</v>
      </c>
    </row>
    <row r="8021" spans="1:6" x14ac:dyDescent="0.25">
      <c r="A8021" t="s">
        <v>10927</v>
      </c>
      <c r="B8021" t="s">
        <v>1108</v>
      </c>
      <c r="C8021" t="s">
        <v>151</v>
      </c>
      <c r="D8021" t="str">
        <f>HYPERLINK("http://service.sap.com/sap/support/notes/1849762","1849762")</f>
        <v>1849762</v>
      </c>
      <c r="E8021">
        <v>3</v>
      </c>
      <c r="F8021" t="s">
        <v>9379</v>
      </c>
    </row>
    <row r="8022" spans="1:6" x14ac:dyDescent="0.25">
      <c r="A8022" t="s">
        <v>10927</v>
      </c>
      <c r="B8022" t="s">
        <v>1110</v>
      </c>
      <c r="C8022" t="s">
        <v>1111</v>
      </c>
      <c r="D8022" t="str">
        <f>HYPERLINK("http://service.sap.com/sap/support/notes/1740377","1740377")</f>
        <v>1740377</v>
      </c>
      <c r="E8022">
        <v>2</v>
      </c>
      <c r="F8022" t="s">
        <v>9380</v>
      </c>
    </row>
    <row r="8023" spans="1:6" x14ac:dyDescent="0.25">
      <c r="A8023" t="s">
        <v>10927</v>
      </c>
      <c r="B8023" t="s">
        <v>1110</v>
      </c>
      <c r="C8023" t="s">
        <v>1111</v>
      </c>
      <c r="D8023" t="str">
        <f>HYPERLINK("http://service.sap.com/sap/support/notes/1798608","1798608")</f>
        <v>1798608</v>
      </c>
      <c r="E8023">
        <v>1</v>
      </c>
      <c r="F8023" t="s">
        <v>9381</v>
      </c>
    </row>
    <row r="8024" spans="1:6" x14ac:dyDescent="0.25">
      <c r="A8024" t="s">
        <v>10927</v>
      </c>
      <c r="B8024" t="s">
        <v>1110</v>
      </c>
      <c r="C8024" t="s">
        <v>1111</v>
      </c>
      <c r="D8024" t="str">
        <f>HYPERLINK("http://service.sap.com/sap/support/notes/1816525","1816525")</f>
        <v>1816525</v>
      </c>
      <c r="E8024">
        <v>1</v>
      </c>
      <c r="F8024" t="s">
        <v>9382</v>
      </c>
    </row>
    <row r="8025" spans="1:6" x14ac:dyDescent="0.25">
      <c r="A8025" t="s">
        <v>10927</v>
      </c>
      <c r="B8025" t="s">
        <v>1110</v>
      </c>
      <c r="C8025" t="s">
        <v>1111</v>
      </c>
      <c r="D8025" t="str">
        <f>HYPERLINK("http://service.sap.com/sap/support/notes/1817592","1817592")</f>
        <v>1817592</v>
      </c>
      <c r="E8025">
        <v>2</v>
      </c>
      <c r="F8025" t="s">
        <v>9383</v>
      </c>
    </row>
    <row r="8026" spans="1:6" x14ac:dyDescent="0.25">
      <c r="A8026" t="s">
        <v>10927</v>
      </c>
      <c r="B8026" t="s">
        <v>1110</v>
      </c>
      <c r="C8026" t="s">
        <v>1111</v>
      </c>
      <c r="D8026" t="str">
        <f>HYPERLINK("http://service.sap.com/sap/support/notes/1822268","1822268")</f>
        <v>1822268</v>
      </c>
      <c r="E8026">
        <v>1</v>
      </c>
      <c r="F8026" t="s">
        <v>9384</v>
      </c>
    </row>
    <row r="8027" spans="1:6" x14ac:dyDescent="0.25">
      <c r="A8027" t="s">
        <v>10927</v>
      </c>
      <c r="B8027" t="s">
        <v>1110</v>
      </c>
      <c r="C8027" t="s">
        <v>1111</v>
      </c>
      <c r="D8027" t="str">
        <f>HYPERLINK("http://service.sap.com/sap/support/notes/1824042","1824042")</f>
        <v>1824042</v>
      </c>
      <c r="E8027">
        <v>1</v>
      </c>
      <c r="F8027" t="s">
        <v>9385</v>
      </c>
    </row>
    <row r="8028" spans="1:6" x14ac:dyDescent="0.25">
      <c r="A8028" t="s">
        <v>10927</v>
      </c>
      <c r="B8028" t="s">
        <v>1110</v>
      </c>
      <c r="C8028" t="s">
        <v>1111</v>
      </c>
      <c r="D8028" t="str">
        <f>HYPERLINK("http://service.sap.com/sap/support/notes/1825277","1825277")</f>
        <v>1825277</v>
      </c>
      <c r="E8028">
        <v>5</v>
      </c>
      <c r="F8028" t="s">
        <v>9386</v>
      </c>
    </row>
    <row r="8029" spans="1:6" x14ac:dyDescent="0.25">
      <c r="A8029" t="s">
        <v>10927</v>
      </c>
      <c r="B8029" t="s">
        <v>1110</v>
      </c>
      <c r="C8029" t="s">
        <v>1111</v>
      </c>
      <c r="D8029" t="str">
        <f>HYPERLINK("http://service.sap.com/sap/support/notes/1827670","1827670")</f>
        <v>1827670</v>
      </c>
      <c r="E8029">
        <v>3</v>
      </c>
      <c r="F8029" t="s">
        <v>9387</v>
      </c>
    </row>
    <row r="8030" spans="1:6" x14ac:dyDescent="0.25">
      <c r="A8030" t="s">
        <v>10927</v>
      </c>
      <c r="B8030" t="s">
        <v>1110</v>
      </c>
      <c r="C8030" t="s">
        <v>1111</v>
      </c>
      <c r="D8030" t="str">
        <f>HYPERLINK("http://service.sap.com/sap/support/notes/1834368","1834368")</f>
        <v>1834368</v>
      </c>
      <c r="E8030">
        <v>1</v>
      </c>
      <c r="F8030" t="s">
        <v>9388</v>
      </c>
    </row>
    <row r="8031" spans="1:6" x14ac:dyDescent="0.25">
      <c r="A8031" t="s">
        <v>10927</v>
      </c>
      <c r="B8031" t="s">
        <v>1110</v>
      </c>
      <c r="C8031" t="s">
        <v>1111</v>
      </c>
      <c r="D8031" t="str">
        <f>HYPERLINK("http://service.sap.com/sap/support/notes/1836795","1836795")</f>
        <v>1836795</v>
      </c>
      <c r="E8031">
        <v>3</v>
      </c>
      <c r="F8031" t="s">
        <v>9389</v>
      </c>
    </row>
    <row r="8032" spans="1:6" x14ac:dyDescent="0.25">
      <c r="A8032" t="s">
        <v>10927</v>
      </c>
      <c r="B8032" t="s">
        <v>1110</v>
      </c>
      <c r="C8032" t="s">
        <v>1111</v>
      </c>
      <c r="D8032" t="str">
        <f>HYPERLINK("http://service.sap.com/sap/support/notes/1837621","1837621")</f>
        <v>1837621</v>
      </c>
      <c r="E8032">
        <v>2</v>
      </c>
      <c r="F8032" t="s">
        <v>9390</v>
      </c>
    </row>
    <row r="8033" spans="1:6" x14ac:dyDescent="0.25">
      <c r="A8033" t="s">
        <v>10927</v>
      </c>
      <c r="B8033" t="s">
        <v>1110</v>
      </c>
      <c r="C8033" t="s">
        <v>1111</v>
      </c>
      <c r="D8033" t="str">
        <f>HYPERLINK("http://service.sap.com/sap/support/notes/1839580","1839580")</f>
        <v>1839580</v>
      </c>
      <c r="E8033">
        <v>2</v>
      </c>
      <c r="F8033" t="s">
        <v>9391</v>
      </c>
    </row>
    <row r="8034" spans="1:6" x14ac:dyDescent="0.25">
      <c r="A8034" t="s">
        <v>10927</v>
      </c>
      <c r="B8034" t="s">
        <v>1110</v>
      </c>
      <c r="C8034" t="s">
        <v>1111</v>
      </c>
      <c r="D8034" t="str">
        <f>HYPERLINK("http://service.sap.com/sap/support/notes/1841394","1841394")</f>
        <v>1841394</v>
      </c>
      <c r="E8034">
        <v>1</v>
      </c>
      <c r="F8034" t="s">
        <v>9392</v>
      </c>
    </row>
    <row r="8035" spans="1:6" x14ac:dyDescent="0.25">
      <c r="A8035" t="s">
        <v>10927</v>
      </c>
      <c r="B8035" t="s">
        <v>1110</v>
      </c>
      <c r="C8035" t="s">
        <v>1111</v>
      </c>
      <c r="D8035" t="str">
        <f>HYPERLINK("http://service.sap.com/sap/support/notes/1841715","1841715")</f>
        <v>1841715</v>
      </c>
      <c r="E8035">
        <v>3</v>
      </c>
      <c r="F8035" t="s">
        <v>9393</v>
      </c>
    </row>
    <row r="8036" spans="1:6" x14ac:dyDescent="0.25">
      <c r="A8036" t="s">
        <v>10927</v>
      </c>
      <c r="B8036" t="s">
        <v>1110</v>
      </c>
      <c r="C8036" t="s">
        <v>1111</v>
      </c>
      <c r="D8036" t="str">
        <f>HYPERLINK("http://service.sap.com/sap/support/notes/1841921","1841921")</f>
        <v>1841921</v>
      </c>
      <c r="E8036">
        <v>2</v>
      </c>
      <c r="F8036" t="s">
        <v>9394</v>
      </c>
    </row>
    <row r="8037" spans="1:6" x14ac:dyDescent="0.25">
      <c r="A8037" t="s">
        <v>10927</v>
      </c>
      <c r="B8037" t="s">
        <v>1110</v>
      </c>
      <c r="C8037" t="s">
        <v>1111</v>
      </c>
      <c r="D8037" t="str">
        <f>HYPERLINK("http://service.sap.com/sap/support/notes/1842838","1842838")</f>
        <v>1842838</v>
      </c>
      <c r="E8037">
        <v>2</v>
      </c>
      <c r="F8037" t="s">
        <v>9395</v>
      </c>
    </row>
    <row r="8038" spans="1:6" x14ac:dyDescent="0.25">
      <c r="A8038" t="s">
        <v>10927</v>
      </c>
      <c r="B8038" t="s">
        <v>1110</v>
      </c>
      <c r="C8038" t="s">
        <v>1111</v>
      </c>
      <c r="D8038" t="str">
        <f>HYPERLINK("http://service.sap.com/sap/support/notes/1848412","1848412")</f>
        <v>1848412</v>
      </c>
      <c r="E8038">
        <v>1</v>
      </c>
      <c r="F8038" t="s">
        <v>9396</v>
      </c>
    </row>
    <row r="8039" spans="1:6" x14ac:dyDescent="0.25">
      <c r="A8039" t="s">
        <v>10927</v>
      </c>
      <c r="B8039" t="s">
        <v>1136</v>
      </c>
      <c r="C8039" t="s">
        <v>1137</v>
      </c>
      <c r="D8039" t="str">
        <f>HYPERLINK("http://service.sap.com/sap/support/notes/1860533","1860533")</f>
        <v>1860533</v>
      </c>
      <c r="E8039">
        <v>1</v>
      </c>
      <c r="F8039" t="s">
        <v>9397</v>
      </c>
    </row>
    <row r="8040" spans="1:6" x14ac:dyDescent="0.25">
      <c r="A8040" t="s">
        <v>10927</v>
      </c>
      <c r="B8040" t="s">
        <v>1139</v>
      </c>
      <c r="C8040" t="s">
        <v>971</v>
      </c>
      <c r="D8040" t="str">
        <f>HYPERLINK("http://service.sap.com/sap/support/notes/1830344","1830344")</f>
        <v>1830344</v>
      </c>
      <c r="E8040">
        <v>1</v>
      </c>
      <c r="F8040" t="s">
        <v>9398</v>
      </c>
    </row>
    <row r="8041" spans="1:6" x14ac:dyDescent="0.25">
      <c r="A8041" t="s">
        <v>10927</v>
      </c>
      <c r="B8041" t="s">
        <v>1139</v>
      </c>
      <c r="C8041" t="s">
        <v>971</v>
      </c>
      <c r="D8041" t="str">
        <f>HYPERLINK("http://service.sap.com/sap/support/notes/1834289","1834289")</f>
        <v>1834289</v>
      </c>
      <c r="E8041">
        <v>1</v>
      </c>
      <c r="F8041" t="s">
        <v>9399</v>
      </c>
    </row>
    <row r="8042" spans="1:6" x14ac:dyDescent="0.25">
      <c r="A8042" t="s">
        <v>10927</v>
      </c>
      <c r="B8042" t="s">
        <v>1139</v>
      </c>
      <c r="C8042" t="s">
        <v>971</v>
      </c>
      <c r="D8042" t="str">
        <f>HYPERLINK("http://service.sap.com/sap/support/notes/1837333","1837333")</f>
        <v>1837333</v>
      </c>
      <c r="E8042">
        <v>1</v>
      </c>
      <c r="F8042" t="s">
        <v>9400</v>
      </c>
    </row>
    <row r="8043" spans="1:6" x14ac:dyDescent="0.25">
      <c r="A8043" t="s">
        <v>10927</v>
      </c>
      <c r="B8043" t="s">
        <v>1139</v>
      </c>
      <c r="C8043" t="s">
        <v>971</v>
      </c>
      <c r="D8043" t="str">
        <f>HYPERLINK("http://service.sap.com/sap/support/notes/1838869","1838869")</f>
        <v>1838869</v>
      </c>
      <c r="E8043">
        <v>2</v>
      </c>
      <c r="F8043" t="s">
        <v>9401</v>
      </c>
    </row>
    <row r="8044" spans="1:6" x14ac:dyDescent="0.25">
      <c r="A8044" t="s">
        <v>10927</v>
      </c>
      <c r="B8044" t="s">
        <v>1139</v>
      </c>
      <c r="C8044" t="s">
        <v>971</v>
      </c>
      <c r="D8044" t="str">
        <f>HYPERLINK("http://service.sap.com/sap/support/notes/1847834","1847834")</f>
        <v>1847834</v>
      </c>
      <c r="E8044">
        <v>1</v>
      </c>
      <c r="F8044" t="s">
        <v>9402</v>
      </c>
    </row>
    <row r="8045" spans="1:6" x14ac:dyDescent="0.25">
      <c r="A8045" t="s">
        <v>10927</v>
      </c>
      <c r="B8045" t="s">
        <v>1139</v>
      </c>
      <c r="C8045" t="s">
        <v>971</v>
      </c>
      <c r="D8045" t="str">
        <f>HYPERLINK("http://service.sap.com/sap/support/notes/1852350","1852350")</f>
        <v>1852350</v>
      </c>
      <c r="E8045">
        <v>2</v>
      </c>
      <c r="F8045" t="s">
        <v>9403</v>
      </c>
    </row>
    <row r="8046" spans="1:6" x14ac:dyDescent="0.25">
      <c r="A8046" t="s">
        <v>10927</v>
      </c>
      <c r="B8046" t="s">
        <v>1139</v>
      </c>
      <c r="C8046" t="s">
        <v>971</v>
      </c>
      <c r="D8046" t="str">
        <f>HYPERLINK("http://service.sap.com/sap/support/notes/1852423","1852423")</f>
        <v>1852423</v>
      </c>
      <c r="E8046">
        <v>1</v>
      </c>
      <c r="F8046" t="s">
        <v>9404</v>
      </c>
    </row>
    <row r="8047" spans="1:6" x14ac:dyDescent="0.25">
      <c r="A8047" t="s">
        <v>10927</v>
      </c>
      <c r="B8047" t="s">
        <v>1139</v>
      </c>
      <c r="C8047" t="s">
        <v>971</v>
      </c>
      <c r="D8047" t="str">
        <f>HYPERLINK("http://service.sap.com/sap/support/notes/1852801","1852801")</f>
        <v>1852801</v>
      </c>
      <c r="E8047">
        <v>1</v>
      </c>
      <c r="F8047" t="s">
        <v>9405</v>
      </c>
    </row>
    <row r="8048" spans="1:6" x14ac:dyDescent="0.25">
      <c r="A8048" t="s">
        <v>10927</v>
      </c>
      <c r="B8048" t="s">
        <v>1139</v>
      </c>
      <c r="C8048" t="s">
        <v>971</v>
      </c>
      <c r="D8048" t="str">
        <f>HYPERLINK("http://service.sap.com/sap/support/notes/1858736","1858736")</f>
        <v>1858736</v>
      </c>
      <c r="E8048">
        <v>2</v>
      </c>
      <c r="F8048" t="s">
        <v>9406</v>
      </c>
    </row>
    <row r="8049" spans="1:6" x14ac:dyDescent="0.25">
      <c r="A8049" t="s">
        <v>10927</v>
      </c>
      <c r="B8049" t="s">
        <v>1150</v>
      </c>
      <c r="C8049" t="s">
        <v>1151</v>
      </c>
      <c r="D8049" t="str">
        <f>HYPERLINK("http://service.sap.com/sap/support/notes/1714510","1714510")</f>
        <v>1714510</v>
      </c>
      <c r="E8049">
        <v>3</v>
      </c>
      <c r="F8049" t="s">
        <v>9407</v>
      </c>
    </row>
    <row r="8050" spans="1:6" x14ac:dyDescent="0.25">
      <c r="A8050" t="s">
        <v>10927</v>
      </c>
      <c r="B8050" t="s">
        <v>1150</v>
      </c>
      <c r="C8050" t="s">
        <v>1151</v>
      </c>
      <c r="D8050" t="str">
        <f>HYPERLINK("http://service.sap.com/sap/support/notes/1814044","1814044")</f>
        <v>1814044</v>
      </c>
      <c r="E8050">
        <v>9</v>
      </c>
      <c r="F8050" t="s">
        <v>7064</v>
      </c>
    </row>
    <row r="8051" spans="1:6" x14ac:dyDescent="0.25">
      <c r="A8051" t="s">
        <v>10927</v>
      </c>
      <c r="B8051" t="s">
        <v>1150</v>
      </c>
      <c r="C8051" t="s">
        <v>1151</v>
      </c>
      <c r="D8051" t="str">
        <f>HYPERLINK("http://service.sap.com/sap/support/notes/1828428","1828428")</f>
        <v>1828428</v>
      </c>
      <c r="E8051">
        <v>5</v>
      </c>
      <c r="F8051" t="s">
        <v>9408</v>
      </c>
    </row>
    <row r="8052" spans="1:6" x14ac:dyDescent="0.25">
      <c r="A8052" t="s">
        <v>10927</v>
      </c>
      <c r="B8052" t="s">
        <v>1150</v>
      </c>
      <c r="C8052" t="s">
        <v>1151</v>
      </c>
      <c r="D8052" t="str">
        <f>HYPERLINK("http://service.sap.com/sap/support/notes/1829729","1829729")</f>
        <v>1829729</v>
      </c>
      <c r="E8052">
        <v>3</v>
      </c>
      <c r="F8052" t="s">
        <v>9409</v>
      </c>
    </row>
    <row r="8053" spans="1:6" x14ac:dyDescent="0.25">
      <c r="A8053" t="s">
        <v>10927</v>
      </c>
      <c r="B8053" t="s">
        <v>1150</v>
      </c>
      <c r="C8053" t="s">
        <v>1151</v>
      </c>
      <c r="D8053" t="str">
        <f>HYPERLINK("http://service.sap.com/sap/support/notes/1831002","1831002")</f>
        <v>1831002</v>
      </c>
      <c r="E8053">
        <v>4</v>
      </c>
      <c r="F8053" t="s">
        <v>9410</v>
      </c>
    </row>
    <row r="8054" spans="1:6" x14ac:dyDescent="0.25">
      <c r="A8054" t="s">
        <v>10927</v>
      </c>
      <c r="B8054" t="s">
        <v>1150</v>
      </c>
      <c r="C8054" t="s">
        <v>1151</v>
      </c>
      <c r="D8054" t="str">
        <f>HYPERLINK("http://service.sap.com/sap/support/notes/1832222","1832222")</f>
        <v>1832222</v>
      </c>
      <c r="E8054">
        <v>2</v>
      </c>
      <c r="F8054" t="s">
        <v>9411</v>
      </c>
    </row>
    <row r="8055" spans="1:6" x14ac:dyDescent="0.25">
      <c r="A8055" t="s">
        <v>10927</v>
      </c>
      <c r="B8055" t="s">
        <v>1150</v>
      </c>
      <c r="C8055" t="s">
        <v>1151</v>
      </c>
      <c r="D8055" t="str">
        <f>HYPERLINK("http://service.sap.com/sap/support/notes/1840202","1840202")</f>
        <v>1840202</v>
      </c>
      <c r="E8055">
        <v>3</v>
      </c>
    </row>
    <row r="8056" spans="1:6" x14ac:dyDescent="0.25">
      <c r="A8056" t="s">
        <v>10927</v>
      </c>
      <c r="B8056" t="s">
        <v>1150</v>
      </c>
      <c r="C8056" t="s">
        <v>1151</v>
      </c>
      <c r="D8056" t="str">
        <f>HYPERLINK("http://service.sap.com/sap/support/notes/1841103","1841103")</f>
        <v>1841103</v>
      </c>
      <c r="E8056">
        <v>1</v>
      </c>
      <c r="F8056" t="s">
        <v>9412</v>
      </c>
    </row>
    <row r="8057" spans="1:6" x14ac:dyDescent="0.25">
      <c r="A8057" t="s">
        <v>10927</v>
      </c>
      <c r="B8057" t="s">
        <v>1150</v>
      </c>
      <c r="C8057" t="s">
        <v>1151</v>
      </c>
      <c r="D8057" t="str">
        <f>HYPERLINK("http://service.sap.com/sap/support/notes/1842469","1842469")</f>
        <v>1842469</v>
      </c>
      <c r="E8057">
        <v>3</v>
      </c>
      <c r="F8057" t="s">
        <v>9413</v>
      </c>
    </row>
    <row r="8058" spans="1:6" x14ac:dyDescent="0.25">
      <c r="A8058" t="s">
        <v>10927</v>
      </c>
      <c r="B8058" t="s">
        <v>1150</v>
      </c>
      <c r="C8058" t="s">
        <v>1151</v>
      </c>
      <c r="D8058" t="str">
        <f>HYPERLINK("http://service.sap.com/sap/support/notes/1842636","1842636")</f>
        <v>1842636</v>
      </c>
      <c r="E8058">
        <v>2</v>
      </c>
      <c r="F8058" t="s">
        <v>9414</v>
      </c>
    </row>
    <row r="8059" spans="1:6" x14ac:dyDescent="0.25">
      <c r="A8059" t="s">
        <v>10927</v>
      </c>
      <c r="B8059" t="s">
        <v>1150</v>
      </c>
      <c r="C8059" t="s">
        <v>1151</v>
      </c>
      <c r="D8059" t="str">
        <f>HYPERLINK("http://service.sap.com/sap/support/notes/1845112","1845112")</f>
        <v>1845112</v>
      </c>
      <c r="E8059">
        <v>4</v>
      </c>
      <c r="F8059" t="s">
        <v>9415</v>
      </c>
    </row>
    <row r="8060" spans="1:6" x14ac:dyDescent="0.25">
      <c r="A8060" t="s">
        <v>10927</v>
      </c>
      <c r="B8060" t="s">
        <v>1150</v>
      </c>
      <c r="C8060" t="s">
        <v>1151</v>
      </c>
      <c r="D8060" t="str">
        <f>HYPERLINK("http://service.sap.com/sap/support/notes/1845209","1845209")</f>
        <v>1845209</v>
      </c>
      <c r="E8060">
        <v>8</v>
      </c>
      <c r="F8060" t="s">
        <v>9416</v>
      </c>
    </row>
    <row r="8061" spans="1:6" x14ac:dyDescent="0.25">
      <c r="A8061" t="s">
        <v>10927</v>
      </c>
      <c r="B8061" t="s">
        <v>1150</v>
      </c>
      <c r="C8061" t="s">
        <v>1151</v>
      </c>
      <c r="D8061" t="str">
        <f>HYPERLINK("http://service.sap.com/sap/support/notes/1845598","1845598")</f>
        <v>1845598</v>
      </c>
      <c r="E8061">
        <v>2</v>
      </c>
    </row>
    <row r="8062" spans="1:6" x14ac:dyDescent="0.25">
      <c r="A8062" t="s">
        <v>10927</v>
      </c>
      <c r="B8062" t="s">
        <v>1150</v>
      </c>
      <c r="C8062" t="s">
        <v>1151</v>
      </c>
      <c r="D8062" t="str">
        <f>HYPERLINK("http://service.sap.com/sap/support/notes/1851120","1851120")</f>
        <v>1851120</v>
      </c>
      <c r="E8062">
        <v>1</v>
      </c>
      <c r="F8062" t="s">
        <v>9417</v>
      </c>
    </row>
    <row r="8063" spans="1:6" x14ac:dyDescent="0.25">
      <c r="A8063" t="s">
        <v>10927</v>
      </c>
      <c r="B8063" t="s">
        <v>1150</v>
      </c>
      <c r="C8063" t="s">
        <v>1151</v>
      </c>
      <c r="D8063" t="str">
        <f>HYPERLINK("http://service.sap.com/sap/support/notes/1852497","1852497")</f>
        <v>1852497</v>
      </c>
      <c r="E8063">
        <v>3</v>
      </c>
      <c r="F8063" t="s">
        <v>9418</v>
      </c>
    </row>
    <row r="8064" spans="1:6" x14ac:dyDescent="0.25">
      <c r="A8064" t="s">
        <v>10927</v>
      </c>
      <c r="B8064" t="s">
        <v>1150</v>
      </c>
      <c r="C8064" t="s">
        <v>1151</v>
      </c>
      <c r="D8064" t="str">
        <f>HYPERLINK("http://service.sap.com/sap/support/notes/1854645","1854645")</f>
        <v>1854645</v>
      </c>
      <c r="E8064">
        <v>1</v>
      </c>
    </row>
    <row r="8065" spans="1:6" x14ac:dyDescent="0.25">
      <c r="A8065" t="s">
        <v>10927</v>
      </c>
      <c r="B8065" t="s">
        <v>1184</v>
      </c>
      <c r="C8065" t="s">
        <v>1185</v>
      </c>
      <c r="D8065" t="str">
        <f>HYPERLINK("http://service.sap.com/sap/support/notes/1268032","1268032")</f>
        <v>1268032</v>
      </c>
      <c r="E8065">
        <v>1</v>
      </c>
      <c r="F8065" t="s">
        <v>1186</v>
      </c>
    </row>
    <row r="8066" spans="1:6" x14ac:dyDescent="0.25">
      <c r="A8066" t="s">
        <v>10927</v>
      </c>
      <c r="B8066" t="s">
        <v>1184</v>
      </c>
      <c r="C8066" t="s">
        <v>1185</v>
      </c>
      <c r="D8066" t="str">
        <f>HYPERLINK("http://service.sap.com/sap/support/notes/1474001","1474001")</f>
        <v>1474001</v>
      </c>
      <c r="E8066">
        <v>4</v>
      </c>
      <c r="F8066" t="s">
        <v>9419</v>
      </c>
    </row>
    <row r="8067" spans="1:6" x14ac:dyDescent="0.25">
      <c r="A8067" t="s">
        <v>10927</v>
      </c>
      <c r="B8067" t="s">
        <v>1184</v>
      </c>
      <c r="C8067" t="s">
        <v>1185</v>
      </c>
      <c r="D8067" t="str">
        <f>HYPERLINK("http://service.sap.com/sap/support/notes/1690381","1690381")</f>
        <v>1690381</v>
      </c>
      <c r="E8067">
        <v>2</v>
      </c>
      <c r="F8067" t="s">
        <v>9420</v>
      </c>
    </row>
    <row r="8068" spans="1:6" x14ac:dyDescent="0.25">
      <c r="A8068" t="s">
        <v>10927</v>
      </c>
      <c r="B8068" t="s">
        <v>1184</v>
      </c>
      <c r="C8068" t="s">
        <v>1185</v>
      </c>
      <c r="D8068" t="str">
        <f>HYPERLINK("http://service.sap.com/sap/support/notes/1781192","1781192")</f>
        <v>1781192</v>
      </c>
      <c r="E8068">
        <v>3</v>
      </c>
      <c r="F8068" t="s">
        <v>9421</v>
      </c>
    </row>
    <row r="8069" spans="1:6" x14ac:dyDescent="0.25">
      <c r="A8069" t="s">
        <v>10927</v>
      </c>
      <c r="B8069" t="s">
        <v>1184</v>
      </c>
      <c r="C8069" t="s">
        <v>1185</v>
      </c>
      <c r="D8069" t="str">
        <f>HYPERLINK("http://service.sap.com/sap/support/notes/1786049","1786049")</f>
        <v>1786049</v>
      </c>
      <c r="E8069">
        <v>7</v>
      </c>
      <c r="F8069" t="s">
        <v>9422</v>
      </c>
    </row>
    <row r="8070" spans="1:6" x14ac:dyDescent="0.25">
      <c r="A8070" t="s">
        <v>10927</v>
      </c>
      <c r="B8070" t="s">
        <v>1184</v>
      </c>
      <c r="C8070" t="s">
        <v>1185</v>
      </c>
      <c r="D8070" t="str">
        <f>HYPERLINK("http://service.sap.com/sap/support/notes/1807648","1807648")</f>
        <v>1807648</v>
      </c>
      <c r="E8070">
        <v>4</v>
      </c>
      <c r="F8070" t="s">
        <v>9423</v>
      </c>
    </row>
    <row r="8071" spans="1:6" x14ac:dyDescent="0.25">
      <c r="A8071" t="s">
        <v>10927</v>
      </c>
      <c r="B8071" t="s">
        <v>1184</v>
      </c>
      <c r="C8071" t="s">
        <v>1185</v>
      </c>
      <c r="D8071" t="str">
        <f>HYPERLINK("http://service.sap.com/sap/support/notes/1807649","1807649")</f>
        <v>1807649</v>
      </c>
      <c r="E8071">
        <v>4</v>
      </c>
      <c r="F8071" t="s">
        <v>9424</v>
      </c>
    </row>
    <row r="8072" spans="1:6" x14ac:dyDescent="0.25">
      <c r="A8072" t="s">
        <v>10927</v>
      </c>
      <c r="B8072" t="s">
        <v>1184</v>
      </c>
      <c r="C8072" t="s">
        <v>1185</v>
      </c>
      <c r="D8072" t="str">
        <f>HYPERLINK("http://service.sap.com/sap/support/notes/1826083","1826083")</f>
        <v>1826083</v>
      </c>
      <c r="E8072">
        <v>4</v>
      </c>
      <c r="F8072" t="s">
        <v>9425</v>
      </c>
    </row>
    <row r="8073" spans="1:6" x14ac:dyDescent="0.25">
      <c r="A8073" t="s">
        <v>10927</v>
      </c>
      <c r="B8073" t="s">
        <v>1184</v>
      </c>
      <c r="C8073" t="s">
        <v>1185</v>
      </c>
      <c r="D8073" t="str">
        <f>HYPERLINK("http://service.sap.com/sap/support/notes/1826187","1826187")</f>
        <v>1826187</v>
      </c>
      <c r="E8073">
        <v>6</v>
      </c>
      <c r="F8073" t="s">
        <v>9426</v>
      </c>
    </row>
    <row r="8074" spans="1:6" x14ac:dyDescent="0.25">
      <c r="A8074" t="s">
        <v>10927</v>
      </c>
      <c r="B8074" t="s">
        <v>1184</v>
      </c>
      <c r="C8074" t="s">
        <v>1185</v>
      </c>
      <c r="D8074" t="str">
        <f>HYPERLINK("http://service.sap.com/sap/support/notes/1826197","1826197")</f>
        <v>1826197</v>
      </c>
      <c r="E8074">
        <v>2</v>
      </c>
      <c r="F8074" t="s">
        <v>7107</v>
      </c>
    </row>
    <row r="8075" spans="1:6" x14ac:dyDescent="0.25">
      <c r="A8075" t="s">
        <v>10927</v>
      </c>
      <c r="B8075" t="s">
        <v>1184</v>
      </c>
      <c r="C8075" t="s">
        <v>1185</v>
      </c>
      <c r="D8075" t="str">
        <f>HYPERLINK("http://service.sap.com/sap/support/notes/1828088","1828088")</f>
        <v>1828088</v>
      </c>
      <c r="E8075">
        <v>3</v>
      </c>
      <c r="F8075" t="s">
        <v>9427</v>
      </c>
    </row>
    <row r="8076" spans="1:6" x14ac:dyDescent="0.25">
      <c r="A8076" t="s">
        <v>10927</v>
      </c>
      <c r="B8076" t="s">
        <v>1184</v>
      </c>
      <c r="C8076" t="s">
        <v>1185</v>
      </c>
      <c r="D8076" t="str">
        <f>HYPERLINK("http://service.sap.com/sap/support/notes/1830125","1830125")</f>
        <v>1830125</v>
      </c>
      <c r="E8076">
        <v>1</v>
      </c>
      <c r="F8076" t="s">
        <v>24</v>
      </c>
    </row>
    <row r="8077" spans="1:6" x14ac:dyDescent="0.25">
      <c r="A8077" t="s">
        <v>10927</v>
      </c>
      <c r="B8077" t="s">
        <v>1184</v>
      </c>
      <c r="C8077" t="s">
        <v>1185</v>
      </c>
      <c r="D8077" t="str">
        <f>HYPERLINK("http://service.sap.com/sap/support/notes/1832266","1832266")</f>
        <v>1832266</v>
      </c>
      <c r="E8077">
        <v>2</v>
      </c>
      <c r="F8077" t="s">
        <v>9428</v>
      </c>
    </row>
    <row r="8078" spans="1:6" x14ac:dyDescent="0.25">
      <c r="A8078" t="s">
        <v>10927</v>
      </c>
      <c r="B8078" t="s">
        <v>1184</v>
      </c>
      <c r="C8078" t="s">
        <v>1185</v>
      </c>
      <c r="D8078" t="str">
        <f>HYPERLINK("http://service.sap.com/sap/support/notes/1832699","1832699")</f>
        <v>1832699</v>
      </c>
      <c r="E8078">
        <v>2</v>
      </c>
      <c r="F8078" t="s">
        <v>9429</v>
      </c>
    </row>
    <row r="8079" spans="1:6" x14ac:dyDescent="0.25">
      <c r="A8079" t="s">
        <v>10927</v>
      </c>
      <c r="B8079" t="s">
        <v>1184</v>
      </c>
      <c r="C8079" t="s">
        <v>1185</v>
      </c>
      <c r="D8079" t="str">
        <f>HYPERLINK("http://service.sap.com/sap/support/notes/1832730","1832730")</f>
        <v>1832730</v>
      </c>
      <c r="E8079">
        <v>8</v>
      </c>
      <c r="F8079" t="s">
        <v>9430</v>
      </c>
    </row>
    <row r="8080" spans="1:6" x14ac:dyDescent="0.25">
      <c r="A8080" t="s">
        <v>10927</v>
      </c>
      <c r="B8080" t="s">
        <v>1184</v>
      </c>
      <c r="C8080" t="s">
        <v>1185</v>
      </c>
      <c r="D8080" t="str">
        <f>HYPERLINK("http://service.sap.com/sap/support/notes/1833788","1833788")</f>
        <v>1833788</v>
      </c>
      <c r="E8080">
        <v>2</v>
      </c>
      <c r="F8080" t="s">
        <v>9431</v>
      </c>
    </row>
    <row r="8081" spans="1:6" x14ac:dyDescent="0.25">
      <c r="A8081" t="s">
        <v>10927</v>
      </c>
      <c r="B8081" t="s">
        <v>1184</v>
      </c>
      <c r="C8081" t="s">
        <v>1185</v>
      </c>
      <c r="D8081" t="str">
        <f>HYPERLINK("http://service.sap.com/sap/support/notes/1834119","1834119")</f>
        <v>1834119</v>
      </c>
      <c r="E8081">
        <v>5</v>
      </c>
      <c r="F8081" t="s">
        <v>9432</v>
      </c>
    </row>
    <row r="8082" spans="1:6" x14ac:dyDescent="0.25">
      <c r="A8082" t="s">
        <v>10927</v>
      </c>
      <c r="B8082" t="s">
        <v>1184</v>
      </c>
      <c r="C8082" t="s">
        <v>1185</v>
      </c>
      <c r="D8082" t="str">
        <f>HYPERLINK("http://service.sap.com/sap/support/notes/1837049","1837049")</f>
        <v>1837049</v>
      </c>
      <c r="E8082">
        <v>6</v>
      </c>
      <c r="F8082" t="s">
        <v>9433</v>
      </c>
    </row>
    <row r="8083" spans="1:6" x14ac:dyDescent="0.25">
      <c r="A8083" t="s">
        <v>10927</v>
      </c>
      <c r="B8083" t="s">
        <v>1184</v>
      </c>
      <c r="C8083" t="s">
        <v>1185</v>
      </c>
      <c r="D8083" t="str">
        <f>HYPERLINK("http://service.sap.com/sap/support/notes/1841796","1841796")</f>
        <v>1841796</v>
      </c>
      <c r="E8083">
        <v>3</v>
      </c>
      <c r="F8083" t="s">
        <v>9434</v>
      </c>
    </row>
    <row r="8084" spans="1:6" x14ac:dyDescent="0.25">
      <c r="A8084" t="s">
        <v>10927</v>
      </c>
      <c r="B8084" t="s">
        <v>1184</v>
      </c>
      <c r="C8084" t="s">
        <v>1185</v>
      </c>
      <c r="D8084" t="str">
        <f>HYPERLINK("http://service.sap.com/sap/support/notes/1843426","1843426")</f>
        <v>1843426</v>
      </c>
      <c r="E8084">
        <v>1</v>
      </c>
      <c r="F8084" t="s">
        <v>9435</v>
      </c>
    </row>
    <row r="8085" spans="1:6" x14ac:dyDescent="0.25">
      <c r="A8085" t="s">
        <v>10927</v>
      </c>
      <c r="B8085" t="s">
        <v>1184</v>
      </c>
      <c r="C8085" t="s">
        <v>1185</v>
      </c>
      <c r="D8085" t="str">
        <f>HYPERLINK("http://service.sap.com/sap/support/notes/1850380","1850380")</f>
        <v>1850380</v>
      </c>
      <c r="E8085">
        <v>2</v>
      </c>
      <c r="F8085" t="s">
        <v>9436</v>
      </c>
    </row>
    <row r="8086" spans="1:6" x14ac:dyDescent="0.25">
      <c r="A8086" t="s">
        <v>10927</v>
      </c>
      <c r="B8086" t="s">
        <v>1220</v>
      </c>
      <c r="C8086" t="s">
        <v>883</v>
      </c>
      <c r="D8086" t="str">
        <f>HYPERLINK("http://service.sap.com/sap/support/notes/1136044","1136044")</f>
        <v>1136044</v>
      </c>
      <c r="E8086">
        <v>4</v>
      </c>
      <c r="F8086" t="s">
        <v>9437</v>
      </c>
    </row>
    <row r="8087" spans="1:6" x14ac:dyDescent="0.25">
      <c r="A8087" t="s">
        <v>10927</v>
      </c>
      <c r="B8087" t="s">
        <v>1220</v>
      </c>
      <c r="C8087" t="s">
        <v>883</v>
      </c>
      <c r="D8087" t="str">
        <f>HYPERLINK("http://service.sap.com/sap/support/notes/1683510","1683510")</f>
        <v>1683510</v>
      </c>
      <c r="E8087">
        <v>3</v>
      </c>
      <c r="F8087" t="s">
        <v>9438</v>
      </c>
    </row>
    <row r="8088" spans="1:6" x14ac:dyDescent="0.25">
      <c r="A8088" t="s">
        <v>10927</v>
      </c>
      <c r="B8088" t="s">
        <v>1220</v>
      </c>
      <c r="C8088" t="s">
        <v>883</v>
      </c>
      <c r="D8088" t="str">
        <f>HYPERLINK("http://service.sap.com/sap/support/notes/1712039","1712039")</f>
        <v>1712039</v>
      </c>
      <c r="E8088">
        <v>4</v>
      </c>
      <c r="F8088" t="s">
        <v>9439</v>
      </c>
    </row>
    <row r="8089" spans="1:6" x14ac:dyDescent="0.25">
      <c r="A8089" t="s">
        <v>10927</v>
      </c>
      <c r="B8089" t="s">
        <v>1220</v>
      </c>
      <c r="C8089" t="s">
        <v>883</v>
      </c>
      <c r="D8089" t="str">
        <f>HYPERLINK("http://service.sap.com/sap/support/notes/1713919","1713919")</f>
        <v>1713919</v>
      </c>
      <c r="E8089">
        <v>3</v>
      </c>
      <c r="F8089" t="s">
        <v>9440</v>
      </c>
    </row>
    <row r="8090" spans="1:6" x14ac:dyDescent="0.25">
      <c r="A8090" t="s">
        <v>10927</v>
      </c>
      <c r="B8090" t="s">
        <v>1220</v>
      </c>
      <c r="C8090" t="s">
        <v>883</v>
      </c>
      <c r="D8090" t="str">
        <f>HYPERLINK("http://service.sap.com/sap/support/notes/1745013","1745013")</f>
        <v>1745013</v>
      </c>
      <c r="E8090">
        <v>3</v>
      </c>
      <c r="F8090" t="s">
        <v>9441</v>
      </c>
    </row>
    <row r="8091" spans="1:6" x14ac:dyDescent="0.25">
      <c r="A8091" t="s">
        <v>10927</v>
      </c>
      <c r="B8091" t="s">
        <v>1220</v>
      </c>
      <c r="C8091" t="s">
        <v>883</v>
      </c>
      <c r="D8091" t="str">
        <f>HYPERLINK("http://service.sap.com/sap/support/notes/1763406","1763406")</f>
        <v>1763406</v>
      </c>
      <c r="E8091">
        <v>10</v>
      </c>
      <c r="F8091" t="s">
        <v>9442</v>
      </c>
    </row>
    <row r="8092" spans="1:6" x14ac:dyDescent="0.25">
      <c r="A8092" t="s">
        <v>10927</v>
      </c>
      <c r="B8092" t="s">
        <v>1220</v>
      </c>
      <c r="C8092" t="s">
        <v>883</v>
      </c>
      <c r="D8092" t="str">
        <f>HYPERLINK("http://service.sap.com/sap/support/notes/1771430","1771430")</f>
        <v>1771430</v>
      </c>
      <c r="E8092">
        <v>2</v>
      </c>
      <c r="F8092" t="s">
        <v>9443</v>
      </c>
    </row>
    <row r="8093" spans="1:6" x14ac:dyDescent="0.25">
      <c r="A8093" t="s">
        <v>10927</v>
      </c>
      <c r="B8093" t="s">
        <v>1220</v>
      </c>
      <c r="C8093" t="s">
        <v>883</v>
      </c>
      <c r="D8093" t="str">
        <f>HYPERLINK("http://service.sap.com/sap/support/notes/1778390","1778390")</f>
        <v>1778390</v>
      </c>
      <c r="E8093">
        <v>3</v>
      </c>
      <c r="F8093" t="s">
        <v>9444</v>
      </c>
    </row>
    <row r="8094" spans="1:6" x14ac:dyDescent="0.25">
      <c r="A8094" t="s">
        <v>10927</v>
      </c>
      <c r="B8094" t="s">
        <v>1220</v>
      </c>
      <c r="C8094" t="s">
        <v>883</v>
      </c>
      <c r="D8094" t="str">
        <f>HYPERLINK("http://service.sap.com/sap/support/notes/1800500","1800500")</f>
        <v>1800500</v>
      </c>
      <c r="E8094">
        <v>5</v>
      </c>
      <c r="F8094" t="s">
        <v>9445</v>
      </c>
    </row>
    <row r="8095" spans="1:6" x14ac:dyDescent="0.25">
      <c r="A8095" t="s">
        <v>10927</v>
      </c>
      <c r="B8095" t="s">
        <v>1220</v>
      </c>
      <c r="C8095" t="s">
        <v>883</v>
      </c>
      <c r="D8095" t="str">
        <f>HYPERLINK("http://service.sap.com/sap/support/notes/1807661","1807661")</f>
        <v>1807661</v>
      </c>
      <c r="E8095">
        <v>5</v>
      </c>
      <c r="F8095" t="s">
        <v>9446</v>
      </c>
    </row>
    <row r="8096" spans="1:6" x14ac:dyDescent="0.25">
      <c r="A8096" t="s">
        <v>10927</v>
      </c>
      <c r="B8096" t="s">
        <v>1220</v>
      </c>
      <c r="C8096" t="s">
        <v>883</v>
      </c>
      <c r="D8096" t="str">
        <f>HYPERLINK("http://service.sap.com/sap/support/notes/1809169","1809169")</f>
        <v>1809169</v>
      </c>
      <c r="E8096">
        <v>3</v>
      </c>
      <c r="F8096" t="s">
        <v>9447</v>
      </c>
    </row>
    <row r="8097" spans="1:6" x14ac:dyDescent="0.25">
      <c r="A8097" t="s">
        <v>10927</v>
      </c>
      <c r="B8097" t="s">
        <v>1220</v>
      </c>
      <c r="C8097" t="s">
        <v>883</v>
      </c>
      <c r="D8097" t="str">
        <f>HYPERLINK("http://service.sap.com/sap/support/notes/1809920","1809920")</f>
        <v>1809920</v>
      </c>
      <c r="E8097">
        <v>3</v>
      </c>
      <c r="F8097" t="s">
        <v>9448</v>
      </c>
    </row>
    <row r="8098" spans="1:6" x14ac:dyDescent="0.25">
      <c r="A8098" t="s">
        <v>10927</v>
      </c>
      <c r="B8098" t="s">
        <v>1220</v>
      </c>
      <c r="C8098" t="s">
        <v>883</v>
      </c>
      <c r="D8098" t="str">
        <f>HYPERLINK("http://service.sap.com/sap/support/notes/1810628","1810628")</f>
        <v>1810628</v>
      </c>
      <c r="E8098">
        <v>4</v>
      </c>
      <c r="F8098" t="s">
        <v>9449</v>
      </c>
    </row>
    <row r="8099" spans="1:6" x14ac:dyDescent="0.25">
      <c r="A8099" t="s">
        <v>10927</v>
      </c>
      <c r="B8099" t="s">
        <v>1220</v>
      </c>
      <c r="C8099" t="s">
        <v>883</v>
      </c>
      <c r="D8099" t="str">
        <f>HYPERLINK("http://service.sap.com/sap/support/notes/1816194","1816194")</f>
        <v>1816194</v>
      </c>
      <c r="E8099">
        <v>1</v>
      </c>
      <c r="F8099" t="s">
        <v>9450</v>
      </c>
    </row>
    <row r="8100" spans="1:6" x14ac:dyDescent="0.25">
      <c r="A8100" t="s">
        <v>10927</v>
      </c>
      <c r="B8100" t="s">
        <v>1220</v>
      </c>
      <c r="C8100" t="s">
        <v>883</v>
      </c>
      <c r="D8100" t="str">
        <f>HYPERLINK("http://service.sap.com/sap/support/notes/1828289","1828289")</f>
        <v>1828289</v>
      </c>
      <c r="E8100">
        <v>3</v>
      </c>
      <c r="F8100" t="s">
        <v>9451</v>
      </c>
    </row>
    <row r="8101" spans="1:6" x14ac:dyDescent="0.25">
      <c r="A8101" t="s">
        <v>10927</v>
      </c>
      <c r="B8101" t="s">
        <v>1220</v>
      </c>
      <c r="C8101" t="s">
        <v>883</v>
      </c>
      <c r="D8101" t="str">
        <f>HYPERLINK("http://service.sap.com/sap/support/notes/1830939","1830939")</f>
        <v>1830939</v>
      </c>
      <c r="E8101">
        <v>3</v>
      </c>
      <c r="F8101" t="s">
        <v>9452</v>
      </c>
    </row>
    <row r="8102" spans="1:6" x14ac:dyDescent="0.25">
      <c r="A8102" t="s">
        <v>10927</v>
      </c>
      <c r="B8102" t="s">
        <v>1220</v>
      </c>
      <c r="C8102" t="s">
        <v>883</v>
      </c>
      <c r="D8102" t="str">
        <f>HYPERLINK("http://service.sap.com/sap/support/notes/1836792","1836792")</f>
        <v>1836792</v>
      </c>
      <c r="E8102">
        <v>3</v>
      </c>
      <c r="F8102" t="s">
        <v>9453</v>
      </c>
    </row>
    <row r="8103" spans="1:6" x14ac:dyDescent="0.25">
      <c r="A8103" t="s">
        <v>10927</v>
      </c>
      <c r="B8103" t="s">
        <v>1220</v>
      </c>
      <c r="C8103" t="s">
        <v>883</v>
      </c>
      <c r="D8103" t="str">
        <f>HYPERLINK("http://service.sap.com/sap/support/notes/1842417","1842417")</f>
        <v>1842417</v>
      </c>
      <c r="E8103">
        <v>3</v>
      </c>
      <c r="F8103" t="s">
        <v>9454</v>
      </c>
    </row>
    <row r="8104" spans="1:6" x14ac:dyDescent="0.25">
      <c r="A8104" t="s">
        <v>10927</v>
      </c>
      <c r="B8104" t="s">
        <v>1220</v>
      </c>
      <c r="C8104" t="s">
        <v>883</v>
      </c>
      <c r="D8104" t="str">
        <f>HYPERLINK("http://service.sap.com/sap/support/notes/1844031","1844031")</f>
        <v>1844031</v>
      </c>
      <c r="E8104">
        <v>3</v>
      </c>
      <c r="F8104" t="s">
        <v>9455</v>
      </c>
    </row>
    <row r="8105" spans="1:6" x14ac:dyDescent="0.25">
      <c r="A8105" t="s">
        <v>10927</v>
      </c>
      <c r="B8105" t="s">
        <v>1220</v>
      </c>
      <c r="C8105" t="s">
        <v>883</v>
      </c>
      <c r="D8105" t="str">
        <f>HYPERLINK("http://service.sap.com/sap/support/notes/1846564","1846564")</f>
        <v>1846564</v>
      </c>
      <c r="E8105">
        <v>3</v>
      </c>
      <c r="F8105" t="s">
        <v>9456</v>
      </c>
    </row>
    <row r="8106" spans="1:6" x14ac:dyDescent="0.25">
      <c r="A8106" t="s">
        <v>10927</v>
      </c>
      <c r="B8106" t="s">
        <v>1220</v>
      </c>
      <c r="C8106" t="s">
        <v>883</v>
      </c>
      <c r="D8106" t="str">
        <f>HYPERLINK("http://service.sap.com/sap/support/notes/1852305","1852305")</f>
        <v>1852305</v>
      </c>
      <c r="E8106">
        <v>2</v>
      </c>
      <c r="F8106" t="s">
        <v>9457</v>
      </c>
    </row>
    <row r="8107" spans="1:6" x14ac:dyDescent="0.25">
      <c r="A8107" t="s">
        <v>10927</v>
      </c>
      <c r="B8107" t="s">
        <v>1220</v>
      </c>
      <c r="C8107" t="s">
        <v>883</v>
      </c>
      <c r="D8107" t="str">
        <f>HYPERLINK("http://service.sap.com/sap/support/notes/1861547","1861547")</f>
        <v>1861547</v>
      </c>
      <c r="E8107">
        <v>5</v>
      </c>
      <c r="F8107" t="s">
        <v>9458</v>
      </c>
    </row>
    <row r="8108" spans="1:6" x14ac:dyDescent="0.25">
      <c r="A8108" t="s">
        <v>10927</v>
      </c>
      <c r="B8108" t="s">
        <v>1220</v>
      </c>
      <c r="C8108" t="s">
        <v>883</v>
      </c>
      <c r="D8108" t="str">
        <f>HYPERLINK("http://service.sap.com/sap/support/notes/1862821","1862821")</f>
        <v>1862821</v>
      </c>
      <c r="E8108">
        <v>1</v>
      </c>
      <c r="F8108" t="s">
        <v>9459</v>
      </c>
    </row>
    <row r="8109" spans="1:6" x14ac:dyDescent="0.25">
      <c r="A8109" t="s">
        <v>10927</v>
      </c>
      <c r="B8109" t="s">
        <v>1264</v>
      </c>
      <c r="C8109" t="s">
        <v>891</v>
      </c>
      <c r="D8109" t="str">
        <f>HYPERLINK("http://service.sap.com/sap/support/notes/1830993","1830993")</f>
        <v>1830993</v>
      </c>
      <c r="E8109">
        <v>2</v>
      </c>
      <c r="F8109" t="s">
        <v>9460</v>
      </c>
    </row>
    <row r="8110" spans="1:6" x14ac:dyDescent="0.25">
      <c r="A8110" t="s">
        <v>10927</v>
      </c>
      <c r="B8110" t="s">
        <v>1264</v>
      </c>
      <c r="C8110" t="s">
        <v>891</v>
      </c>
      <c r="D8110" t="str">
        <f>HYPERLINK("http://service.sap.com/sap/support/notes/1832724","1832724")</f>
        <v>1832724</v>
      </c>
      <c r="E8110">
        <v>3</v>
      </c>
      <c r="F8110" t="s">
        <v>9461</v>
      </c>
    </row>
    <row r="8111" spans="1:6" x14ac:dyDescent="0.25">
      <c r="A8111" t="s">
        <v>10927</v>
      </c>
      <c r="B8111" t="s">
        <v>1264</v>
      </c>
      <c r="C8111" t="s">
        <v>891</v>
      </c>
      <c r="D8111" t="str">
        <f>HYPERLINK("http://service.sap.com/sap/support/notes/1855047","1855047")</f>
        <v>1855047</v>
      </c>
      <c r="E8111">
        <v>1</v>
      </c>
      <c r="F8111" t="s">
        <v>9462</v>
      </c>
    </row>
    <row r="8112" spans="1:6" x14ac:dyDescent="0.25">
      <c r="A8112" t="s">
        <v>10927</v>
      </c>
      <c r="B8112" t="s">
        <v>1264</v>
      </c>
      <c r="C8112" t="s">
        <v>891</v>
      </c>
      <c r="D8112" t="str">
        <f>HYPERLINK("http://service.sap.com/sap/support/notes/1859262","1859262")</f>
        <v>1859262</v>
      </c>
      <c r="E8112">
        <v>3</v>
      </c>
      <c r="F8112" t="s">
        <v>9463</v>
      </c>
    </row>
    <row r="8113" spans="1:6" x14ac:dyDescent="0.25">
      <c r="A8113" t="s">
        <v>10927</v>
      </c>
      <c r="B8113" t="s">
        <v>1269</v>
      </c>
      <c r="C8113" t="s">
        <v>902</v>
      </c>
      <c r="D8113" t="str">
        <f>HYPERLINK("http://service.sap.com/sap/support/notes/1376909","1376909")</f>
        <v>1376909</v>
      </c>
      <c r="E8113">
        <v>4</v>
      </c>
      <c r="F8113" t="s">
        <v>9464</v>
      </c>
    </row>
    <row r="8114" spans="1:6" x14ac:dyDescent="0.25">
      <c r="A8114" t="s">
        <v>10927</v>
      </c>
      <c r="B8114" t="s">
        <v>1269</v>
      </c>
      <c r="C8114" t="s">
        <v>902</v>
      </c>
      <c r="D8114" t="str">
        <f>HYPERLINK("http://service.sap.com/sap/support/notes/1818601","1818601")</f>
        <v>1818601</v>
      </c>
      <c r="E8114">
        <v>8</v>
      </c>
      <c r="F8114" t="s">
        <v>9465</v>
      </c>
    </row>
    <row r="8115" spans="1:6" x14ac:dyDescent="0.25">
      <c r="A8115" t="s">
        <v>10927</v>
      </c>
      <c r="B8115" t="s">
        <v>1269</v>
      </c>
      <c r="C8115" t="s">
        <v>902</v>
      </c>
      <c r="D8115" t="str">
        <f>HYPERLINK("http://service.sap.com/sap/support/notes/1828762","1828762")</f>
        <v>1828762</v>
      </c>
      <c r="E8115">
        <v>3</v>
      </c>
      <c r="F8115" t="s">
        <v>9466</v>
      </c>
    </row>
    <row r="8116" spans="1:6" x14ac:dyDescent="0.25">
      <c r="A8116" t="s">
        <v>10927</v>
      </c>
      <c r="B8116" t="s">
        <v>1269</v>
      </c>
      <c r="C8116" t="s">
        <v>902</v>
      </c>
      <c r="D8116" t="str">
        <f>HYPERLINK("http://service.sap.com/sap/support/notes/1841742","1841742")</f>
        <v>1841742</v>
      </c>
      <c r="E8116">
        <v>3</v>
      </c>
      <c r="F8116" t="s">
        <v>9467</v>
      </c>
    </row>
    <row r="8117" spans="1:6" x14ac:dyDescent="0.25">
      <c r="A8117" t="s">
        <v>10927</v>
      </c>
      <c r="B8117" t="s">
        <v>4855</v>
      </c>
      <c r="C8117" t="s">
        <v>4856</v>
      </c>
      <c r="D8117" t="str">
        <f>HYPERLINK("http://service.sap.com/sap/support/notes/1743553","1743553")</f>
        <v>1743553</v>
      </c>
      <c r="E8117">
        <v>3</v>
      </c>
      <c r="F8117" t="s">
        <v>9468</v>
      </c>
    </row>
    <row r="8118" spans="1:6" x14ac:dyDescent="0.25">
      <c r="A8118" t="s">
        <v>10927</v>
      </c>
      <c r="B8118" t="s">
        <v>1277</v>
      </c>
      <c r="C8118" t="s">
        <v>937</v>
      </c>
      <c r="D8118" t="str">
        <f>HYPERLINK("http://service.sap.com/sap/support/notes/1849487","1849487")</f>
        <v>1849487</v>
      </c>
      <c r="E8118">
        <v>1</v>
      </c>
      <c r="F8118" t="s">
        <v>9469</v>
      </c>
    </row>
    <row r="8119" spans="1:6" x14ac:dyDescent="0.25">
      <c r="A8119" t="s">
        <v>10927</v>
      </c>
      <c r="B8119" t="s">
        <v>1282</v>
      </c>
      <c r="C8119" t="s">
        <v>1283</v>
      </c>
      <c r="D8119" t="str">
        <f>HYPERLINK("http://service.sap.com/sap/support/notes/1837356","1837356")</f>
        <v>1837356</v>
      </c>
      <c r="E8119">
        <v>3</v>
      </c>
      <c r="F8119" t="s">
        <v>9470</v>
      </c>
    </row>
    <row r="8120" spans="1:6" x14ac:dyDescent="0.25">
      <c r="A8120" t="s">
        <v>10927</v>
      </c>
      <c r="B8120" t="s">
        <v>1282</v>
      </c>
      <c r="C8120" t="s">
        <v>1283</v>
      </c>
      <c r="D8120" t="str">
        <f>HYPERLINK("http://service.sap.com/sap/support/notes/1868001","1868001")</f>
        <v>1868001</v>
      </c>
      <c r="E8120">
        <v>1</v>
      </c>
      <c r="F8120" t="s">
        <v>9471</v>
      </c>
    </row>
    <row r="8121" spans="1:6" x14ac:dyDescent="0.25">
      <c r="A8121" t="s">
        <v>10927</v>
      </c>
      <c r="B8121" t="s">
        <v>1287</v>
      </c>
      <c r="C8121" t="s">
        <v>824</v>
      </c>
      <c r="D8121" t="str">
        <f>HYPERLINK("http://service.sap.com/sap/support/notes/1771981","1771981")</f>
        <v>1771981</v>
      </c>
      <c r="E8121">
        <v>2</v>
      </c>
      <c r="F8121" t="s">
        <v>9472</v>
      </c>
    </row>
    <row r="8122" spans="1:6" x14ac:dyDescent="0.25">
      <c r="A8122" t="s">
        <v>10927</v>
      </c>
      <c r="B8122" t="s">
        <v>1287</v>
      </c>
      <c r="C8122" t="s">
        <v>824</v>
      </c>
      <c r="D8122" t="str">
        <f>HYPERLINK("http://service.sap.com/sap/support/notes/1772132","1772132")</f>
        <v>1772132</v>
      </c>
      <c r="E8122">
        <v>2</v>
      </c>
      <c r="F8122" t="s">
        <v>9473</v>
      </c>
    </row>
    <row r="8123" spans="1:6" x14ac:dyDescent="0.25">
      <c r="A8123" t="s">
        <v>10927</v>
      </c>
      <c r="B8123" t="s">
        <v>1287</v>
      </c>
      <c r="C8123" t="s">
        <v>824</v>
      </c>
      <c r="D8123" t="str">
        <f>HYPERLINK("http://service.sap.com/sap/support/notes/1787406","1787406")</f>
        <v>1787406</v>
      </c>
      <c r="E8123">
        <v>4</v>
      </c>
      <c r="F8123" t="s">
        <v>9474</v>
      </c>
    </row>
    <row r="8124" spans="1:6" x14ac:dyDescent="0.25">
      <c r="A8124" t="s">
        <v>10927</v>
      </c>
      <c r="B8124" t="s">
        <v>1287</v>
      </c>
      <c r="C8124" t="s">
        <v>824</v>
      </c>
      <c r="D8124" t="str">
        <f>HYPERLINK("http://service.sap.com/sap/support/notes/1792581","1792581")</f>
        <v>1792581</v>
      </c>
      <c r="E8124">
        <v>4</v>
      </c>
      <c r="F8124" t="s">
        <v>9475</v>
      </c>
    </row>
    <row r="8125" spans="1:6" x14ac:dyDescent="0.25">
      <c r="A8125" t="s">
        <v>10927</v>
      </c>
      <c r="B8125" t="s">
        <v>1287</v>
      </c>
      <c r="C8125" t="s">
        <v>824</v>
      </c>
      <c r="D8125" t="str">
        <f>HYPERLINK("http://service.sap.com/sap/support/notes/1807270","1807270")</f>
        <v>1807270</v>
      </c>
      <c r="E8125">
        <v>1</v>
      </c>
      <c r="F8125" t="s">
        <v>9476</v>
      </c>
    </row>
    <row r="8126" spans="1:6" x14ac:dyDescent="0.25">
      <c r="A8126" t="s">
        <v>10927</v>
      </c>
      <c r="B8126" t="s">
        <v>1287</v>
      </c>
      <c r="C8126" t="s">
        <v>824</v>
      </c>
      <c r="D8126" t="str">
        <f>HYPERLINK("http://service.sap.com/sap/support/notes/1810598","1810598")</f>
        <v>1810598</v>
      </c>
      <c r="E8126">
        <v>2</v>
      </c>
      <c r="F8126" t="s">
        <v>9477</v>
      </c>
    </row>
    <row r="8127" spans="1:6" x14ac:dyDescent="0.25">
      <c r="A8127" t="s">
        <v>10927</v>
      </c>
      <c r="B8127" t="s">
        <v>1287</v>
      </c>
      <c r="C8127" t="s">
        <v>824</v>
      </c>
      <c r="D8127" t="str">
        <f>HYPERLINK("http://service.sap.com/sap/support/notes/1817949","1817949")</f>
        <v>1817949</v>
      </c>
      <c r="E8127">
        <v>2</v>
      </c>
      <c r="F8127" t="s">
        <v>9478</v>
      </c>
    </row>
    <row r="8128" spans="1:6" x14ac:dyDescent="0.25">
      <c r="A8128" t="s">
        <v>10927</v>
      </c>
      <c r="B8128" t="s">
        <v>1287</v>
      </c>
      <c r="C8128" t="s">
        <v>824</v>
      </c>
      <c r="D8128" t="str">
        <f>HYPERLINK("http://service.sap.com/sap/support/notes/1821400","1821400")</f>
        <v>1821400</v>
      </c>
      <c r="E8128">
        <v>1</v>
      </c>
      <c r="F8128" t="s">
        <v>9479</v>
      </c>
    </row>
    <row r="8129" spans="1:6" x14ac:dyDescent="0.25">
      <c r="A8129" t="s">
        <v>10927</v>
      </c>
      <c r="B8129" t="s">
        <v>1287</v>
      </c>
      <c r="C8129" t="s">
        <v>824</v>
      </c>
      <c r="D8129" t="str">
        <f>HYPERLINK("http://service.sap.com/sap/support/notes/1823709","1823709")</f>
        <v>1823709</v>
      </c>
      <c r="E8129">
        <v>4</v>
      </c>
      <c r="F8129" t="s">
        <v>9480</v>
      </c>
    </row>
    <row r="8130" spans="1:6" x14ac:dyDescent="0.25">
      <c r="A8130" t="s">
        <v>10927</v>
      </c>
      <c r="B8130" t="s">
        <v>1287</v>
      </c>
      <c r="C8130" t="s">
        <v>824</v>
      </c>
      <c r="D8130" t="str">
        <f>HYPERLINK("http://service.sap.com/sap/support/notes/1826579","1826579")</f>
        <v>1826579</v>
      </c>
      <c r="E8130">
        <v>3</v>
      </c>
      <c r="F8130" t="s">
        <v>4873</v>
      </c>
    </row>
    <row r="8131" spans="1:6" x14ac:dyDescent="0.25">
      <c r="A8131" t="s">
        <v>10927</v>
      </c>
      <c r="B8131" t="s">
        <v>1287</v>
      </c>
      <c r="C8131" t="s">
        <v>824</v>
      </c>
      <c r="D8131" t="str">
        <f>HYPERLINK("http://service.sap.com/sap/support/notes/1833229","1833229")</f>
        <v>1833229</v>
      </c>
      <c r="E8131">
        <v>1</v>
      </c>
      <c r="F8131" t="s">
        <v>9481</v>
      </c>
    </row>
    <row r="8132" spans="1:6" x14ac:dyDescent="0.25">
      <c r="A8132" t="s">
        <v>10927</v>
      </c>
      <c r="B8132" t="s">
        <v>1287</v>
      </c>
      <c r="C8132" t="s">
        <v>824</v>
      </c>
      <c r="D8132" t="str">
        <f>HYPERLINK("http://service.sap.com/sap/support/notes/1835113","1835113")</f>
        <v>1835113</v>
      </c>
      <c r="E8132">
        <v>1</v>
      </c>
      <c r="F8132" t="s">
        <v>9482</v>
      </c>
    </row>
    <row r="8133" spans="1:6" x14ac:dyDescent="0.25">
      <c r="A8133" t="s">
        <v>10927</v>
      </c>
      <c r="B8133" t="s">
        <v>1287</v>
      </c>
      <c r="C8133" t="s">
        <v>824</v>
      </c>
      <c r="D8133" t="str">
        <f>HYPERLINK("http://service.sap.com/sap/support/notes/1836884","1836884")</f>
        <v>1836884</v>
      </c>
      <c r="E8133">
        <v>1</v>
      </c>
      <c r="F8133" t="s">
        <v>9483</v>
      </c>
    </row>
    <row r="8134" spans="1:6" x14ac:dyDescent="0.25">
      <c r="A8134" t="s">
        <v>10927</v>
      </c>
      <c r="B8134" t="s">
        <v>1287</v>
      </c>
      <c r="C8134" t="s">
        <v>824</v>
      </c>
      <c r="D8134" t="str">
        <f>HYPERLINK("http://service.sap.com/sap/support/notes/1837317","1837317")</f>
        <v>1837317</v>
      </c>
      <c r="E8134">
        <v>1</v>
      </c>
      <c r="F8134" t="s">
        <v>9484</v>
      </c>
    </row>
    <row r="8135" spans="1:6" x14ac:dyDescent="0.25">
      <c r="A8135" t="s">
        <v>10927</v>
      </c>
      <c r="B8135" t="s">
        <v>1287</v>
      </c>
      <c r="C8135" t="s">
        <v>824</v>
      </c>
      <c r="D8135" t="str">
        <f>HYPERLINK("http://service.sap.com/sap/support/notes/1843064","1843064")</f>
        <v>1843064</v>
      </c>
      <c r="E8135">
        <v>2</v>
      </c>
      <c r="F8135" t="s">
        <v>9485</v>
      </c>
    </row>
    <row r="8136" spans="1:6" x14ac:dyDescent="0.25">
      <c r="A8136" t="s">
        <v>10927</v>
      </c>
      <c r="B8136" t="s">
        <v>1287</v>
      </c>
      <c r="C8136" t="s">
        <v>824</v>
      </c>
      <c r="D8136" t="str">
        <f>HYPERLINK("http://service.sap.com/sap/support/notes/1844236","1844236")</f>
        <v>1844236</v>
      </c>
      <c r="E8136">
        <v>2</v>
      </c>
      <c r="F8136" t="s">
        <v>9486</v>
      </c>
    </row>
    <row r="8137" spans="1:6" x14ac:dyDescent="0.25">
      <c r="A8137" t="s">
        <v>10927</v>
      </c>
      <c r="B8137" t="s">
        <v>1287</v>
      </c>
      <c r="C8137" t="s">
        <v>824</v>
      </c>
      <c r="D8137" t="str">
        <f>HYPERLINK("http://service.sap.com/sap/support/notes/1845107","1845107")</f>
        <v>1845107</v>
      </c>
      <c r="E8137">
        <v>4</v>
      </c>
      <c r="F8137" t="s">
        <v>9487</v>
      </c>
    </row>
    <row r="8138" spans="1:6" x14ac:dyDescent="0.25">
      <c r="A8138" t="s">
        <v>10927</v>
      </c>
      <c r="B8138" t="s">
        <v>1287</v>
      </c>
      <c r="C8138" t="s">
        <v>824</v>
      </c>
      <c r="D8138" t="str">
        <f>HYPERLINK("http://service.sap.com/sap/support/notes/1845847","1845847")</f>
        <v>1845847</v>
      </c>
      <c r="E8138">
        <v>3</v>
      </c>
      <c r="F8138" t="s">
        <v>9488</v>
      </c>
    </row>
    <row r="8139" spans="1:6" x14ac:dyDescent="0.25">
      <c r="A8139" t="s">
        <v>10927</v>
      </c>
      <c r="B8139" t="s">
        <v>1287</v>
      </c>
      <c r="C8139" t="s">
        <v>824</v>
      </c>
      <c r="D8139" t="str">
        <f>HYPERLINK("http://service.sap.com/sap/support/notes/1845884","1845884")</f>
        <v>1845884</v>
      </c>
      <c r="E8139">
        <v>3</v>
      </c>
      <c r="F8139" t="s">
        <v>9489</v>
      </c>
    </row>
    <row r="8140" spans="1:6" x14ac:dyDescent="0.25">
      <c r="A8140" t="s">
        <v>10927</v>
      </c>
      <c r="B8140" t="s">
        <v>1287</v>
      </c>
      <c r="C8140" t="s">
        <v>824</v>
      </c>
      <c r="D8140" t="str">
        <f>HYPERLINK("http://service.sap.com/sap/support/notes/1856798","1856798")</f>
        <v>1856798</v>
      </c>
      <c r="E8140">
        <v>2</v>
      </c>
      <c r="F8140" t="s">
        <v>9490</v>
      </c>
    </row>
    <row r="8141" spans="1:6" x14ac:dyDescent="0.25">
      <c r="A8141" t="s">
        <v>10927</v>
      </c>
      <c r="B8141" t="s">
        <v>1313</v>
      </c>
      <c r="C8141" t="s">
        <v>1314</v>
      </c>
    </row>
    <row r="8142" spans="1:6" x14ac:dyDescent="0.25">
      <c r="A8142" t="s">
        <v>10927</v>
      </c>
      <c r="B8142" t="s">
        <v>1315</v>
      </c>
      <c r="C8142" t="s">
        <v>1316</v>
      </c>
      <c r="D8142" t="str">
        <f>HYPERLINK("http://service.sap.com/sap/support/notes/1796308","1796308")</f>
        <v>1796308</v>
      </c>
      <c r="E8142">
        <v>3</v>
      </c>
      <c r="F8142" t="s">
        <v>9491</v>
      </c>
    </row>
    <row r="8143" spans="1:6" x14ac:dyDescent="0.25">
      <c r="A8143" t="s">
        <v>10927</v>
      </c>
      <c r="B8143" t="s">
        <v>1315</v>
      </c>
      <c r="C8143" t="s">
        <v>1316</v>
      </c>
      <c r="D8143" t="str">
        <f>HYPERLINK("http://service.sap.com/sap/support/notes/1801657","1801657")</f>
        <v>1801657</v>
      </c>
      <c r="E8143">
        <v>2</v>
      </c>
      <c r="F8143" t="s">
        <v>9492</v>
      </c>
    </row>
    <row r="8144" spans="1:6" x14ac:dyDescent="0.25">
      <c r="A8144" t="s">
        <v>10927</v>
      </c>
      <c r="B8144" t="s">
        <v>1315</v>
      </c>
      <c r="C8144" t="s">
        <v>1316</v>
      </c>
      <c r="D8144" t="str">
        <f>HYPERLINK("http://service.sap.com/sap/support/notes/1805062","1805062")</f>
        <v>1805062</v>
      </c>
      <c r="E8144">
        <v>3</v>
      </c>
      <c r="F8144" t="s">
        <v>9493</v>
      </c>
    </row>
    <row r="8145" spans="1:6" x14ac:dyDescent="0.25">
      <c r="A8145" t="s">
        <v>10927</v>
      </c>
      <c r="B8145" t="s">
        <v>1326</v>
      </c>
      <c r="C8145" t="s">
        <v>1327</v>
      </c>
      <c r="D8145" t="str">
        <f>HYPERLINK("http://service.sap.com/sap/support/notes/1615987","1615987")</f>
        <v>1615987</v>
      </c>
      <c r="E8145">
        <v>2</v>
      </c>
      <c r="F8145" t="s">
        <v>9494</v>
      </c>
    </row>
    <row r="8146" spans="1:6" x14ac:dyDescent="0.25">
      <c r="A8146" t="s">
        <v>10927</v>
      </c>
      <c r="B8146" t="s">
        <v>1326</v>
      </c>
      <c r="C8146" t="s">
        <v>1327</v>
      </c>
      <c r="D8146" t="str">
        <f>HYPERLINK("http://service.sap.com/sap/support/notes/1818096","1818096")</f>
        <v>1818096</v>
      </c>
      <c r="E8146">
        <v>2</v>
      </c>
      <c r="F8146" t="s">
        <v>9495</v>
      </c>
    </row>
    <row r="8147" spans="1:6" x14ac:dyDescent="0.25">
      <c r="A8147" t="s">
        <v>10927</v>
      </c>
      <c r="B8147" t="s">
        <v>1326</v>
      </c>
      <c r="C8147" t="s">
        <v>1327</v>
      </c>
      <c r="D8147" t="str">
        <f>HYPERLINK("http://service.sap.com/sap/support/notes/1820354","1820354")</f>
        <v>1820354</v>
      </c>
      <c r="E8147">
        <v>2</v>
      </c>
      <c r="F8147" t="s">
        <v>9496</v>
      </c>
    </row>
    <row r="8148" spans="1:6" x14ac:dyDescent="0.25">
      <c r="A8148" t="s">
        <v>10927</v>
      </c>
      <c r="B8148" t="s">
        <v>1326</v>
      </c>
      <c r="C8148" t="s">
        <v>1327</v>
      </c>
      <c r="D8148" t="str">
        <f>HYPERLINK("http://service.sap.com/sap/support/notes/1820945","1820945")</f>
        <v>1820945</v>
      </c>
      <c r="E8148">
        <v>3</v>
      </c>
      <c r="F8148" t="s">
        <v>9497</v>
      </c>
    </row>
    <row r="8149" spans="1:6" x14ac:dyDescent="0.25">
      <c r="A8149" t="s">
        <v>10927</v>
      </c>
      <c r="B8149" t="s">
        <v>1326</v>
      </c>
      <c r="C8149" t="s">
        <v>1327</v>
      </c>
      <c r="D8149" t="str">
        <f>HYPERLINK("http://service.sap.com/sap/support/notes/1824847","1824847")</f>
        <v>1824847</v>
      </c>
      <c r="E8149">
        <v>1</v>
      </c>
      <c r="F8149" t="s">
        <v>9498</v>
      </c>
    </row>
    <row r="8150" spans="1:6" x14ac:dyDescent="0.25">
      <c r="A8150" t="s">
        <v>10927</v>
      </c>
      <c r="B8150" t="s">
        <v>1326</v>
      </c>
      <c r="C8150" t="s">
        <v>1327</v>
      </c>
      <c r="D8150" t="str">
        <f>HYPERLINK("http://service.sap.com/sap/support/notes/1826570","1826570")</f>
        <v>1826570</v>
      </c>
      <c r="E8150">
        <v>1</v>
      </c>
      <c r="F8150" t="s">
        <v>9499</v>
      </c>
    </row>
    <row r="8151" spans="1:6" x14ac:dyDescent="0.25">
      <c r="A8151" t="s">
        <v>10927</v>
      </c>
      <c r="B8151" t="s">
        <v>1326</v>
      </c>
      <c r="C8151" t="s">
        <v>1327</v>
      </c>
      <c r="D8151" t="str">
        <f>HYPERLINK("http://service.sap.com/sap/support/notes/1828887","1828887")</f>
        <v>1828887</v>
      </c>
      <c r="E8151">
        <v>1</v>
      </c>
      <c r="F8151" t="s">
        <v>9500</v>
      </c>
    </row>
    <row r="8152" spans="1:6" x14ac:dyDescent="0.25">
      <c r="A8152" t="s">
        <v>10927</v>
      </c>
      <c r="B8152" t="s">
        <v>1326</v>
      </c>
      <c r="C8152" t="s">
        <v>1327</v>
      </c>
      <c r="D8152" t="str">
        <f>HYPERLINK("http://service.sap.com/sap/support/notes/1831242","1831242")</f>
        <v>1831242</v>
      </c>
      <c r="E8152">
        <v>1</v>
      </c>
      <c r="F8152" t="s">
        <v>9501</v>
      </c>
    </row>
    <row r="8153" spans="1:6" x14ac:dyDescent="0.25">
      <c r="A8153" t="s">
        <v>10927</v>
      </c>
      <c r="B8153" t="s">
        <v>1326</v>
      </c>
      <c r="C8153" t="s">
        <v>1327</v>
      </c>
      <c r="D8153" t="str">
        <f>HYPERLINK("http://service.sap.com/sap/support/notes/1832076","1832076")</f>
        <v>1832076</v>
      </c>
      <c r="E8153">
        <v>2</v>
      </c>
      <c r="F8153" t="s">
        <v>9502</v>
      </c>
    </row>
    <row r="8154" spans="1:6" x14ac:dyDescent="0.25">
      <c r="A8154" t="s">
        <v>10927</v>
      </c>
      <c r="B8154" t="s">
        <v>1326</v>
      </c>
      <c r="C8154" t="s">
        <v>1327</v>
      </c>
      <c r="D8154" t="str">
        <f>HYPERLINK("http://service.sap.com/sap/support/notes/1837340","1837340")</f>
        <v>1837340</v>
      </c>
      <c r="E8154">
        <v>1</v>
      </c>
      <c r="F8154" t="s">
        <v>9503</v>
      </c>
    </row>
    <row r="8155" spans="1:6" x14ac:dyDescent="0.25">
      <c r="A8155" t="s">
        <v>10927</v>
      </c>
      <c r="B8155" t="s">
        <v>1326</v>
      </c>
      <c r="C8155" t="s">
        <v>1327</v>
      </c>
      <c r="D8155" t="str">
        <f>HYPERLINK("http://service.sap.com/sap/support/notes/1838568","1838568")</f>
        <v>1838568</v>
      </c>
      <c r="E8155">
        <v>2</v>
      </c>
      <c r="F8155" t="s">
        <v>9504</v>
      </c>
    </row>
    <row r="8156" spans="1:6" x14ac:dyDescent="0.25">
      <c r="A8156" t="s">
        <v>10927</v>
      </c>
      <c r="B8156" t="s">
        <v>1326</v>
      </c>
      <c r="C8156" t="s">
        <v>1327</v>
      </c>
      <c r="D8156" t="str">
        <f>HYPERLINK("http://service.sap.com/sap/support/notes/1838910","1838910")</f>
        <v>1838910</v>
      </c>
      <c r="E8156">
        <v>3</v>
      </c>
      <c r="F8156" t="s">
        <v>9505</v>
      </c>
    </row>
    <row r="8157" spans="1:6" x14ac:dyDescent="0.25">
      <c r="A8157" t="s">
        <v>10927</v>
      </c>
      <c r="B8157" t="s">
        <v>1326</v>
      </c>
      <c r="C8157" t="s">
        <v>1327</v>
      </c>
      <c r="D8157" t="str">
        <f>HYPERLINK("http://service.sap.com/sap/support/notes/1845527","1845527")</f>
        <v>1845527</v>
      </c>
      <c r="E8157">
        <v>3</v>
      </c>
      <c r="F8157" t="s">
        <v>9506</v>
      </c>
    </row>
    <row r="8158" spans="1:6" x14ac:dyDescent="0.25">
      <c r="A8158" t="s">
        <v>10927</v>
      </c>
      <c r="B8158" t="s">
        <v>1326</v>
      </c>
      <c r="C8158" t="s">
        <v>1327</v>
      </c>
      <c r="D8158" t="str">
        <f>HYPERLINK("http://service.sap.com/sap/support/notes/1848703","1848703")</f>
        <v>1848703</v>
      </c>
      <c r="E8158">
        <v>2</v>
      </c>
      <c r="F8158" t="s">
        <v>9507</v>
      </c>
    </row>
    <row r="8159" spans="1:6" x14ac:dyDescent="0.25">
      <c r="A8159" t="s">
        <v>10927</v>
      </c>
      <c r="B8159" t="s">
        <v>1326</v>
      </c>
      <c r="C8159" t="s">
        <v>1327</v>
      </c>
      <c r="D8159" t="str">
        <f>HYPERLINK("http://service.sap.com/sap/support/notes/1850969","1850969")</f>
        <v>1850969</v>
      </c>
      <c r="E8159">
        <v>1</v>
      </c>
      <c r="F8159" t="s">
        <v>9508</v>
      </c>
    </row>
    <row r="8160" spans="1:6" x14ac:dyDescent="0.25">
      <c r="A8160" t="s">
        <v>10927</v>
      </c>
      <c r="B8160" t="s">
        <v>1326</v>
      </c>
      <c r="C8160" t="s">
        <v>1327</v>
      </c>
      <c r="D8160" t="str">
        <f>HYPERLINK("http://service.sap.com/sap/support/notes/1854990","1854990")</f>
        <v>1854990</v>
      </c>
      <c r="E8160">
        <v>1</v>
      </c>
      <c r="F8160" t="s">
        <v>9509</v>
      </c>
    </row>
    <row r="8161" spans="1:6" x14ac:dyDescent="0.25">
      <c r="A8161" t="s">
        <v>10927</v>
      </c>
      <c r="B8161" t="s">
        <v>1326</v>
      </c>
      <c r="C8161" t="s">
        <v>1327</v>
      </c>
      <c r="D8161" t="str">
        <f>HYPERLINK("http://service.sap.com/sap/support/notes/1858541","1858541")</f>
        <v>1858541</v>
      </c>
      <c r="E8161">
        <v>1</v>
      </c>
      <c r="F8161" t="s">
        <v>9510</v>
      </c>
    </row>
    <row r="8162" spans="1:6" x14ac:dyDescent="0.25">
      <c r="A8162" t="s">
        <v>10927</v>
      </c>
      <c r="B8162" t="s">
        <v>1326</v>
      </c>
      <c r="C8162" t="s">
        <v>1327</v>
      </c>
      <c r="D8162" t="str">
        <f>HYPERLINK("http://service.sap.com/sap/support/notes/1858781","1858781")</f>
        <v>1858781</v>
      </c>
      <c r="E8162">
        <v>4</v>
      </c>
      <c r="F8162" t="s">
        <v>9511</v>
      </c>
    </row>
    <row r="8163" spans="1:6" x14ac:dyDescent="0.25">
      <c r="A8163" t="s">
        <v>10927</v>
      </c>
      <c r="B8163" t="s">
        <v>1326</v>
      </c>
      <c r="C8163" t="s">
        <v>1327</v>
      </c>
      <c r="D8163" t="str">
        <f>HYPERLINK("http://service.sap.com/sap/support/notes/1862232","1862232")</f>
        <v>1862232</v>
      </c>
      <c r="E8163">
        <v>1</v>
      </c>
      <c r="F8163" t="s">
        <v>9512</v>
      </c>
    </row>
    <row r="8164" spans="1:6" x14ac:dyDescent="0.25">
      <c r="A8164" t="s">
        <v>10927</v>
      </c>
      <c r="B8164" t="s">
        <v>1336</v>
      </c>
      <c r="C8164" t="s">
        <v>1327</v>
      </c>
      <c r="D8164" t="str">
        <f>HYPERLINK("http://service.sap.com/sap/support/notes/1844856","1844856")</f>
        <v>1844856</v>
      </c>
      <c r="E8164">
        <v>3</v>
      </c>
      <c r="F8164" t="s">
        <v>9513</v>
      </c>
    </row>
    <row r="8165" spans="1:6" x14ac:dyDescent="0.25">
      <c r="A8165" t="s">
        <v>10927</v>
      </c>
      <c r="B8165" t="s">
        <v>1336</v>
      </c>
      <c r="C8165" t="s">
        <v>1327</v>
      </c>
      <c r="D8165" t="str">
        <f>HYPERLINK("http://service.sap.com/sap/support/notes/1853736","1853736")</f>
        <v>1853736</v>
      </c>
      <c r="E8165">
        <v>2</v>
      </c>
      <c r="F8165" t="s">
        <v>9514</v>
      </c>
    </row>
    <row r="8166" spans="1:6" x14ac:dyDescent="0.25">
      <c r="A8166" t="s">
        <v>10927</v>
      </c>
      <c r="B8166" t="s">
        <v>1347</v>
      </c>
      <c r="C8166" t="s">
        <v>1327</v>
      </c>
      <c r="D8166" t="str">
        <f>HYPERLINK("http://service.sap.com/sap/support/notes/1849101","1849101")</f>
        <v>1849101</v>
      </c>
      <c r="E8166">
        <v>2</v>
      </c>
      <c r="F8166" t="s">
        <v>9515</v>
      </c>
    </row>
    <row r="8167" spans="1:6" x14ac:dyDescent="0.25">
      <c r="A8167" t="s">
        <v>10927</v>
      </c>
      <c r="B8167" t="s">
        <v>1351</v>
      </c>
      <c r="C8167" t="s">
        <v>1327</v>
      </c>
      <c r="D8167" t="str">
        <f>HYPERLINK("http://service.sap.com/sap/support/notes/1833462","1833462")</f>
        <v>1833462</v>
      </c>
      <c r="E8167">
        <v>3</v>
      </c>
      <c r="F8167" t="s">
        <v>9516</v>
      </c>
    </row>
    <row r="8168" spans="1:6" x14ac:dyDescent="0.25">
      <c r="A8168" t="s">
        <v>10927</v>
      </c>
      <c r="B8168" t="s">
        <v>1351</v>
      </c>
      <c r="C8168" t="s">
        <v>1327</v>
      </c>
      <c r="D8168" t="str">
        <f>HYPERLINK("http://service.sap.com/sap/support/notes/1852410","1852410")</f>
        <v>1852410</v>
      </c>
      <c r="E8168">
        <v>2</v>
      </c>
      <c r="F8168" t="s">
        <v>9517</v>
      </c>
    </row>
    <row r="8169" spans="1:6" x14ac:dyDescent="0.25">
      <c r="A8169" t="s">
        <v>10927</v>
      </c>
      <c r="B8169" t="s">
        <v>1351</v>
      </c>
      <c r="C8169" t="s">
        <v>1327</v>
      </c>
      <c r="D8169" t="str">
        <f>HYPERLINK("http://service.sap.com/sap/support/notes/1856825","1856825")</f>
        <v>1856825</v>
      </c>
      <c r="E8169">
        <v>3</v>
      </c>
      <c r="F8169" t="s">
        <v>7193</v>
      </c>
    </row>
    <row r="8170" spans="1:6" x14ac:dyDescent="0.25">
      <c r="A8170" t="s">
        <v>10927</v>
      </c>
      <c r="B8170" t="s">
        <v>1351</v>
      </c>
      <c r="C8170" t="s">
        <v>1327</v>
      </c>
      <c r="D8170" t="str">
        <f>HYPERLINK("http://service.sap.com/sap/support/notes/1863575","1863575")</f>
        <v>1863575</v>
      </c>
      <c r="E8170">
        <v>3</v>
      </c>
      <c r="F8170" t="s">
        <v>7193</v>
      </c>
    </row>
    <row r="8171" spans="1:6" x14ac:dyDescent="0.25">
      <c r="A8171" t="s">
        <v>10927</v>
      </c>
      <c r="B8171" t="s">
        <v>1351</v>
      </c>
      <c r="C8171" t="s">
        <v>1327</v>
      </c>
      <c r="D8171" t="str">
        <f>HYPERLINK("http://service.sap.com/sap/support/notes/1864855","1864855")</f>
        <v>1864855</v>
      </c>
      <c r="E8171">
        <v>3</v>
      </c>
      <c r="F8171" t="s">
        <v>9518</v>
      </c>
    </row>
    <row r="8172" spans="1:6" x14ac:dyDescent="0.25">
      <c r="A8172" t="s">
        <v>10927</v>
      </c>
      <c r="B8172" t="s">
        <v>1372</v>
      </c>
      <c r="C8172" t="s">
        <v>9519</v>
      </c>
      <c r="D8172" t="str">
        <f>HYPERLINK("http://service.sap.com/sap/support/notes/1853808","1853808")</f>
        <v>1853808</v>
      </c>
      <c r="E8172">
        <v>1</v>
      </c>
      <c r="F8172" t="s">
        <v>9520</v>
      </c>
    </row>
    <row r="8173" spans="1:6" x14ac:dyDescent="0.25">
      <c r="A8173" t="s">
        <v>10927</v>
      </c>
      <c r="B8173" t="s">
        <v>1374</v>
      </c>
      <c r="C8173" t="s">
        <v>824</v>
      </c>
      <c r="D8173" t="str">
        <f>HYPERLINK("http://service.sap.com/sap/support/notes/1795123","1795123")</f>
        <v>1795123</v>
      </c>
      <c r="E8173">
        <v>4</v>
      </c>
      <c r="F8173" t="s">
        <v>9521</v>
      </c>
    </row>
    <row r="8174" spans="1:6" x14ac:dyDescent="0.25">
      <c r="A8174" t="s">
        <v>10927</v>
      </c>
      <c r="B8174" t="s">
        <v>1375</v>
      </c>
      <c r="C8174" t="s">
        <v>1376</v>
      </c>
      <c r="D8174" t="str">
        <f>HYPERLINK("http://service.sap.com/sap/support/notes/1819452","1819452")</f>
        <v>1819452</v>
      </c>
      <c r="E8174">
        <v>6</v>
      </c>
      <c r="F8174" t="s">
        <v>7209</v>
      </c>
    </row>
    <row r="8175" spans="1:6" x14ac:dyDescent="0.25">
      <c r="A8175" t="s">
        <v>10927</v>
      </c>
      <c r="B8175" t="s">
        <v>1375</v>
      </c>
      <c r="C8175" t="s">
        <v>1376</v>
      </c>
      <c r="D8175" t="str">
        <f>HYPERLINK("http://service.sap.com/sap/support/notes/1822859","1822859")</f>
        <v>1822859</v>
      </c>
      <c r="E8175">
        <v>1</v>
      </c>
      <c r="F8175" t="s">
        <v>9522</v>
      </c>
    </row>
    <row r="8176" spans="1:6" x14ac:dyDescent="0.25">
      <c r="A8176" t="s">
        <v>10927</v>
      </c>
      <c r="B8176" t="s">
        <v>1375</v>
      </c>
      <c r="C8176" t="s">
        <v>1376</v>
      </c>
      <c r="D8176" t="str">
        <f>HYPERLINK("http://service.sap.com/sap/support/notes/1834793","1834793")</f>
        <v>1834793</v>
      </c>
      <c r="E8176">
        <v>1</v>
      </c>
      <c r="F8176" t="s">
        <v>9523</v>
      </c>
    </row>
    <row r="8177" spans="1:6" x14ac:dyDescent="0.25">
      <c r="A8177" t="s">
        <v>10927</v>
      </c>
      <c r="B8177" t="s">
        <v>1375</v>
      </c>
      <c r="C8177" t="s">
        <v>1376</v>
      </c>
      <c r="D8177" t="str">
        <f>HYPERLINK("http://service.sap.com/sap/support/notes/1859825","1859825")</f>
        <v>1859825</v>
      </c>
      <c r="E8177">
        <v>2</v>
      </c>
      <c r="F8177" t="s">
        <v>9524</v>
      </c>
    </row>
    <row r="8178" spans="1:6" x14ac:dyDescent="0.25">
      <c r="A8178" t="s">
        <v>10927</v>
      </c>
      <c r="B8178" t="s">
        <v>1389</v>
      </c>
      <c r="C8178" t="s">
        <v>151</v>
      </c>
    </row>
    <row r="8179" spans="1:6" x14ac:dyDescent="0.25">
      <c r="A8179" t="s">
        <v>10927</v>
      </c>
      <c r="B8179" t="s">
        <v>1390</v>
      </c>
      <c r="C8179" t="s">
        <v>1111</v>
      </c>
      <c r="D8179" t="str">
        <f>HYPERLINK("http://service.sap.com/sap/support/notes/1862686","1862686")</f>
        <v>1862686</v>
      </c>
      <c r="E8179">
        <v>1</v>
      </c>
      <c r="F8179" t="s">
        <v>9525</v>
      </c>
    </row>
    <row r="8180" spans="1:6" x14ac:dyDescent="0.25">
      <c r="A8180" t="s">
        <v>10927</v>
      </c>
      <c r="B8180" t="s">
        <v>4916</v>
      </c>
      <c r="C8180" t="s">
        <v>4917</v>
      </c>
      <c r="D8180" t="str">
        <f>HYPERLINK("http://service.sap.com/sap/support/notes/1817612","1817612")</f>
        <v>1817612</v>
      </c>
      <c r="E8180">
        <v>3</v>
      </c>
      <c r="F8180" t="s">
        <v>9526</v>
      </c>
    </row>
    <row r="8181" spans="1:6" x14ac:dyDescent="0.25">
      <c r="A8181" t="s">
        <v>10927</v>
      </c>
      <c r="B8181" t="s">
        <v>4916</v>
      </c>
      <c r="C8181" t="s">
        <v>4917</v>
      </c>
      <c r="D8181" t="str">
        <f>HYPERLINK("http://service.sap.com/sap/support/notes/1837273","1837273")</f>
        <v>1837273</v>
      </c>
      <c r="E8181">
        <v>2</v>
      </c>
      <c r="F8181" t="s">
        <v>9527</v>
      </c>
    </row>
    <row r="8182" spans="1:6" x14ac:dyDescent="0.25">
      <c r="A8182" t="s">
        <v>10927</v>
      </c>
      <c r="B8182" t="s">
        <v>1398</v>
      </c>
      <c r="C8182" t="s">
        <v>1399</v>
      </c>
      <c r="D8182" t="str">
        <f>HYPERLINK("http://service.sap.com/sap/support/notes/1845167","1845167")</f>
        <v>1845167</v>
      </c>
      <c r="E8182">
        <v>3</v>
      </c>
      <c r="F8182" t="s">
        <v>9528</v>
      </c>
    </row>
    <row r="8183" spans="1:6" x14ac:dyDescent="0.25">
      <c r="A8183" t="s">
        <v>10927</v>
      </c>
      <c r="B8183" t="s">
        <v>9529</v>
      </c>
      <c r="C8183" t="s">
        <v>9530</v>
      </c>
      <c r="D8183" t="str">
        <f>HYPERLINK("http://service.sap.com/sap/support/notes/1845576","1845576")</f>
        <v>1845576</v>
      </c>
      <c r="E8183">
        <v>2</v>
      </c>
      <c r="F8183" t="s">
        <v>9531</v>
      </c>
    </row>
    <row r="8184" spans="1:6" x14ac:dyDescent="0.25">
      <c r="A8184" t="s">
        <v>10927</v>
      </c>
      <c r="B8184" t="s">
        <v>1404</v>
      </c>
      <c r="C8184" t="s">
        <v>1405</v>
      </c>
    </row>
    <row r="8185" spans="1:6" x14ac:dyDescent="0.25">
      <c r="A8185" t="s">
        <v>10927</v>
      </c>
      <c r="B8185" t="s">
        <v>1406</v>
      </c>
      <c r="C8185" t="s">
        <v>1407</v>
      </c>
      <c r="D8185" t="str">
        <f>HYPERLINK("http://service.sap.com/sap/support/notes/1835204","1835204")</f>
        <v>1835204</v>
      </c>
      <c r="E8185">
        <v>2</v>
      </c>
      <c r="F8185" t="s">
        <v>9532</v>
      </c>
    </row>
    <row r="8186" spans="1:6" x14ac:dyDescent="0.25">
      <c r="A8186" t="s">
        <v>10927</v>
      </c>
      <c r="B8186" t="s">
        <v>1406</v>
      </c>
      <c r="C8186" t="s">
        <v>1407</v>
      </c>
      <c r="D8186" t="str">
        <f>HYPERLINK("http://service.sap.com/sap/support/notes/1858752","1858752")</f>
        <v>1858752</v>
      </c>
      <c r="E8186">
        <v>2</v>
      </c>
      <c r="F8186" t="s">
        <v>9533</v>
      </c>
    </row>
    <row r="8187" spans="1:6" x14ac:dyDescent="0.25">
      <c r="A8187" t="s">
        <v>10927</v>
      </c>
      <c r="B8187" t="s">
        <v>1411</v>
      </c>
      <c r="C8187" t="s">
        <v>1412</v>
      </c>
    </row>
    <row r="8188" spans="1:6" x14ac:dyDescent="0.25">
      <c r="A8188" t="s">
        <v>10927</v>
      </c>
      <c r="B8188" t="s">
        <v>1416</v>
      </c>
      <c r="C8188" t="s">
        <v>1417</v>
      </c>
    </row>
    <row r="8189" spans="1:6" x14ac:dyDescent="0.25">
      <c r="A8189" t="s">
        <v>10927</v>
      </c>
      <c r="B8189" t="s">
        <v>1418</v>
      </c>
      <c r="C8189" t="s">
        <v>1419</v>
      </c>
    </row>
    <row r="8190" spans="1:6" x14ac:dyDescent="0.25">
      <c r="A8190" t="s">
        <v>10927</v>
      </c>
      <c r="B8190" t="s">
        <v>1420</v>
      </c>
      <c r="C8190" t="s">
        <v>1421</v>
      </c>
      <c r="D8190" t="str">
        <f>HYPERLINK("http://service.sap.com/sap/support/notes/1847875","1847875")</f>
        <v>1847875</v>
      </c>
      <c r="E8190">
        <v>2</v>
      </c>
      <c r="F8190" t="s">
        <v>9534</v>
      </c>
    </row>
    <row r="8191" spans="1:6" x14ac:dyDescent="0.25">
      <c r="A8191" t="s">
        <v>10927</v>
      </c>
      <c r="B8191" t="s">
        <v>1420</v>
      </c>
      <c r="C8191" t="s">
        <v>1421</v>
      </c>
      <c r="D8191" t="str">
        <f>HYPERLINK("http://service.sap.com/sap/support/notes/1847915","1847915")</f>
        <v>1847915</v>
      </c>
      <c r="E8191">
        <v>2</v>
      </c>
      <c r="F8191" t="s">
        <v>9535</v>
      </c>
    </row>
    <row r="8192" spans="1:6" x14ac:dyDescent="0.25">
      <c r="A8192" t="s">
        <v>10927</v>
      </c>
      <c r="B8192" t="s">
        <v>1420</v>
      </c>
      <c r="C8192" t="s">
        <v>1421</v>
      </c>
      <c r="D8192" t="str">
        <f>HYPERLINK("http://service.sap.com/sap/support/notes/1859719","1859719")</f>
        <v>1859719</v>
      </c>
      <c r="E8192">
        <v>2</v>
      </c>
      <c r="F8192" t="s">
        <v>9536</v>
      </c>
    </row>
    <row r="8193" spans="1:6" x14ac:dyDescent="0.25">
      <c r="A8193" t="s">
        <v>10927</v>
      </c>
      <c r="B8193" t="s">
        <v>1420</v>
      </c>
      <c r="C8193" t="s">
        <v>1421</v>
      </c>
      <c r="D8193" t="str">
        <f>HYPERLINK("http://service.sap.com/sap/support/notes/1862624","1862624")</f>
        <v>1862624</v>
      </c>
      <c r="E8193">
        <v>1</v>
      </c>
      <c r="F8193" t="s">
        <v>9537</v>
      </c>
    </row>
    <row r="8194" spans="1:6" x14ac:dyDescent="0.25">
      <c r="A8194" t="s">
        <v>10927</v>
      </c>
      <c r="B8194" t="s">
        <v>1420</v>
      </c>
      <c r="C8194" t="s">
        <v>1421</v>
      </c>
      <c r="D8194" t="str">
        <f>HYPERLINK("http://service.sap.com/sap/support/notes/1863437","1863437")</f>
        <v>1863437</v>
      </c>
      <c r="E8194">
        <v>2</v>
      </c>
      <c r="F8194" t="s">
        <v>9538</v>
      </c>
    </row>
    <row r="8195" spans="1:6" x14ac:dyDescent="0.25">
      <c r="A8195" t="s">
        <v>10927</v>
      </c>
      <c r="B8195" t="s">
        <v>9539</v>
      </c>
      <c r="C8195" t="s">
        <v>9540</v>
      </c>
    </row>
    <row r="8196" spans="1:6" x14ac:dyDescent="0.25">
      <c r="A8196" t="s">
        <v>10927</v>
      </c>
      <c r="B8196" t="s">
        <v>9541</v>
      </c>
      <c r="C8196" t="s">
        <v>9542</v>
      </c>
      <c r="D8196" t="str">
        <f>HYPERLINK("http://service.sap.com/sap/support/notes/1850726","1850726")</f>
        <v>1850726</v>
      </c>
      <c r="E8196">
        <v>1</v>
      </c>
      <c r="F8196" t="s">
        <v>9543</v>
      </c>
    </row>
    <row r="8197" spans="1:6" x14ac:dyDescent="0.25">
      <c r="A8197" t="s">
        <v>10927</v>
      </c>
      <c r="B8197" t="s">
        <v>1425</v>
      </c>
      <c r="C8197" t="s">
        <v>1426</v>
      </c>
      <c r="D8197" t="str">
        <f>HYPERLINK("http://service.sap.com/sap/support/notes/1803330","1803330")</f>
        <v>1803330</v>
      </c>
      <c r="E8197">
        <v>1</v>
      </c>
      <c r="F8197" t="s">
        <v>9544</v>
      </c>
    </row>
    <row r="8198" spans="1:6" x14ac:dyDescent="0.25">
      <c r="A8198" t="s">
        <v>10927</v>
      </c>
      <c r="B8198" t="s">
        <v>1425</v>
      </c>
      <c r="C8198" t="s">
        <v>1426</v>
      </c>
      <c r="D8198" t="str">
        <f>HYPERLINK("http://service.sap.com/sap/support/notes/1804962","1804962")</f>
        <v>1804962</v>
      </c>
      <c r="E8198">
        <v>6</v>
      </c>
      <c r="F8198" t="s">
        <v>9545</v>
      </c>
    </row>
    <row r="8199" spans="1:6" x14ac:dyDescent="0.25">
      <c r="A8199" t="s">
        <v>10927</v>
      </c>
      <c r="B8199" t="s">
        <v>1425</v>
      </c>
      <c r="C8199" t="s">
        <v>1426</v>
      </c>
      <c r="D8199" t="str">
        <f>HYPERLINK("http://service.sap.com/sap/support/notes/1822514","1822514")</f>
        <v>1822514</v>
      </c>
      <c r="E8199">
        <v>1</v>
      </c>
      <c r="F8199" t="s">
        <v>9546</v>
      </c>
    </row>
    <row r="8200" spans="1:6" x14ac:dyDescent="0.25">
      <c r="A8200" t="s">
        <v>10927</v>
      </c>
      <c r="B8200" t="s">
        <v>1425</v>
      </c>
      <c r="C8200" t="s">
        <v>1426</v>
      </c>
      <c r="D8200" t="str">
        <f>HYPERLINK("http://service.sap.com/sap/support/notes/1824240","1824240")</f>
        <v>1824240</v>
      </c>
      <c r="E8200">
        <v>1</v>
      </c>
      <c r="F8200" t="s">
        <v>7235</v>
      </c>
    </row>
    <row r="8201" spans="1:6" x14ac:dyDescent="0.25">
      <c r="A8201" t="s">
        <v>10927</v>
      </c>
      <c r="B8201" t="s">
        <v>1425</v>
      </c>
      <c r="C8201" t="s">
        <v>1426</v>
      </c>
      <c r="D8201" t="str">
        <f>HYPERLINK("http://service.sap.com/sap/support/notes/1832546","1832546")</f>
        <v>1832546</v>
      </c>
      <c r="E8201">
        <v>2</v>
      </c>
      <c r="F8201" t="s">
        <v>9547</v>
      </c>
    </row>
    <row r="8202" spans="1:6" x14ac:dyDescent="0.25">
      <c r="A8202" t="s">
        <v>10927</v>
      </c>
      <c r="B8202" t="s">
        <v>1444</v>
      </c>
      <c r="C8202" t="s">
        <v>1445</v>
      </c>
    </row>
    <row r="8203" spans="1:6" x14ac:dyDescent="0.25">
      <c r="A8203" t="s">
        <v>10927</v>
      </c>
      <c r="B8203" t="s">
        <v>1447</v>
      </c>
      <c r="C8203" t="s">
        <v>151</v>
      </c>
      <c r="D8203" t="str">
        <f>HYPERLINK("http://service.sap.com/sap/support/notes/1831519","1831519")</f>
        <v>1831519</v>
      </c>
      <c r="E8203">
        <v>1</v>
      </c>
      <c r="F8203" t="s">
        <v>9548</v>
      </c>
    </row>
    <row r="8204" spans="1:6" x14ac:dyDescent="0.25">
      <c r="A8204" t="s">
        <v>10927</v>
      </c>
      <c r="B8204" t="s">
        <v>1447</v>
      </c>
      <c r="C8204" t="s">
        <v>151</v>
      </c>
      <c r="D8204" t="str">
        <f>HYPERLINK("http://service.sap.com/sap/support/notes/1832519","1832519")</f>
        <v>1832519</v>
      </c>
      <c r="E8204">
        <v>2</v>
      </c>
      <c r="F8204" t="s">
        <v>9549</v>
      </c>
    </row>
    <row r="8205" spans="1:6" x14ac:dyDescent="0.25">
      <c r="A8205" t="s">
        <v>10927</v>
      </c>
      <c r="B8205" t="s">
        <v>1447</v>
      </c>
      <c r="C8205" t="s">
        <v>151</v>
      </c>
      <c r="D8205" t="str">
        <f>HYPERLINK("http://service.sap.com/sap/support/notes/1845329","1845329")</f>
        <v>1845329</v>
      </c>
      <c r="E8205">
        <v>3</v>
      </c>
      <c r="F8205" t="s">
        <v>9550</v>
      </c>
    </row>
    <row r="8206" spans="1:6" x14ac:dyDescent="0.25">
      <c r="A8206" t="s">
        <v>10927</v>
      </c>
      <c r="B8206" t="s">
        <v>1447</v>
      </c>
      <c r="C8206" t="s">
        <v>151</v>
      </c>
      <c r="D8206" t="str">
        <f>HYPERLINK("http://service.sap.com/sap/support/notes/1856378","1856378")</f>
        <v>1856378</v>
      </c>
      <c r="E8206">
        <v>1</v>
      </c>
      <c r="F8206" t="s">
        <v>9551</v>
      </c>
    </row>
    <row r="8207" spans="1:6" x14ac:dyDescent="0.25">
      <c r="A8207" t="s">
        <v>10927</v>
      </c>
      <c r="B8207" t="s">
        <v>1459</v>
      </c>
      <c r="C8207" t="s">
        <v>1460</v>
      </c>
      <c r="D8207" t="str">
        <f>HYPERLINK("http://service.sap.com/sap/support/notes/1821796","1821796")</f>
        <v>1821796</v>
      </c>
      <c r="E8207">
        <v>2</v>
      </c>
      <c r="F8207" t="s">
        <v>9552</v>
      </c>
    </row>
    <row r="8208" spans="1:6" x14ac:dyDescent="0.25">
      <c r="A8208" t="s">
        <v>10927</v>
      </c>
      <c r="B8208" t="s">
        <v>1459</v>
      </c>
      <c r="C8208" t="s">
        <v>1460</v>
      </c>
      <c r="D8208" t="str">
        <f>HYPERLINK("http://service.sap.com/sap/support/notes/1847883","1847883")</f>
        <v>1847883</v>
      </c>
      <c r="E8208">
        <v>3</v>
      </c>
      <c r="F8208" t="s">
        <v>9553</v>
      </c>
    </row>
    <row r="8209" spans="1:6" x14ac:dyDescent="0.25">
      <c r="A8209" t="s">
        <v>10927</v>
      </c>
      <c r="B8209" t="s">
        <v>1459</v>
      </c>
      <c r="C8209" t="s">
        <v>1460</v>
      </c>
      <c r="D8209" t="str">
        <f>HYPERLINK("http://service.sap.com/sap/support/notes/1848335","1848335")</f>
        <v>1848335</v>
      </c>
      <c r="E8209">
        <v>3</v>
      </c>
      <c r="F8209" t="s">
        <v>9554</v>
      </c>
    </row>
    <row r="8210" spans="1:6" x14ac:dyDescent="0.25">
      <c r="A8210" t="s">
        <v>10927</v>
      </c>
      <c r="B8210" t="s">
        <v>1470</v>
      </c>
      <c r="C8210" t="s">
        <v>998</v>
      </c>
      <c r="D8210" t="str">
        <f>HYPERLINK("http://service.sap.com/sap/support/notes/1668376","1668376")</f>
        <v>1668376</v>
      </c>
      <c r="E8210">
        <v>3</v>
      </c>
      <c r="F8210" t="s">
        <v>9555</v>
      </c>
    </row>
    <row r="8211" spans="1:6" x14ac:dyDescent="0.25">
      <c r="A8211" t="s">
        <v>10927</v>
      </c>
      <c r="B8211" t="s">
        <v>1470</v>
      </c>
      <c r="C8211" t="s">
        <v>998</v>
      </c>
      <c r="D8211" t="str">
        <f>HYPERLINK("http://service.sap.com/sap/support/notes/1820688","1820688")</f>
        <v>1820688</v>
      </c>
      <c r="E8211">
        <v>1</v>
      </c>
      <c r="F8211" t="s">
        <v>9556</v>
      </c>
    </row>
    <row r="8212" spans="1:6" x14ac:dyDescent="0.25">
      <c r="A8212" t="s">
        <v>10927</v>
      </c>
      <c r="B8212" t="s">
        <v>1473</v>
      </c>
      <c r="C8212" t="s">
        <v>1474</v>
      </c>
      <c r="D8212" t="str">
        <f>HYPERLINK("http://service.sap.com/sap/support/notes/1778089","1778089")</f>
        <v>1778089</v>
      </c>
      <c r="E8212">
        <v>3</v>
      </c>
      <c r="F8212" t="s">
        <v>9557</v>
      </c>
    </row>
    <row r="8213" spans="1:6" x14ac:dyDescent="0.25">
      <c r="A8213" t="s">
        <v>10927</v>
      </c>
      <c r="B8213" t="s">
        <v>1473</v>
      </c>
      <c r="C8213" t="s">
        <v>1474</v>
      </c>
      <c r="D8213" t="str">
        <f>HYPERLINK("http://service.sap.com/sap/support/notes/1785330","1785330")</f>
        <v>1785330</v>
      </c>
      <c r="E8213">
        <v>3</v>
      </c>
      <c r="F8213" t="s">
        <v>9558</v>
      </c>
    </row>
    <row r="8214" spans="1:6" x14ac:dyDescent="0.25">
      <c r="A8214" t="s">
        <v>10927</v>
      </c>
      <c r="B8214" t="s">
        <v>4961</v>
      </c>
      <c r="C8214" t="s">
        <v>4962</v>
      </c>
      <c r="D8214" t="str">
        <f>HYPERLINK("http://service.sap.com/sap/support/notes/1618578","1618578")</f>
        <v>1618578</v>
      </c>
      <c r="E8214">
        <v>6</v>
      </c>
      <c r="F8214" t="s">
        <v>9559</v>
      </c>
    </row>
    <row r="8215" spans="1:6" x14ac:dyDescent="0.25">
      <c r="A8215" t="s">
        <v>10927</v>
      </c>
      <c r="B8215" t="s">
        <v>4961</v>
      </c>
      <c r="C8215" t="s">
        <v>4962</v>
      </c>
      <c r="D8215" t="str">
        <f>HYPERLINK("http://service.sap.com/sap/support/notes/1688721","1688721")</f>
        <v>1688721</v>
      </c>
      <c r="E8215">
        <v>1</v>
      </c>
      <c r="F8215" t="s">
        <v>9560</v>
      </c>
    </row>
    <row r="8216" spans="1:6" x14ac:dyDescent="0.25">
      <c r="A8216" t="s">
        <v>10927</v>
      </c>
      <c r="B8216" t="s">
        <v>4961</v>
      </c>
      <c r="C8216" t="s">
        <v>4962</v>
      </c>
      <c r="D8216" t="str">
        <f>HYPERLINK("http://service.sap.com/sap/support/notes/1749188","1749188")</f>
        <v>1749188</v>
      </c>
      <c r="E8216">
        <v>5</v>
      </c>
      <c r="F8216" t="s">
        <v>9561</v>
      </c>
    </row>
    <row r="8217" spans="1:6" x14ac:dyDescent="0.25">
      <c r="A8217" t="s">
        <v>10927</v>
      </c>
      <c r="B8217" t="s">
        <v>4961</v>
      </c>
      <c r="C8217" t="s">
        <v>4962</v>
      </c>
      <c r="D8217" t="str">
        <f>HYPERLINK("http://service.sap.com/sap/support/notes/1773752","1773752")</f>
        <v>1773752</v>
      </c>
      <c r="E8217">
        <v>3</v>
      </c>
      <c r="F8217" t="s">
        <v>9562</v>
      </c>
    </row>
    <row r="8218" spans="1:6" x14ac:dyDescent="0.25">
      <c r="A8218" t="s">
        <v>10927</v>
      </c>
      <c r="B8218" t="s">
        <v>4961</v>
      </c>
      <c r="C8218" t="s">
        <v>4962</v>
      </c>
      <c r="D8218" t="str">
        <f>HYPERLINK("http://service.sap.com/sap/support/notes/1792324","1792324")</f>
        <v>1792324</v>
      </c>
      <c r="E8218">
        <v>6</v>
      </c>
      <c r="F8218" t="s">
        <v>9563</v>
      </c>
    </row>
    <row r="8219" spans="1:6" x14ac:dyDescent="0.25">
      <c r="A8219" t="s">
        <v>10927</v>
      </c>
      <c r="B8219" t="s">
        <v>4961</v>
      </c>
      <c r="C8219" t="s">
        <v>4962</v>
      </c>
      <c r="D8219" t="str">
        <f>HYPERLINK("http://service.sap.com/sap/support/notes/1840836","1840836")</f>
        <v>1840836</v>
      </c>
      <c r="E8219">
        <v>1</v>
      </c>
      <c r="F8219" t="s">
        <v>9564</v>
      </c>
    </row>
    <row r="8220" spans="1:6" x14ac:dyDescent="0.25">
      <c r="A8220" t="s">
        <v>10927</v>
      </c>
      <c r="B8220" t="s">
        <v>4961</v>
      </c>
      <c r="C8220" t="s">
        <v>4962</v>
      </c>
      <c r="D8220" t="str">
        <f>HYPERLINK("http://service.sap.com/sap/support/notes/1840837","1840837")</f>
        <v>1840837</v>
      </c>
      <c r="E8220">
        <v>2</v>
      </c>
      <c r="F8220" t="s">
        <v>9565</v>
      </c>
    </row>
    <row r="8221" spans="1:6" x14ac:dyDescent="0.25">
      <c r="A8221" t="s">
        <v>10927</v>
      </c>
      <c r="B8221" t="s">
        <v>4961</v>
      </c>
      <c r="C8221" t="s">
        <v>4962</v>
      </c>
      <c r="D8221" t="str">
        <f>HYPERLINK("http://service.sap.com/sap/support/notes/1848302","1848302")</f>
        <v>1848302</v>
      </c>
      <c r="E8221">
        <v>2</v>
      </c>
      <c r="F8221" t="s">
        <v>9566</v>
      </c>
    </row>
    <row r="8222" spans="1:6" x14ac:dyDescent="0.25">
      <c r="A8222" t="s">
        <v>10927</v>
      </c>
      <c r="B8222" t="s">
        <v>4961</v>
      </c>
      <c r="C8222" t="s">
        <v>4962</v>
      </c>
      <c r="D8222" t="str">
        <f>HYPERLINK("http://service.sap.com/sap/support/notes/1849712","1849712")</f>
        <v>1849712</v>
      </c>
      <c r="E8222">
        <v>3</v>
      </c>
      <c r="F8222" t="s">
        <v>9567</v>
      </c>
    </row>
    <row r="8223" spans="1:6" x14ac:dyDescent="0.25">
      <c r="A8223" t="s">
        <v>10927</v>
      </c>
      <c r="B8223" t="s">
        <v>1482</v>
      </c>
      <c r="C8223" t="s">
        <v>1483</v>
      </c>
      <c r="D8223" t="str">
        <f>HYPERLINK("http://service.sap.com/sap/support/notes/1798815","1798815")</f>
        <v>1798815</v>
      </c>
      <c r="E8223">
        <v>1</v>
      </c>
      <c r="F8223" t="s">
        <v>9568</v>
      </c>
    </row>
    <row r="8224" spans="1:6" x14ac:dyDescent="0.25">
      <c r="A8224" t="s">
        <v>10927</v>
      </c>
      <c r="B8224" t="s">
        <v>1482</v>
      </c>
      <c r="C8224" t="s">
        <v>1483</v>
      </c>
      <c r="D8224" t="str">
        <f>HYPERLINK("http://service.sap.com/sap/support/notes/1854389","1854389")</f>
        <v>1854389</v>
      </c>
      <c r="E8224">
        <v>1</v>
      </c>
      <c r="F8224" t="s">
        <v>9569</v>
      </c>
    </row>
    <row r="8225" spans="1:6" x14ac:dyDescent="0.25">
      <c r="A8225" t="s">
        <v>10927</v>
      </c>
      <c r="B8225" t="s">
        <v>1482</v>
      </c>
      <c r="C8225" t="s">
        <v>1483</v>
      </c>
      <c r="D8225" t="str">
        <f>HYPERLINK("http://service.sap.com/sap/support/notes/1860373","1860373")</f>
        <v>1860373</v>
      </c>
      <c r="E8225">
        <v>1</v>
      </c>
      <c r="F8225" t="s">
        <v>9570</v>
      </c>
    </row>
    <row r="8226" spans="1:6" x14ac:dyDescent="0.25">
      <c r="A8226" t="s">
        <v>10927</v>
      </c>
      <c r="B8226" t="s">
        <v>1488</v>
      </c>
      <c r="C8226" t="s">
        <v>1489</v>
      </c>
      <c r="D8226" t="str">
        <f>HYPERLINK("http://service.sap.com/sap/support/notes/1834875","1834875")</f>
        <v>1834875</v>
      </c>
      <c r="E8226">
        <v>3</v>
      </c>
      <c r="F8226" t="s">
        <v>9571</v>
      </c>
    </row>
    <row r="8227" spans="1:6" x14ac:dyDescent="0.25">
      <c r="A8227" t="s">
        <v>10927</v>
      </c>
      <c r="B8227" t="s">
        <v>1488</v>
      </c>
      <c r="C8227" t="s">
        <v>1489</v>
      </c>
      <c r="D8227" t="str">
        <f>HYPERLINK("http://service.sap.com/sap/support/notes/1855935","1855935")</f>
        <v>1855935</v>
      </c>
      <c r="E8227">
        <v>1</v>
      </c>
    </row>
    <row r="8228" spans="1:6" x14ac:dyDescent="0.25">
      <c r="A8228" t="s">
        <v>10927</v>
      </c>
      <c r="B8228" t="s">
        <v>1488</v>
      </c>
      <c r="C8228" t="s">
        <v>1489</v>
      </c>
      <c r="D8228" t="str">
        <f>HYPERLINK("http://service.sap.com/sap/support/notes/1858566","1858566")</f>
        <v>1858566</v>
      </c>
      <c r="E8228">
        <v>2</v>
      </c>
      <c r="F8228" t="s">
        <v>9572</v>
      </c>
    </row>
    <row r="8229" spans="1:6" x14ac:dyDescent="0.25">
      <c r="A8229" t="s">
        <v>10927</v>
      </c>
      <c r="B8229" t="s">
        <v>1496</v>
      </c>
      <c r="C8229" t="s">
        <v>1497</v>
      </c>
    </row>
    <row r="8230" spans="1:6" x14ac:dyDescent="0.25">
      <c r="A8230" t="s">
        <v>10927</v>
      </c>
      <c r="B8230" t="s">
        <v>1498</v>
      </c>
      <c r="C8230" t="s">
        <v>126</v>
      </c>
      <c r="D8230" t="str">
        <f>HYPERLINK("http://service.sap.com/sap/support/notes/1821996","1821996")</f>
        <v>1821996</v>
      </c>
      <c r="E8230">
        <v>3</v>
      </c>
      <c r="F8230" t="s">
        <v>7276</v>
      </c>
    </row>
    <row r="8231" spans="1:6" x14ac:dyDescent="0.25">
      <c r="A8231" t="s">
        <v>10927</v>
      </c>
      <c r="B8231" t="s">
        <v>1498</v>
      </c>
      <c r="C8231" t="s">
        <v>126</v>
      </c>
      <c r="D8231" t="str">
        <f>HYPERLINK("http://service.sap.com/sap/support/notes/1835000","1835000")</f>
        <v>1835000</v>
      </c>
      <c r="E8231">
        <v>4</v>
      </c>
      <c r="F8231" t="s">
        <v>9573</v>
      </c>
    </row>
    <row r="8232" spans="1:6" x14ac:dyDescent="0.25">
      <c r="A8232" t="s">
        <v>10927</v>
      </c>
      <c r="B8232" t="s">
        <v>1498</v>
      </c>
      <c r="C8232" t="s">
        <v>126</v>
      </c>
      <c r="D8232" t="str">
        <f>HYPERLINK("http://service.sap.com/sap/support/notes/1836085","1836085")</f>
        <v>1836085</v>
      </c>
      <c r="E8232">
        <v>4</v>
      </c>
      <c r="F8232" t="s">
        <v>9574</v>
      </c>
    </row>
    <row r="8233" spans="1:6" x14ac:dyDescent="0.25">
      <c r="A8233" t="s">
        <v>10927</v>
      </c>
      <c r="B8233" t="s">
        <v>1498</v>
      </c>
      <c r="C8233" t="s">
        <v>126</v>
      </c>
      <c r="D8233" t="str">
        <f>HYPERLINK("http://service.sap.com/sap/support/notes/1843213","1843213")</f>
        <v>1843213</v>
      </c>
      <c r="E8233">
        <v>2</v>
      </c>
      <c r="F8233" t="s">
        <v>9575</v>
      </c>
    </row>
    <row r="8234" spans="1:6" x14ac:dyDescent="0.25">
      <c r="A8234" t="s">
        <v>10927</v>
      </c>
      <c r="B8234" t="s">
        <v>1498</v>
      </c>
      <c r="C8234" t="s">
        <v>126</v>
      </c>
      <c r="D8234" t="str">
        <f>HYPERLINK("http://service.sap.com/sap/support/notes/1845016","1845016")</f>
        <v>1845016</v>
      </c>
      <c r="E8234">
        <v>5</v>
      </c>
      <c r="F8234" t="s">
        <v>9576</v>
      </c>
    </row>
    <row r="8235" spans="1:6" x14ac:dyDescent="0.25">
      <c r="A8235" t="s">
        <v>10927</v>
      </c>
      <c r="B8235" t="s">
        <v>1498</v>
      </c>
      <c r="C8235" t="s">
        <v>126</v>
      </c>
      <c r="D8235" t="str">
        <f>HYPERLINK("http://service.sap.com/sap/support/notes/1846602","1846602")</f>
        <v>1846602</v>
      </c>
      <c r="E8235">
        <v>3</v>
      </c>
      <c r="F8235" t="s">
        <v>9577</v>
      </c>
    </row>
    <row r="8236" spans="1:6" x14ac:dyDescent="0.25">
      <c r="A8236" t="s">
        <v>10927</v>
      </c>
      <c r="B8236" t="s">
        <v>1498</v>
      </c>
      <c r="C8236" t="s">
        <v>126</v>
      </c>
      <c r="D8236" t="str">
        <f>HYPERLINK("http://service.sap.com/sap/support/notes/1853485","1853485")</f>
        <v>1853485</v>
      </c>
      <c r="E8236">
        <v>2</v>
      </c>
      <c r="F8236" t="s">
        <v>9578</v>
      </c>
    </row>
    <row r="8237" spans="1:6" x14ac:dyDescent="0.25">
      <c r="A8237" t="s">
        <v>10927</v>
      </c>
      <c r="B8237" t="s">
        <v>1503</v>
      </c>
      <c r="C8237" t="s">
        <v>1504</v>
      </c>
      <c r="D8237" t="str">
        <f>HYPERLINK("http://service.sap.com/sap/support/notes/1855878","1855878")</f>
        <v>1855878</v>
      </c>
      <c r="E8237">
        <v>1</v>
      </c>
    </row>
    <row r="8238" spans="1:6" x14ac:dyDescent="0.25">
      <c r="A8238" t="s">
        <v>10927</v>
      </c>
      <c r="B8238" t="s">
        <v>1507</v>
      </c>
      <c r="C8238" t="s">
        <v>1508</v>
      </c>
    </row>
    <row r="8239" spans="1:6" x14ac:dyDescent="0.25">
      <c r="A8239" t="s">
        <v>10927</v>
      </c>
      <c r="B8239" t="s">
        <v>1509</v>
      </c>
      <c r="C8239" t="s">
        <v>1510</v>
      </c>
    </row>
    <row r="8240" spans="1:6" x14ac:dyDescent="0.25">
      <c r="A8240" t="s">
        <v>10927</v>
      </c>
      <c r="B8240" t="s">
        <v>1511</v>
      </c>
      <c r="C8240" t="s">
        <v>1512</v>
      </c>
      <c r="D8240" t="str">
        <f>HYPERLINK("http://service.sap.com/sap/support/notes/1843870","1843870")</f>
        <v>1843870</v>
      </c>
      <c r="E8240">
        <v>2</v>
      </c>
      <c r="F8240" t="s">
        <v>9579</v>
      </c>
    </row>
    <row r="8241" spans="1:6" x14ac:dyDescent="0.25">
      <c r="A8241" t="s">
        <v>10927</v>
      </c>
      <c r="B8241" t="s">
        <v>1516</v>
      </c>
      <c r="C8241" t="s">
        <v>1517</v>
      </c>
      <c r="D8241" t="str">
        <f>HYPERLINK("http://service.sap.com/sap/support/notes/1828777","1828777")</f>
        <v>1828777</v>
      </c>
      <c r="E8241">
        <v>2</v>
      </c>
      <c r="F8241" t="s">
        <v>9580</v>
      </c>
    </row>
    <row r="8242" spans="1:6" x14ac:dyDescent="0.25">
      <c r="A8242" t="s">
        <v>10927</v>
      </c>
      <c r="B8242" t="s">
        <v>1516</v>
      </c>
      <c r="C8242" t="s">
        <v>1517</v>
      </c>
      <c r="D8242" t="str">
        <f>HYPERLINK("http://service.sap.com/sap/support/notes/1832614","1832614")</f>
        <v>1832614</v>
      </c>
      <c r="E8242">
        <v>2</v>
      </c>
      <c r="F8242" t="s">
        <v>9581</v>
      </c>
    </row>
    <row r="8243" spans="1:6" x14ac:dyDescent="0.25">
      <c r="A8243" t="s">
        <v>10927</v>
      </c>
      <c r="B8243" t="s">
        <v>1529</v>
      </c>
      <c r="C8243" t="s">
        <v>1530</v>
      </c>
    </row>
    <row r="8244" spans="1:6" x14ac:dyDescent="0.25">
      <c r="A8244" t="s">
        <v>10927</v>
      </c>
      <c r="B8244" t="s">
        <v>1531</v>
      </c>
      <c r="C8244" t="s">
        <v>1532</v>
      </c>
    </row>
    <row r="8245" spans="1:6" x14ac:dyDescent="0.25">
      <c r="A8245" t="s">
        <v>10927</v>
      </c>
      <c r="B8245" t="s">
        <v>1536</v>
      </c>
      <c r="C8245" t="s">
        <v>1537</v>
      </c>
      <c r="D8245" t="str">
        <f>HYPERLINK("http://service.sap.com/sap/support/notes/1839460","1839460")</f>
        <v>1839460</v>
      </c>
      <c r="E8245">
        <v>3</v>
      </c>
    </row>
    <row r="8246" spans="1:6" x14ac:dyDescent="0.25">
      <c r="A8246" t="s">
        <v>10927</v>
      </c>
      <c r="B8246" t="s">
        <v>1536</v>
      </c>
      <c r="C8246" t="s">
        <v>1537</v>
      </c>
      <c r="D8246" t="str">
        <f>HYPERLINK("http://service.sap.com/sap/support/notes/1851735","1851735")</f>
        <v>1851735</v>
      </c>
      <c r="E8246">
        <v>1</v>
      </c>
    </row>
    <row r="8247" spans="1:6" x14ac:dyDescent="0.25">
      <c r="A8247" t="s">
        <v>10927</v>
      </c>
      <c r="B8247" t="s">
        <v>1536</v>
      </c>
      <c r="C8247" t="s">
        <v>1537</v>
      </c>
      <c r="D8247" t="str">
        <f>HYPERLINK("http://service.sap.com/sap/support/notes/1852240","1852240")</f>
        <v>1852240</v>
      </c>
      <c r="E8247">
        <v>2</v>
      </c>
    </row>
    <row r="8248" spans="1:6" x14ac:dyDescent="0.25">
      <c r="A8248" t="s">
        <v>10927</v>
      </c>
      <c r="B8248" t="s">
        <v>1539</v>
      </c>
      <c r="C8248" t="s">
        <v>1540</v>
      </c>
      <c r="D8248" t="str">
        <f>HYPERLINK("http://service.sap.com/sap/support/notes/1862608","1862608")</f>
        <v>1862608</v>
      </c>
      <c r="E8248">
        <v>2</v>
      </c>
    </row>
    <row r="8249" spans="1:6" x14ac:dyDescent="0.25">
      <c r="A8249" t="s">
        <v>10927</v>
      </c>
      <c r="B8249" t="s">
        <v>1547</v>
      </c>
      <c r="C8249" t="s">
        <v>1548</v>
      </c>
      <c r="D8249" t="str">
        <f>HYPERLINK("http://service.sap.com/sap/support/notes/1795373","1795373")</f>
        <v>1795373</v>
      </c>
      <c r="E8249">
        <v>2</v>
      </c>
      <c r="F8249" t="s">
        <v>7294</v>
      </c>
    </row>
    <row r="8250" spans="1:6" x14ac:dyDescent="0.25">
      <c r="A8250" t="s">
        <v>10927</v>
      </c>
      <c r="B8250" t="s">
        <v>9582</v>
      </c>
      <c r="C8250" t="s">
        <v>9583</v>
      </c>
      <c r="D8250" t="str">
        <f>HYPERLINK("http://service.sap.com/sap/support/notes/1853336","1853336")</f>
        <v>1853336</v>
      </c>
      <c r="E8250">
        <v>1</v>
      </c>
      <c r="F8250" t="s">
        <v>1546</v>
      </c>
    </row>
    <row r="8251" spans="1:6" x14ac:dyDescent="0.25">
      <c r="A8251" t="s">
        <v>10927</v>
      </c>
      <c r="B8251" t="s">
        <v>1550</v>
      </c>
      <c r="C8251" t="s">
        <v>1551</v>
      </c>
    </row>
    <row r="8252" spans="1:6" x14ac:dyDescent="0.25">
      <c r="A8252" t="s">
        <v>10927</v>
      </c>
      <c r="B8252" t="s">
        <v>7302</v>
      </c>
      <c r="C8252" t="s">
        <v>7303</v>
      </c>
      <c r="D8252" t="str">
        <f>HYPERLINK("http://service.sap.com/sap/support/notes/1839310","1839310")</f>
        <v>1839310</v>
      </c>
      <c r="E8252">
        <v>3</v>
      </c>
      <c r="F8252" t="s">
        <v>9584</v>
      </c>
    </row>
    <row r="8253" spans="1:6" x14ac:dyDescent="0.25">
      <c r="A8253" t="s">
        <v>10927</v>
      </c>
      <c r="B8253" t="s">
        <v>7302</v>
      </c>
      <c r="C8253" t="s">
        <v>7303</v>
      </c>
      <c r="D8253" t="str">
        <f>HYPERLINK("http://service.sap.com/sap/support/notes/1854543","1854543")</f>
        <v>1854543</v>
      </c>
      <c r="E8253">
        <v>2</v>
      </c>
      <c r="F8253" t="s">
        <v>9585</v>
      </c>
    </row>
    <row r="8254" spans="1:6" x14ac:dyDescent="0.25">
      <c r="A8254" t="s">
        <v>10927</v>
      </c>
      <c r="B8254" t="s">
        <v>9586</v>
      </c>
      <c r="C8254" t="s">
        <v>9587</v>
      </c>
      <c r="D8254" t="str">
        <f>HYPERLINK("http://service.sap.com/sap/support/notes/1865018","1865018")</f>
        <v>1865018</v>
      </c>
      <c r="E8254">
        <v>1</v>
      </c>
      <c r="F8254" t="s">
        <v>9588</v>
      </c>
    </row>
    <row r="8255" spans="1:6" x14ac:dyDescent="0.25">
      <c r="A8255" t="s">
        <v>10927</v>
      </c>
      <c r="B8255" t="s">
        <v>1558</v>
      </c>
      <c r="C8255" t="s">
        <v>1559</v>
      </c>
      <c r="D8255" t="str">
        <f>HYPERLINK("http://service.sap.com/sap/support/notes/1831196","1831196")</f>
        <v>1831196</v>
      </c>
      <c r="E8255">
        <v>1</v>
      </c>
      <c r="F8255" t="s">
        <v>1546</v>
      </c>
    </row>
    <row r="8256" spans="1:6" x14ac:dyDescent="0.25">
      <c r="A8256" t="s">
        <v>10927</v>
      </c>
      <c r="B8256" t="s">
        <v>5004</v>
      </c>
      <c r="C8256" t="s">
        <v>2277</v>
      </c>
      <c r="D8256" t="str">
        <f>HYPERLINK("http://service.sap.com/sap/support/notes/1824791","1824791")</f>
        <v>1824791</v>
      </c>
      <c r="E8256">
        <v>2</v>
      </c>
      <c r="F8256" t="s">
        <v>7307</v>
      </c>
    </row>
    <row r="8257" spans="1:6" x14ac:dyDescent="0.25">
      <c r="A8257" t="s">
        <v>10927</v>
      </c>
      <c r="B8257" t="s">
        <v>5004</v>
      </c>
      <c r="C8257" t="s">
        <v>2277</v>
      </c>
      <c r="D8257" t="str">
        <f>HYPERLINK("http://service.sap.com/sap/support/notes/1850997","1850997")</f>
        <v>1850997</v>
      </c>
      <c r="E8257">
        <v>2</v>
      </c>
      <c r="F8257" t="s">
        <v>7307</v>
      </c>
    </row>
    <row r="8258" spans="1:6" x14ac:dyDescent="0.25">
      <c r="A8258" t="s">
        <v>10927</v>
      </c>
      <c r="B8258" t="s">
        <v>5004</v>
      </c>
      <c r="C8258" t="s">
        <v>2277</v>
      </c>
      <c r="D8258" t="str">
        <f>HYPERLINK("http://service.sap.com/sap/support/notes/1854904","1854904")</f>
        <v>1854904</v>
      </c>
      <c r="E8258">
        <v>1</v>
      </c>
      <c r="F8258" t="s">
        <v>9589</v>
      </c>
    </row>
    <row r="8259" spans="1:6" x14ac:dyDescent="0.25">
      <c r="A8259" t="s">
        <v>10927</v>
      </c>
      <c r="B8259" t="s">
        <v>1569</v>
      </c>
      <c r="C8259" t="s">
        <v>5008</v>
      </c>
    </row>
    <row r="8260" spans="1:6" x14ac:dyDescent="0.25">
      <c r="A8260" t="s">
        <v>10927</v>
      </c>
      <c r="B8260" t="s">
        <v>7309</v>
      </c>
      <c r="C8260" t="s">
        <v>7310</v>
      </c>
      <c r="D8260" t="str">
        <f>HYPERLINK("http://service.sap.com/sap/support/notes/1822853","1822853")</f>
        <v>1822853</v>
      </c>
      <c r="E8260">
        <v>1</v>
      </c>
      <c r="F8260" t="s">
        <v>9590</v>
      </c>
    </row>
    <row r="8261" spans="1:6" x14ac:dyDescent="0.25">
      <c r="A8261" t="s">
        <v>10927</v>
      </c>
      <c r="B8261" t="s">
        <v>9591</v>
      </c>
      <c r="C8261" t="s">
        <v>9592</v>
      </c>
      <c r="D8261" t="str">
        <f>HYPERLINK("http://service.sap.com/sap/support/notes/1844167","1844167")</f>
        <v>1844167</v>
      </c>
      <c r="E8261">
        <v>1</v>
      </c>
      <c r="F8261" t="s">
        <v>9593</v>
      </c>
    </row>
    <row r="8262" spans="1:6" x14ac:dyDescent="0.25">
      <c r="A8262" t="s">
        <v>10927</v>
      </c>
      <c r="B8262" t="s">
        <v>1572</v>
      </c>
      <c r="C8262" t="s">
        <v>1573</v>
      </c>
    </row>
    <row r="8263" spans="1:6" x14ac:dyDescent="0.25">
      <c r="A8263" t="s">
        <v>10927</v>
      </c>
      <c r="B8263" t="s">
        <v>9594</v>
      </c>
      <c r="C8263" t="s">
        <v>9595</v>
      </c>
      <c r="D8263" t="str">
        <f>HYPERLINK("http://service.sap.com/sap/support/notes/1861453","1861453")</f>
        <v>1861453</v>
      </c>
      <c r="E8263">
        <v>1</v>
      </c>
      <c r="F8263" t="s">
        <v>9596</v>
      </c>
    </row>
    <row r="8264" spans="1:6" x14ac:dyDescent="0.25">
      <c r="A8264" t="s">
        <v>10927</v>
      </c>
      <c r="B8264" t="s">
        <v>1577</v>
      </c>
      <c r="C8264" t="s">
        <v>1578</v>
      </c>
    </row>
    <row r="8265" spans="1:6" x14ac:dyDescent="0.25">
      <c r="A8265" t="s">
        <v>10927</v>
      </c>
      <c r="B8265" t="s">
        <v>9597</v>
      </c>
      <c r="C8265" t="s">
        <v>210</v>
      </c>
      <c r="D8265" t="str">
        <f>HYPERLINK("http://service.sap.com/sap/support/notes/1848413","1848413")</f>
        <v>1848413</v>
      </c>
      <c r="E8265">
        <v>2</v>
      </c>
      <c r="F8265" t="s">
        <v>9598</v>
      </c>
    </row>
    <row r="8266" spans="1:6" x14ac:dyDescent="0.25">
      <c r="A8266" t="s">
        <v>10927</v>
      </c>
      <c r="B8266" t="s">
        <v>5022</v>
      </c>
      <c r="C8266" t="s">
        <v>218</v>
      </c>
      <c r="D8266" t="str">
        <f>HYPERLINK("http://service.sap.com/sap/support/notes/1849564","1849564")</f>
        <v>1849564</v>
      </c>
      <c r="E8266">
        <v>1</v>
      </c>
      <c r="F8266" t="s">
        <v>9599</v>
      </c>
    </row>
    <row r="8267" spans="1:6" x14ac:dyDescent="0.25">
      <c r="A8267" t="s">
        <v>10927</v>
      </c>
      <c r="B8267" t="s">
        <v>1581</v>
      </c>
      <c r="C8267" t="s">
        <v>1582</v>
      </c>
    </row>
    <row r="8268" spans="1:6" x14ac:dyDescent="0.25">
      <c r="A8268" t="s">
        <v>10927</v>
      </c>
      <c r="B8268" t="s">
        <v>1583</v>
      </c>
      <c r="C8268" t="s">
        <v>1584</v>
      </c>
      <c r="D8268" t="str">
        <f>HYPERLINK("http://service.sap.com/sap/support/notes/1845586","1845586")</f>
        <v>1845586</v>
      </c>
      <c r="E8268">
        <v>2</v>
      </c>
      <c r="F8268" t="s">
        <v>1546</v>
      </c>
    </row>
    <row r="8269" spans="1:6" x14ac:dyDescent="0.25">
      <c r="A8269" t="s">
        <v>10927</v>
      </c>
      <c r="B8269" t="s">
        <v>1583</v>
      </c>
      <c r="C8269" t="s">
        <v>1584</v>
      </c>
      <c r="D8269" t="str">
        <f>HYPERLINK("http://service.sap.com/sap/support/notes/1850894","1850894")</f>
        <v>1850894</v>
      </c>
      <c r="E8269">
        <v>2</v>
      </c>
      <c r="F8269" t="s">
        <v>1546</v>
      </c>
    </row>
    <row r="8270" spans="1:6" x14ac:dyDescent="0.25">
      <c r="A8270" t="s">
        <v>10927</v>
      </c>
      <c r="B8270" t="s">
        <v>1583</v>
      </c>
      <c r="C8270" t="s">
        <v>1584</v>
      </c>
      <c r="D8270" t="str">
        <f>HYPERLINK("http://service.sap.com/sap/support/notes/1859449","1859449")</f>
        <v>1859449</v>
      </c>
      <c r="E8270">
        <v>1</v>
      </c>
      <c r="F8270" t="s">
        <v>1546</v>
      </c>
    </row>
    <row r="8271" spans="1:6" x14ac:dyDescent="0.25">
      <c r="A8271" t="s">
        <v>10927</v>
      </c>
      <c r="B8271" t="s">
        <v>9600</v>
      </c>
      <c r="C8271" t="s">
        <v>9601</v>
      </c>
      <c r="D8271" t="str">
        <f>HYPERLINK("http://service.sap.com/sap/support/notes/1848174","1848174")</f>
        <v>1848174</v>
      </c>
      <c r="E8271">
        <v>2</v>
      </c>
      <c r="F8271" t="s">
        <v>9602</v>
      </c>
    </row>
    <row r="8272" spans="1:6" x14ac:dyDescent="0.25">
      <c r="A8272" t="s">
        <v>10927</v>
      </c>
      <c r="B8272" t="s">
        <v>1585</v>
      </c>
      <c r="C8272" t="s">
        <v>1586</v>
      </c>
    </row>
    <row r="8273" spans="1:6" x14ac:dyDescent="0.25">
      <c r="A8273" t="s">
        <v>10927</v>
      </c>
      <c r="B8273" t="s">
        <v>1587</v>
      </c>
      <c r="C8273" t="s">
        <v>1588</v>
      </c>
    </row>
    <row r="8274" spans="1:6" x14ac:dyDescent="0.25">
      <c r="A8274" t="s">
        <v>10927</v>
      </c>
      <c r="B8274" t="s">
        <v>1589</v>
      </c>
      <c r="C8274" t="s">
        <v>1590</v>
      </c>
      <c r="D8274" t="str">
        <f>HYPERLINK("http://service.sap.com/sap/support/notes/1812681","1812681")</f>
        <v>1812681</v>
      </c>
      <c r="E8274">
        <v>1</v>
      </c>
      <c r="F8274" t="s">
        <v>7334</v>
      </c>
    </row>
    <row r="8275" spans="1:6" x14ac:dyDescent="0.25">
      <c r="A8275" t="s">
        <v>10927</v>
      </c>
      <c r="B8275" t="s">
        <v>1589</v>
      </c>
      <c r="C8275" t="s">
        <v>1590</v>
      </c>
      <c r="D8275" t="str">
        <f>HYPERLINK("http://service.sap.com/sap/support/notes/1820980","1820980")</f>
        <v>1820980</v>
      </c>
      <c r="E8275">
        <v>1</v>
      </c>
      <c r="F8275" t="s">
        <v>7337</v>
      </c>
    </row>
    <row r="8276" spans="1:6" x14ac:dyDescent="0.25">
      <c r="A8276" t="s">
        <v>10927</v>
      </c>
      <c r="B8276" t="s">
        <v>1589</v>
      </c>
      <c r="C8276" t="s">
        <v>1590</v>
      </c>
      <c r="D8276" t="str">
        <f>HYPERLINK("http://service.sap.com/sap/support/notes/1844095","1844095")</f>
        <v>1844095</v>
      </c>
      <c r="E8276">
        <v>2</v>
      </c>
      <c r="F8276" t="s">
        <v>9603</v>
      </c>
    </row>
    <row r="8277" spans="1:6" x14ac:dyDescent="0.25">
      <c r="A8277" t="s">
        <v>10927</v>
      </c>
      <c r="B8277" t="s">
        <v>1589</v>
      </c>
      <c r="C8277" t="s">
        <v>1590</v>
      </c>
      <c r="D8277" t="str">
        <f>HYPERLINK("http://service.sap.com/sap/support/notes/1845357","1845357")</f>
        <v>1845357</v>
      </c>
      <c r="E8277">
        <v>3</v>
      </c>
      <c r="F8277" t="s">
        <v>9604</v>
      </c>
    </row>
    <row r="8278" spans="1:6" x14ac:dyDescent="0.25">
      <c r="A8278" t="s">
        <v>10927</v>
      </c>
      <c r="B8278" t="s">
        <v>1589</v>
      </c>
      <c r="C8278" t="s">
        <v>1590</v>
      </c>
      <c r="D8278" t="str">
        <f>HYPERLINK("http://service.sap.com/sap/support/notes/1855149","1855149")</f>
        <v>1855149</v>
      </c>
      <c r="E8278">
        <v>2</v>
      </c>
      <c r="F8278" t="s">
        <v>9605</v>
      </c>
    </row>
    <row r="8279" spans="1:6" x14ac:dyDescent="0.25">
      <c r="A8279" t="s">
        <v>10927</v>
      </c>
      <c r="B8279" t="s">
        <v>1589</v>
      </c>
      <c r="C8279" t="s">
        <v>1590</v>
      </c>
      <c r="D8279" t="str">
        <f>HYPERLINK("http://service.sap.com/sap/support/notes/1858666","1858666")</f>
        <v>1858666</v>
      </c>
      <c r="E8279">
        <v>1</v>
      </c>
      <c r="F8279" t="s">
        <v>9606</v>
      </c>
    </row>
    <row r="8280" spans="1:6" x14ac:dyDescent="0.25">
      <c r="A8280" t="s">
        <v>10927</v>
      </c>
      <c r="B8280" t="s">
        <v>1589</v>
      </c>
      <c r="C8280" t="s">
        <v>1590</v>
      </c>
      <c r="D8280" t="str">
        <f>HYPERLINK("http://service.sap.com/sap/support/notes/1861321","1861321")</f>
        <v>1861321</v>
      </c>
      <c r="E8280">
        <v>2</v>
      </c>
      <c r="F8280" t="s">
        <v>9607</v>
      </c>
    </row>
    <row r="8281" spans="1:6" x14ac:dyDescent="0.25">
      <c r="A8281" t="s">
        <v>10927</v>
      </c>
      <c r="B8281" t="s">
        <v>1589</v>
      </c>
      <c r="C8281" t="s">
        <v>1590</v>
      </c>
      <c r="D8281" t="str">
        <f>HYPERLINK("http://service.sap.com/sap/support/notes/1865499","1865499")</f>
        <v>1865499</v>
      </c>
      <c r="E8281">
        <v>1</v>
      </c>
      <c r="F8281" t="s">
        <v>9608</v>
      </c>
    </row>
    <row r="8282" spans="1:6" x14ac:dyDescent="0.25">
      <c r="A8282" t="s">
        <v>10927</v>
      </c>
      <c r="B8282" t="s">
        <v>1599</v>
      </c>
      <c r="C8282" t="s">
        <v>1600</v>
      </c>
      <c r="D8282" t="str">
        <f>HYPERLINK("http://service.sap.com/sap/support/notes/1373610","1373610")</f>
        <v>1373610</v>
      </c>
      <c r="E8282">
        <v>5</v>
      </c>
      <c r="F8282" t="s">
        <v>9609</v>
      </c>
    </row>
    <row r="8283" spans="1:6" x14ac:dyDescent="0.25">
      <c r="A8283" t="s">
        <v>10927</v>
      </c>
      <c r="B8283" t="s">
        <v>1599</v>
      </c>
      <c r="C8283" t="s">
        <v>1600</v>
      </c>
      <c r="D8283" t="str">
        <f>HYPERLINK("http://service.sap.com/sap/support/notes/1842904","1842904")</f>
        <v>1842904</v>
      </c>
      <c r="E8283">
        <v>5</v>
      </c>
      <c r="F8283" t="s">
        <v>9610</v>
      </c>
    </row>
    <row r="8284" spans="1:6" x14ac:dyDescent="0.25">
      <c r="A8284" t="s">
        <v>10927</v>
      </c>
      <c r="B8284" t="s">
        <v>1599</v>
      </c>
      <c r="C8284" t="s">
        <v>1600</v>
      </c>
      <c r="D8284" t="str">
        <f>HYPERLINK("http://service.sap.com/sap/support/notes/1845484","1845484")</f>
        <v>1845484</v>
      </c>
      <c r="E8284">
        <v>1</v>
      </c>
      <c r="F8284" t="s">
        <v>9611</v>
      </c>
    </row>
    <row r="8285" spans="1:6" x14ac:dyDescent="0.25">
      <c r="A8285" t="s">
        <v>10927</v>
      </c>
      <c r="B8285" t="s">
        <v>1599</v>
      </c>
      <c r="C8285" t="s">
        <v>1600</v>
      </c>
      <c r="D8285" t="str">
        <f>HYPERLINK("http://service.sap.com/sap/support/notes/1853604","1853604")</f>
        <v>1853604</v>
      </c>
      <c r="E8285">
        <v>1</v>
      </c>
      <c r="F8285" t="s">
        <v>9612</v>
      </c>
    </row>
    <row r="8286" spans="1:6" x14ac:dyDescent="0.25">
      <c r="A8286" t="s">
        <v>10927</v>
      </c>
      <c r="B8286" t="s">
        <v>1599</v>
      </c>
      <c r="C8286" t="s">
        <v>1600</v>
      </c>
      <c r="D8286" t="str">
        <f>HYPERLINK("http://service.sap.com/sap/support/notes/1856801","1856801")</f>
        <v>1856801</v>
      </c>
      <c r="E8286">
        <v>1</v>
      </c>
      <c r="F8286" t="s">
        <v>9613</v>
      </c>
    </row>
    <row r="8287" spans="1:6" x14ac:dyDescent="0.25">
      <c r="A8287" t="s">
        <v>10927</v>
      </c>
      <c r="B8287" t="s">
        <v>1599</v>
      </c>
      <c r="C8287" t="s">
        <v>1600</v>
      </c>
      <c r="D8287" t="str">
        <f>HYPERLINK("http://service.sap.com/sap/support/notes/1856875","1856875")</f>
        <v>1856875</v>
      </c>
      <c r="E8287">
        <v>1</v>
      </c>
      <c r="F8287" t="s">
        <v>9614</v>
      </c>
    </row>
    <row r="8288" spans="1:6" x14ac:dyDescent="0.25">
      <c r="A8288" t="s">
        <v>10927</v>
      </c>
      <c r="B8288" t="s">
        <v>1599</v>
      </c>
      <c r="C8288" t="s">
        <v>1600</v>
      </c>
      <c r="D8288" t="str">
        <f>HYPERLINK("http://service.sap.com/sap/support/notes/1856876","1856876")</f>
        <v>1856876</v>
      </c>
      <c r="E8288">
        <v>2</v>
      </c>
      <c r="F8288" t="s">
        <v>9615</v>
      </c>
    </row>
    <row r="8289" spans="1:6" x14ac:dyDescent="0.25">
      <c r="A8289" t="s">
        <v>10927</v>
      </c>
      <c r="B8289" t="s">
        <v>1599</v>
      </c>
      <c r="C8289" t="s">
        <v>1600</v>
      </c>
      <c r="D8289" t="str">
        <f>HYPERLINK("http://service.sap.com/sap/support/notes/1856977","1856977")</f>
        <v>1856977</v>
      </c>
      <c r="E8289">
        <v>2</v>
      </c>
      <c r="F8289" t="s">
        <v>9616</v>
      </c>
    </row>
    <row r="8290" spans="1:6" x14ac:dyDescent="0.25">
      <c r="A8290" t="s">
        <v>10927</v>
      </c>
      <c r="B8290" t="s">
        <v>1599</v>
      </c>
      <c r="C8290" t="s">
        <v>1600</v>
      </c>
      <c r="D8290" t="str">
        <f>HYPERLINK("http://service.sap.com/sap/support/notes/1868000","1868000")</f>
        <v>1868000</v>
      </c>
      <c r="E8290">
        <v>1</v>
      </c>
      <c r="F8290" t="s">
        <v>9617</v>
      </c>
    </row>
    <row r="8291" spans="1:6" x14ac:dyDescent="0.25">
      <c r="A8291" t="s">
        <v>10927</v>
      </c>
      <c r="B8291" t="s">
        <v>1607</v>
      </c>
      <c r="C8291" t="s">
        <v>1608</v>
      </c>
    </row>
    <row r="8292" spans="1:6" x14ac:dyDescent="0.25">
      <c r="A8292" t="s">
        <v>10927</v>
      </c>
      <c r="B8292" t="s">
        <v>1609</v>
      </c>
      <c r="C8292" t="s">
        <v>1610</v>
      </c>
      <c r="D8292" t="str">
        <f>HYPERLINK("http://service.sap.com/sap/support/notes/1820478","1820478")</f>
        <v>1820478</v>
      </c>
      <c r="E8292">
        <v>3</v>
      </c>
      <c r="F8292" t="s">
        <v>9618</v>
      </c>
    </row>
    <row r="8293" spans="1:6" x14ac:dyDescent="0.25">
      <c r="A8293" t="s">
        <v>10927</v>
      </c>
      <c r="B8293" t="s">
        <v>1609</v>
      </c>
      <c r="C8293" t="s">
        <v>1610</v>
      </c>
      <c r="D8293" t="str">
        <f>HYPERLINK("http://service.sap.com/sap/support/notes/1841479","1841479")</f>
        <v>1841479</v>
      </c>
      <c r="E8293">
        <v>2</v>
      </c>
      <c r="F8293" t="s">
        <v>9619</v>
      </c>
    </row>
    <row r="8294" spans="1:6" x14ac:dyDescent="0.25">
      <c r="A8294" t="s">
        <v>10927</v>
      </c>
      <c r="B8294" t="s">
        <v>1609</v>
      </c>
      <c r="C8294" t="s">
        <v>1610</v>
      </c>
      <c r="D8294" t="str">
        <f>HYPERLINK("http://service.sap.com/sap/support/notes/1861188","1861188")</f>
        <v>1861188</v>
      </c>
      <c r="E8294">
        <v>1</v>
      </c>
      <c r="F8294" t="s">
        <v>9620</v>
      </c>
    </row>
    <row r="8295" spans="1:6" x14ac:dyDescent="0.25">
      <c r="A8295" t="s">
        <v>10927</v>
      </c>
      <c r="B8295" t="s">
        <v>1612</v>
      </c>
      <c r="C8295" t="s">
        <v>1613</v>
      </c>
      <c r="D8295" t="str">
        <f>HYPERLINK("http://service.sap.com/sap/support/notes/1852838","1852838")</f>
        <v>1852838</v>
      </c>
      <c r="E8295">
        <v>2</v>
      </c>
      <c r="F8295" t="s">
        <v>9621</v>
      </c>
    </row>
    <row r="8296" spans="1:6" x14ac:dyDescent="0.25">
      <c r="A8296" t="s">
        <v>10927</v>
      </c>
      <c r="B8296" t="s">
        <v>1618</v>
      </c>
      <c r="C8296" t="s">
        <v>1619</v>
      </c>
      <c r="D8296" t="str">
        <f>HYPERLINK("http://service.sap.com/sap/support/notes/1835984","1835984")</f>
        <v>1835984</v>
      </c>
      <c r="E8296">
        <v>2</v>
      </c>
      <c r="F8296" t="s">
        <v>9622</v>
      </c>
    </row>
    <row r="8297" spans="1:6" x14ac:dyDescent="0.25">
      <c r="A8297" t="s">
        <v>10927</v>
      </c>
      <c r="B8297" t="s">
        <v>1618</v>
      </c>
      <c r="C8297" t="s">
        <v>1619</v>
      </c>
      <c r="D8297" t="str">
        <f>HYPERLINK("http://service.sap.com/sap/support/notes/1845376","1845376")</f>
        <v>1845376</v>
      </c>
      <c r="E8297">
        <v>2</v>
      </c>
      <c r="F8297" t="s">
        <v>9623</v>
      </c>
    </row>
    <row r="8298" spans="1:6" x14ac:dyDescent="0.25">
      <c r="A8298" t="s">
        <v>10927</v>
      </c>
      <c r="B8298" t="s">
        <v>1618</v>
      </c>
      <c r="C8298" t="s">
        <v>1619</v>
      </c>
      <c r="D8298" t="str">
        <f>HYPERLINK("http://service.sap.com/sap/support/notes/1861164","1861164")</f>
        <v>1861164</v>
      </c>
      <c r="E8298">
        <v>1</v>
      </c>
      <c r="F8298" t="s">
        <v>9624</v>
      </c>
    </row>
    <row r="8299" spans="1:6" x14ac:dyDescent="0.25">
      <c r="A8299" t="s">
        <v>10927</v>
      </c>
      <c r="B8299" t="s">
        <v>1618</v>
      </c>
      <c r="C8299" t="s">
        <v>1619</v>
      </c>
      <c r="D8299" t="str">
        <f>HYPERLINK("http://service.sap.com/sap/support/notes/1863831","1863831")</f>
        <v>1863831</v>
      </c>
      <c r="E8299">
        <v>1</v>
      </c>
      <c r="F8299" t="s">
        <v>9625</v>
      </c>
    </row>
    <row r="8300" spans="1:6" x14ac:dyDescent="0.25">
      <c r="A8300" t="s">
        <v>10927</v>
      </c>
      <c r="B8300" t="s">
        <v>1626</v>
      </c>
      <c r="C8300" t="s">
        <v>1627</v>
      </c>
    </row>
    <row r="8301" spans="1:6" x14ac:dyDescent="0.25">
      <c r="A8301" t="s">
        <v>10927</v>
      </c>
      <c r="B8301" t="s">
        <v>1628</v>
      </c>
      <c r="C8301" t="s">
        <v>1629</v>
      </c>
      <c r="D8301" t="str">
        <f>HYPERLINK("http://service.sap.com/sap/support/notes/1849308","1849308")</f>
        <v>1849308</v>
      </c>
      <c r="E8301">
        <v>2</v>
      </c>
      <c r="F8301" t="s">
        <v>9626</v>
      </c>
    </row>
    <row r="8302" spans="1:6" x14ac:dyDescent="0.25">
      <c r="A8302" t="s">
        <v>10927</v>
      </c>
      <c r="B8302" t="s">
        <v>9627</v>
      </c>
      <c r="C8302" t="s">
        <v>9628</v>
      </c>
      <c r="D8302" t="str">
        <f>HYPERLINK("http://service.sap.com/sap/support/notes/1858746","1858746")</f>
        <v>1858746</v>
      </c>
      <c r="E8302">
        <v>1</v>
      </c>
      <c r="F8302" t="s">
        <v>9629</v>
      </c>
    </row>
    <row r="8303" spans="1:6" x14ac:dyDescent="0.25">
      <c r="A8303" t="s">
        <v>10927</v>
      </c>
      <c r="B8303" t="s">
        <v>5041</v>
      </c>
      <c r="C8303" t="s">
        <v>5042</v>
      </c>
      <c r="D8303" t="str">
        <f>HYPERLINK("http://service.sap.com/sap/support/notes/1784459","1784459")</f>
        <v>1784459</v>
      </c>
      <c r="E8303">
        <v>3</v>
      </c>
      <c r="F8303" t="s">
        <v>9630</v>
      </c>
    </row>
    <row r="8304" spans="1:6" x14ac:dyDescent="0.25">
      <c r="A8304" t="s">
        <v>10927</v>
      </c>
      <c r="B8304" t="s">
        <v>1632</v>
      </c>
      <c r="C8304" t="s">
        <v>1633</v>
      </c>
    </row>
    <row r="8305" spans="1:6" x14ac:dyDescent="0.25">
      <c r="A8305" t="s">
        <v>10927</v>
      </c>
      <c r="B8305" t="s">
        <v>9631</v>
      </c>
      <c r="C8305" t="s">
        <v>1537</v>
      </c>
      <c r="D8305" t="str">
        <f>HYPERLINK("http://service.sap.com/sap/support/notes/1762057","1762057")</f>
        <v>1762057</v>
      </c>
      <c r="E8305">
        <v>2</v>
      </c>
      <c r="F8305" t="s">
        <v>9632</v>
      </c>
    </row>
    <row r="8306" spans="1:6" x14ac:dyDescent="0.25">
      <c r="A8306" t="s">
        <v>10927</v>
      </c>
      <c r="B8306" t="s">
        <v>1637</v>
      </c>
      <c r="C8306" t="s">
        <v>1638</v>
      </c>
    </row>
    <row r="8307" spans="1:6" x14ac:dyDescent="0.25">
      <c r="A8307" t="s">
        <v>10927</v>
      </c>
      <c r="B8307" t="s">
        <v>1642</v>
      </c>
      <c r="C8307" t="s">
        <v>1643</v>
      </c>
      <c r="D8307" t="str">
        <f>HYPERLINK("http://service.sap.com/sap/support/notes/1131191","1131191")</f>
        <v>1131191</v>
      </c>
      <c r="E8307">
        <v>4</v>
      </c>
      <c r="F8307" t="s">
        <v>9633</v>
      </c>
    </row>
    <row r="8308" spans="1:6" x14ac:dyDescent="0.25">
      <c r="A8308" t="s">
        <v>10927</v>
      </c>
      <c r="B8308" t="s">
        <v>1642</v>
      </c>
      <c r="C8308" t="s">
        <v>1643</v>
      </c>
      <c r="D8308" t="str">
        <f>HYPERLINK("http://service.sap.com/sap/support/notes/1334933","1334933")</f>
        <v>1334933</v>
      </c>
      <c r="E8308">
        <v>4</v>
      </c>
      <c r="F8308" t="s">
        <v>9634</v>
      </c>
    </row>
    <row r="8309" spans="1:6" x14ac:dyDescent="0.25">
      <c r="A8309" t="s">
        <v>10927</v>
      </c>
      <c r="B8309" t="s">
        <v>1642</v>
      </c>
      <c r="C8309" t="s">
        <v>1643</v>
      </c>
      <c r="D8309" t="str">
        <f>HYPERLINK("http://service.sap.com/sap/support/notes/1834188","1834188")</f>
        <v>1834188</v>
      </c>
      <c r="E8309">
        <v>2</v>
      </c>
      <c r="F8309" t="s">
        <v>9635</v>
      </c>
    </row>
    <row r="8310" spans="1:6" x14ac:dyDescent="0.25">
      <c r="A8310" t="s">
        <v>10927</v>
      </c>
      <c r="B8310" t="s">
        <v>1642</v>
      </c>
      <c r="C8310" t="s">
        <v>1643</v>
      </c>
      <c r="D8310" t="str">
        <f>HYPERLINK("http://service.sap.com/sap/support/notes/1837622","1837622")</f>
        <v>1837622</v>
      </c>
      <c r="E8310">
        <v>2</v>
      </c>
      <c r="F8310" t="s">
        <v>9636</v>
      </c>
    </row>
    <row r="8311" spans="1:6" x14ac:dyDescent="0.25">
      <c r="A8311" t="s">
        <v>10927</v>
      </c>
      <c r="B8311" t="s">
        <v>1642</v>
      </c>
      <c r="C8311" t="s">
        <v>1643</v>
      </c>
      <c r="D8311" t="str">
        <f>HYPERLINK("http://service.sap.com/sap/support/notes/1861315","1861315")</f>
        <v>1861315</v>
      </c>
      <c r="E8311">
        <v>1</v>
      </c>
      <c r="F8311" t="s">
        <v>9637</v>
      </c>
    </row>
    <row r="8312" spans="1:6" x14ac:dyDescent="0.25">
      <c r="A8312" t="s">
        <v>10927</v>
      </c>
      <c r="B8312" t="s">
        <v>9638</v>
      </c>
      <c r="C8312" t="s">
        <v>9639</v>
      </c>
      <c r="D8312" t="str">
        <f>HYPERLINK("http://service.sap.com/sap/support/notes/1785025","1785025")</f>
        <v>1785025</v>
      </c>
      <c r="E8312">
        <v>3</v>
      </c>
      <c r="F8312" t="s">
        <v>9640</v>
      </c>
    </row>
    <row r="8313" spans="1:6" x14ac:dyDescent="0.25">
      <c r="A8313" t="s">
        <v>10927</v>
      </c>
      <c r="B8313" t="s">
        <v>9638</v>
      </c>
      <c r="C8313" t="s">
        <v>9639</v>
      </c>
      <c r="D8313" t="str">
        <f>HYPERLINK("http://service.sap.com/sap/support/notes/1848887","1848887")</f>
        <v>1848887</v>
      </c>
      <c r="E8313">
        <v>1</v>
      </c>
      <c r="F8313" t="s">
        <v>9641</v>
      </c>
    </row>
    <row r="8314" spans="1:6" x14ac:dyDescent="0.25">
      <c r="A8314" t="s">
        <v>10927</v>
      </c>
      <c r="B8314" t="s">
        <v>1651</v>
      </c>
      <c r="C8314" t="s">
        <v>1652</v>
      </c>
      <c r="D8314" t="str">
        <f>HYPERLINK("http://service.sap.com/sap/support/notes/1769191","1769191")</f>
        <v>1769191</v>
      </c>
      <c r="E8314">
        <v>9</v>
      </c>
      <c r="F8314" t="s">
        <v>9642</v>
      </c>
    </row>
    <row r="8315" spans="1:6" x14ac:dyDescent="0.25">
      <c r="A8315" t="s">
        <v>10927</v>
      </c>
      <c r="B8315" t="s">
        <v>1654</v>
      </c>
      <c r="C8315" t="s">
        <v>1655</v>
      </c>
      <c r="D8315" t="str">
        <f>HYPERLINK("http://service.sap.com/sap/support/notes/1777710","1777710")</f>
        <v>1777710</v>
      </c>
      <c r="E8315">
        <v>2</v>
      </c>
      <c r="F8315" t="s">
        <v>9643</v>
      </c>
    </row>
    <row r="8316" spans="1:6" x14ac:dyDescent="0.25">
      <c r="A8316" t="s">
        <v>10927</v>
      </c>
      <c r="B8316" t="s">
        <v>1657</v>
      </c>
      <c r="C8316" t="s">
        <v>1658</v>
      </c>
      <c r="D8316" t="str">
        <f>HYPERLINK("http://service.sap.com/sap/support/notes/1659754","1659754")</f>
        <v>1659754</v>
      </c>
      <c r="E8316">
        <v>3</v>
      </c>
      <c r="F8316" t="s">
        <v>9644</v>
      </c>
    </row>
    <row r="8317" spans="1:6" x14ac:dyDescent="0.25">
      <c r="A8317" t="s">
        <v>10927</v>
      </c>
      <c r="B8317" t="s">
        <v>1657</v>
      </c>
      <c r="C8317" t="s">
        <v>1658</v>
      </c>
      <c r="D8317" t="str">
        <f>HYPERLINK("http://service.sap.com/sap/support/notes/1846379","1846379")</f>
        <v>1846379</v>
      </c>
      <c r="E8317">
        <v>1</v>
      </c>
      <c r="F8317" t="s">
        <v>9645</v>
      </c>
    </row>
    <row r="8318" spans="1:6" x14ac:dyDescent="0.25">
      <c r="A8318" t="s">
        <v>10927</v>
      </c>
      <c r="B8318" t="s">
        <v>1657</v>
      </c>
      <c r="C8318" t="s">
        <v>1658</v>
      </c>
      <c r="D8318" t="str">
        <f>HYPERLINK("http://service.sap.com/sap/support/notes/1847072","1847072")</f>
        <v>1847072</v>
      </c>
      <c r="E8318">
        <v>1</v>
      </c>
      <c r="F8318" t="s">
        <v>9646</v>
      </c>
    </row>
    <row r="8319" spans="1:6" x14ac:dyDescent="0.25">
      <c r="A8319" t="s">
        <v>10927</v>
      </c>
      <c r="B8319" t="s">
        <v>9647</v>
      </c>
      <c r="C8319" t="s">
        <v>9648</v>
      </c>
      <c r="D8319" t="str">
        <f>HYPERLINK("http://service.sap.com/sap/support/notes/1152886","1152886")</f>
        <v>1152886</v>
      </c>
      <c r="E8319">
        <v>7</v>
      </c>
      <c r="F8319" t="s">
        <v>9649</v>
      </c>
    </row>
    <row r="8320" spans="1:6" x14ac:dyDescent="0.25">
      <c r="A8320" t="s">
        <v>10927</v>
      </c>
      <c r="B8320" t="s">
        <v>9647</v>
      </c>
      <c r="C8320" t="s">
        <v>9648</v>
      </c>
      <c r="D8320" t="str">
        <f>HYPERLINK("http://service.sap.com/sap/support/notes/1789278","1789278")</f>
        <v>1789278</v>
      </c>
      <c r="E8320">
        <v>2</v>
      </c>
      <c r="F8320" t="s">
        <v>9650</v>
      </c>
    </row>
    <row r="8321" spans="1:6" x14ac:dyDescent="0.25">
      <c r="A8321" t="s">
        <v>10927</v>
      </c>
      <c r="B8321" t="s">
        <v>9647</v>
      </c>
      <c r="C8321" t="s">
        <v>9648</v>
      </c>
      <c r="D8321" t="str">
        <f>HYPERLINK("http://service.sap.com/sap/support/notes/1844625","1844625")</f>
        <v>1844625</v>
      </c>
      <c r="E8321">
        <v>4</v>
      </c>
      <c r="F8321" t="s">
        <v>9651</v>
      </c>
    </row>
    <row r="8322" spans="1:6" x14ac:dyDescent="0.25">
      <c r="A8322" t="s">
        <v>10927</v>
      </c>
      <c r="B8322" t="s">
        <v>1660</v>
      </c>
      <c r="C8322" t="s">
        <v>210</v>
      </c>
    </row>
    <row r="8323" spans="1:6" x14ac:dyDescent="0.25">
      <c r="A8323" t="s">
        <v>10927</v>
      </c>
      <c r="B8323" t="s">
        <v>1661</v>
      </c>
      <c r="C8323" t="s">
        <v>5050</v>
      </c>
      <c r="D8323" t="str">
        <f>HYPERLINK("http://service.sap.com/sap/support/notes/1848558","1848558")</f>
        <v>1848558</v>
      </c>
      <c r="E8323">
        <v>1</v>
      </c>
      <c r="F8323" t="s">
        <v>9652</v>
      </c>
    </row>
    <row r="8324" spans="1:6" x14ac:dyDescent="0.25">
      <c r="A8324" t="s">
        <v>10927</v>
      </c>
      <c r="B8324" t="s">
        <v>1661</v>
      </c>
      <c r="C8324" t="s">
        <v>5050</v>
      </c>
      <c r="D8324" t="str">
        <f>HYPERLINK("http://service.sap.com/sap/support/notes/1859492","1859492")</f>
        <v>1859492</v>
      </c>
      <c r="E8324">
        <v>1</v>
      </c>
      <c r="F8324" t="s">
        <v>9653</v>
      </c>
    </row>
    <row r="8325" spans="1:6" x14ac:dyDescent="0.25">
      <c r="A8325" t="s">
        <v>10927</v>
      </c>
      <c r="B8325" t="s">
        <v>1666</v>
      </c>
      <c r="C8325" t="s">
        <v>9654</v>
      </c>
      <c r="D8325" t="str">
        <f>HYPERLINK("http://service.sap.com/sap/support/notes/1822545","1822545")</f>
        <v>1822545</v>
      </c>
      <c r="E8325">
        <v>3</v>
      </c>
      <c r="F8325" t="s">
        <v>9655</v>
      </c>
    </row>
    <row r="8326" spans="1:6" x14ac:dyDescent="0.25">
      <c r="A8326" t="s">
        <v>10927</v>
      </c>
      <c r="B8326" t="s">
        <v>1672</v>
      </c>
      <c r="C8326" t="s">
        <v>1673</v>
      </c>
      <c r="D8326" t="str">
        <f>HYPERLINK("http://service.sap.com/sap/support/notes/1840358","1840358")</f>
        <v>1840358</v>
      </c>
      <c r="E8326">
        <v>2</v>
      </c>
      <c r="F8326" t="s">
        <v>9656</v>
      </c>
    </row>
    <row r="8327" spans="1:6" x14ac:dyDescent="0.25">
      <c r="A8327" t="s">
        <v>10927</v>
      </c>
      <c r="B8327" t="s">
        <v>1672</v>
      </c>
      <c r="C8327" t="s">
        <v>1673</v>
      </c>
      <c r="D8327" t="str">
        <f>HYPERLINK("http://service.sap.com/sap/support/notes/1858866","1858866")</f>
        <v>1858866</v>
      </c>
      <c r="E8327">
        <v>2</v>
      </c>
      <c r="F8327" t="s">
        <v>9657</v>
      </c>
    </row>
    <row r="8328" spans="1:6" x14ac:dyDescent="0.25">
      <c r="A8328" t="s">
        <v>10927</v>
      </c>
      <c r="B8328" t="s">
        <v>1682</v>
      </c>
      <c r="C8328" t="s">
        <v>1683</v>
      </c>
      <c r="D8328" t="str">
        <f>HYPERLINK("http://service.sap.com/sap/support/notes/1804593","1804593")</f>
        <v>1804593</v>
      </c>
      <c r="E8328">
        <v>4</v>
      </c>
      <c r="F8328" t="s">
        <v>9658</v>
      </c>
    </row>
    <row r="8329" spans="1:6" x14ac:dyDescent="0.25">
      <c r="A8329" t="s">
        <v>10927</v>
      </c>
      <c r="B8329" t="s">
        <v>1682</v>
      </c>
      <c r="C8329" t="s">
        <v>1683</v>
      </c>
      <c r="D8329" t="str">
        <f>HYPERLINK("http://service.sap.com/sap/support/notes/1818728","1818728")</f>
        <v>1818728</v>
      </c>
      <c r="E8329">
        <v>1</v>
      </c>
      <c r="F8329" t="s">
        <v>9659</v>
      </c>
    </row>
    <row r="8330" spans="1:6" x14ac:dyDescent="0.25">
      <c r="A8330" t="s">
        <v>10927</v>
      </c>
      <c r="B8330" t="s">
        <v>1682</v>
      </c>
      <c r="C8330" t="s">
        <v>1683</v>
      </c>
      <c r="D8330" t="str">
        <f>HYPERLINK("http://service.sap.com/sap/support/notes/1841463","1841463")</f>
        <v>1841463</v>
      </c>
      <c r="E8330">
        <v>5</v>
      </c>
      <c r="F8330" t="s">
        <v>9660</v>
      </c>
    </row>
    <row r="8331" spans="1:6" x14ac:dyDescent="0.25">
      <c r="A8331" t="s">
        <v>10927</v>
      </c>
      <c r="B8331" t="s">
        <v>1682</v>
      </c>
      <c r="C8331" t="s">
        <v>1683</v>
      </c>
      <c r="D8331" t="str">
        <f>HYPERLINK("http://service.sap.com/sap/support/notes/1847329","1847329")</f>
        <v>1847329</v>
      </c>
      <c r="E8331">
        <v>2</v>
      </c>
      <c r="F8331" t="s">
        <v>9661</v>
      </c>
    </row>
    <row r="8332" spans="1:6" x14ac:dyDescent="0.25">
      <c r="A8332" t="s">
        <v>10927</v>
      </c>
      <c r="B8332" t="s">
        <v>1682</v>
      </c>
      <c r="C8332" t="s">
        <v>1683</v>
      </c>
      <c r="D8332" t="str">
        <f>HYPERLINK("http://service.sap.com/sap/support/notes/1852619","1852619")</f>
        <v>1852619</v>
      </c>
      <c r="E8332">
        <v>5</v>
      </c>
      <c r="F8332" t="s">
        <v>9662</v>
      </c>
    </row>
    <row r="8333" spans="1:6" x14ac:dyDescent="0.25">
      <c r="A8333" t="s">
        <v>10927</v>
      </c>
      <c r="B8333" t="s">
        <v>1682</v>
      </c>
      <c r="C8333" t="s">
        <v>1683</v>
      </c>
      <c r="D8333" t="str">
        <f>HYPERLINK("http://service.sap.com/sap/support/notes/1853762","1853762")</f>
        <v>1853762</v>
      </c>
      <c r="E8333">
        <v>2</v>
      </c>
      <c r="F8333" t="s">
        <v>9663</v>
      </c>
    </row>
    <row r="8334" spans="1:6" x14ac:dyDescent="0.25">
      <c r="A8334" t="s">
        <v>10927</v>
      </c>
      <c r="B8334" t="s">
        <v>1694</v>
      </c>
      <c r="C8334" t="s">
        <v>212</v>
      </c>
      <c r="D8334" t="str">
        <f>HYPERLINK("http://service.sap.com/sap/support/notes/1838984","1838984")</f>
        <v>1838984</v>
      </c>
      <c r="E8334">
        <v>2</v>
      </c>
      <c r="F8334" t="s">
        <v>9664</v>
      </c>
    </row>
    <row r="8335" spans="1:6" x14ac:dyDescent="0.25">
      <c r="A8335" t="s">
        <v>10927</v>
      </c>
      <c r="B8335" t="s">
        <v>1694</v>
      </c>
      <c r="C8335" t="s">
        <v>212</v>
      </c>
      <c r="D8335" t="str">
        <f>HYPERLINK("http://service.sap.com/sap/support/notes/1857840","1857840")</f>
        <v>1857840</v>
      </c>
      <c r="E8335">
        <v>1</v>
      </c>
      <c r="F8335" t="s">
        <v>9665</v>
      </c>
    </row>
    <row r="8336" spans="1:6" x14ac:dyDescent="0.25">
      <c r="A8336" t="s">
        <v>10927</v>
      </c>
      <c r="B8336" t="s">
        <v>1695</v>
      </c>
      <c r="C8336" t="s">
        <v>1696</v>
      </c>
      <c r="D8336" t="str">
        <f>HYPERLINK("http://service.sap.com/sap/support/notes/1797648","1797648")</f>
        <v>1797648</v>
      </c>
      <c r="E8336">
        <v>1</v>
      </c>
      <c r="F8336" t="s">
        <v>9666</v>
      </c>
    </row>
    <row r="8337" spans="1:6" x14ac:dyDescent="0.25">
      <c r="A8337" t="s">
        <v>10927</v>
      </c>
      <c r="B8337" t="s">
        <v>1695</v>
      </c>
      <c r="C8337" t="s">
        <v>1696</v>
      </c>
      <c r="D8337" t="str">
        <f>HYPERLINK("http://service.sap.com/sap/support/notes/1806869","1806869")</f>
        <v>1806869</v>
      </c>
      <c r="E8337">
        <v>3</v>
      </c>
    </row>
    <row r="8338" spans="1:6" x14ac:dyDescent="0.25">
      <c r="A8338" t="s">
        <v>10927</v>
      </c>
      <c r="B8338" t="s">
        <v>1695</v>
      </c>
      <c r="C8338" t="s">
        <v>1696</v>
      </c>
      <c r="D8338" t="str">
        <f>HYPERLINK("http://service.sap.com/sap/support/notes/1818775","1818775")</f>
        <v>1818775</v>
      </c>
      <c r="E8338">
        <v>1</v>
      </c>
    </row>
    <row r="8339" spans="1:6" x14ac:dyDescent="0.25">
      <c r="A8339" t="s">
        <v>10927</v>
      </c>
      <c r="B8339" t="s">
        <v>1695</v>
      </c>
      <c r="C8339" t="s">
        <v>1696</v>
      </c>
      <c r="D8339" t="str">
        <f>HYPERLINK("http://service.sap.com/sap/support/notes/1832465","1832465")</f>
        <v>1832465</v>
      </c>
      <c r="E8339">
        <v>2</v>
      </c>
    </row>
    <row r="8340" spans="1:6" x14ac:dyDescent="0.25">
      <c r="A8340" t="s">
        <v>10927</v>
      </c>
      <c r="B8340" t="s">
        <v>1695</v>
      </c>
      <c r="C8340" t="s">
        <v>1696</v>
      </c>
      <c r="D8340" t="str">
        <f>HYPERLINK("http://service.sap.com/sap/support/notes/1841776","1841776")</f>
        <v>1841776</v>
      </c>
      <c r="E8340">
        <v>3</v>
      </c>
    </row>
    <row r="8341" spans="1:6" x14ac:dyDescent="0.25">
      <c r="A8341" t="s">
        <v>10927</v>
      </c>
      <c r="B8341" t="s">
        <v>1695</v>
      </c>
      <c r="C8341" t="s">
        <v>1696</v>
      </c>
      <c r="D8341" t="str">
        <f>HYPERLINK("http://service.sap.com/sap/support/notes/1852742","1852742")</f>
        <v>1852742</v>
      </c>
      <c r="E8341">
        <v>1</v>
      </c>
    </row>
    <row r="8342" spans="1:6" x14ac:dyDescent="0.25">
      <c r="A8342" t="s">
        <v>10927</v>
      </c>
      <c r="B8342" t="s">
        <v>1711</v>
      </c>
      <c r="C8342" t="s">
        <v>1712</v>
      </c>
      <c r="D8342" t="str">
        <f>HYPERLINK("http://service.sap.com/sap/support/notes/1808850","1808850")</f>
        <v>1808850</v>
      </c>
      <c r="E8342">
        <v>1</v>
      </c>
    </row>
    <row r="8343" spans="1:6" x14ac:dyDescent="0.25">
      <c r="A8343" t="s">
        <v>10927</v>
      </c>
      <c r="B8343" t="s">
        <v>1711</v>
      </c>
      <c r="C8343" t="s">
        <v>1712</v>
      </c>
      <c r="D8343" t="str">
        <f>HYPERLINK("http://service.sap.com/sap/support/notes/1821825","1821825")</f>
        <v>1821825</v>
      </c>
      <c r="E8343">
        <v>2</v>
      </c>
    </row>
    <row r="8344" spans="1:6" x14ac:dyDescent="0.25">
      <c r="A8344" t="s">
        <v>10927</v>
      </c>
      <c r="B8344" t="s">
        <v>1711</v>
      </c>
      <c r="C8344" t="s">
        <v>1712</v>
      </c>
      <c r="D8344" t="str">
        <f>HYPERLINK("http://service.sap.com/sap/support/notes/1853589","1853589")</f>
        <v>1853589</v>
      </c>
      <c r="E8344">
        <v>1</v>
      </c>
    </row>
    <row r="8345" spans="1:6" x14ac:dyDescent="0.25">
      <c r="A8345" t="s">
        <v>10927</v>
      </c>
      <c r="B8345" t="s">
        <v>1714</v>
      </c>
      <c r="C8345" t="s">
        <v>1715</v>
      </c>
      <c r="D8345" t="str">
        <f>HYPERLINK("http://service.sap.com/sap/support/notes/1815092","1815092")</f>
        <v>1815092</v>
      </c>
      <c r="E8345">
        <v>2</v>
      </c>
      <c r="F8345" t="s">
        <v>9667</v>
      </c>
    </row>
    <row r="8346" spans="1:6" x14ac:dyDescent="0.25">
      <c r="A8346" t="s">
        <v>10927</v>
      </c>
      <c r="B8346" t="s">
        <v>1714</v>
      </c>
      <c r="C8346" t="s">
        <v>1715</v>
      </c>
      <c r="D8346" t="str">
        <f>HYPERLINK("http://service.sap.com/sap/support/notes/1816559","1816559")</f>
        <v>1816559</v>
      </c>
      <c r="E8346">
        <v>2</v>
      </c>
      <c r="F8346" t="s">
        <v>9668</v>
      </c>
    </row>
    <row r="8347" spans="1:6" x14ac:dyDescent="0.25">
      <c r="A8347" t="s">
        <v>10927</v>
      </c>
      <c r="B8347" t="s">
        <v>1714</v>
      </c>
      <c r="C8347" t="s">
        <v>1715</v>
      </c>
      <c r="D8347" t="str">
        <f>HYPERLINK("http://service.sap.com/sap/support/notes/1823096","1823096")</f>
        <v>1823096</v>
      </c>
      <c r="E8347">
        <v>3</v>
      </c>
      <c r="F8347" t="s">
        <v>9669</v>
      </c>
    </row>
    <row r="8348" spans="1:6" x14ac:dyDescent="0.25">
      <c r="A8348" t="s">
        <v>10927</v>
      </c>
      <c r="B8348" t="s">
        <v>1720</v>
      </c>
      <c r="C8348" t="s">
        <v>1721</v>
      </c>
      <c r="D8348" t="str">
        <f>HYPERLINK("http://service.sap.com/sap/support/notes/1828875","1828875")</f>
        <v>1828875</v>
      </c>
      <c r="E8348">
        <v>1</v>
      </c>
      <c r="F8348" t="s">
        <v>9670</v>
      </c>
    </row>
    <row r="8349" spans="1:6" x14ac:dyDescent="0.25">
      <c r="A8349" t="s">
        <v>10927</v>
      </c>
      <c r="B8349" t="s">
        <v>1720</v>
      </c>
      <c r="C8349" t="s">
        <v>1721</v>
      </c>
      <c r="D8349" t="str">
        <f>HYPERLINK("http://service.sap.com/sap/support/notes/1831652","1831652")</f>
        <v>1831652</v>
      </c>
      <c r="E8349">
        <v>1</v>
      </c>
      <c r="F8349" t="s">
        <v>9671</v>
      </c>
    </row>
    <row r="8350" spans="1:6" x14ac:dyDescent="0.25">
      <c r="A8350" t="s">
        <v>10927</v>
      </c>
      <c r="B8350" t="s">
        <v>1720</v>
      </c>
      <c r="C8350" t="s">
        <v>1721</v>
      </c>
      <c r="D8350" t="str">
        <f>HYPERLINK("http://service.sap.com/sap/support/notes/1832827","1832827")</f>
        <v>1832827</v>
      </c>
      <c r="E8350">
        <v>1</v>
      </c>
      <c r="F8350" t="s">
        <v>9672</v>
      </c>
    </row>
    <row r="8351" spans="1:6" x14ac:dyDescent="0.25">
      <c r="A8351" t="s">
        <v>10927</v>
      </c>
      <c r="B8351" t="s">
        <v>1720</v>
      </c>
      <c r="C8351" t="s">
        <v>1721</v>
      </c>
      <c r="D8351" t="str">
        <f>HYPERLINK("http://service.sap.com/sap/support/notes/1834534","1834534")</f>
        <v>1834534</v>
      </c>
      <c r="E8351">
        <v>2</v>
      </c>
      <c r="F8351" t="s">
        <v>9673</v>
      </c>
    </row>
    <row r="8352" spans="1:6" x14ac:dyDescent="0.25">
      <c r="A8352" t="s">
        <v>10927</v>
      </c>
      <c r="B8352" t="s">
        <v>1720</v>
      </c>
      <c r="C8352" t="s">
        <v>1721</v>
      </c>
      <c r="D8352" t="str">
        <f>HYPERLINK("http://service.sap.com/sap/support/notes/1860838","1860838")</f>
        <v>1860838</v>
      </c>
      <c r="E8352">
        <v>1</v>
      </c>
      <c r="F8352" t="s">
        <v>9674</v>
      </c>
    </row>
    <row r="8353" spans="1:6" x14ac:dyDescent="0.25">
      <c r="A8353" t="s">
        <v>10927</v>
      </c>
      <c r="B8353" t="s">
        <v>1728</v>
      </c>
      <c r="C8353" t="s">
        <v>1729</v>
      </c>
      <c r="D8353" t="str">
        <f>HYPERLINK("http://service.sap.com/sap/support/notes/1842901","1842901")</f>
        <v>1842901</v>
      </c>
      <c r="E8353">
        <v>1</v>
      </c>
      <c r="F8353" t="s">
        <v>9675</v>
      </c>
    </row>
    <row r="8354" spans="1:6" x14ac:dyDescent="0.25">
      <c r="A8354" t="s">
        <v>10927</v>
      </c>
      <c r="B8354" t="s">
        <v>5076</v>
      </c>
      <c r="C8354" t="s">
        <v>5077</v>
      </c>
      <c r="D8354" t="str">
        <f>HYPERLINK("http://service.sap.com/sap/support/notes/1833151","1833151")</f>
        <v>1833151</v>
      </c>
      <c r="E8354">
        <v>2</v>
      </c>
      <c r="F8354" t="s">
        <v>9676</v>
      </c>
    </row>
    <row r="8355" spans="1:6" x14ac:dyDescent="0.25">
      <c r="A8355" t="s">
        <v>10927</v>
      </c>
      <c r="B8355" t="s">
        <v>5076</v>
      </c>
      <c r="C8355" t="s">
        <v>5077</v>
      </c>
      <c r="D8355" t="str">
        <f>HYPERLINK("http://service.sap.com/sap/support/notes/1833690","1833690")</f>
        <v>1833690</v>
      </c>
      <c r="E8355">
        <v>2</v>
      </c>
      <c r="F8355" t="s">
        <v>9677</v>
      </c>
    </row>
    <row r="8356" spans="1:6" x14ac:dyDescent="0.25">
      <c r="A8356" t="s">
        <v>10927</v>
      </c>
      <c r="B8356" t="s">
        <v>5076</v>
      </c>
      <c r="C8356" t="s">
        <v>5077</v>
      </c>
      <c r="D8356" t="str">
        <f>HYPERLINK("http://service.sap.com/sap/support/notes/1835097","1835097")</f>
        <v>1835097</v>
      </c>
      <c r="E8356">
        <v>3</v>
      </c>
      <c r="F8356" t="s">
        <v>9678</v>
      </c>
    </row>
    <row r="8357" spans="1:6" x14ac:dyDescent="0.25">
      <c r="A8357" t="s">
        <v>10927</v>
      </c>
      <c r="B8357" t="s">
        <v>1734</v>
      </c>
      <c r="C8357" t="s">
        <v>151</v>
      </c>
    </row>
    <row r="8358" spans="1:6" x14ac:dyDescent="0.25">
      <c r="A8358" t="s">
        <v>10927</v>
      </c>
      <c r="B8358" t="s">
        <v>5083</v>
      </c>
      <c r="C8358" t="s">
        <v>5084</v>
      </c>
      <c r="D8358" t="str">
        <f>HYPERLINK("http://service.sap.com/sap/support/notes/1816484","1816484")</f>
        <v>1816484</v>
      </c>
      <c r="E8358">
        <v>2</v>
      </c>
      <c r="F8358" t="s">
        <v>9679</v>
      </c>
    </row>
    <row r="8359" spans="1:6" x14ac:dyDescent="0.25">
      <c r="A8359" t="s">
        <v>10927</v>
      </c>
      <c r="B8359" t="s">
        <v>1742</v>
      </c>
      <c r="C8359" t="s">
        <v>1743</v>
      </c>
      <c r="D8359" t="str">
        <f>HYPERLINK("http://service.sap.com/sap/support/notes/1769921","1769921")</f>
        <v>1769921</v>
      </c>
      <c r="E8359">
        <v>2</v>
      </c>
      <c r="F8359" t="s">
        <v>9680</v>
      </c>
    </row>
    <row r="8360" spans="1:6" x14ac:dyDescent="0.25">
      <c r="A8360" t="s">
        <v>10927</v>
      </c>
      <c r="B8360" t="s">
        <v>1742</v>
      </c>
      <c r="C8360" t="s">
        <v>1743</v>
      </c>
      <c r="D8360" t="str">
        <f>HYPERLINK("http://service.sap.com/sap/support/notes/1832641","1832641")</f>
        <v>1832641</v>
      </c>
      <c r="E8360">
        <v>1</v>
      </c>
      <c r="F8360" t="s">
        <v>9681</v>
      </c>
    </row>
    <row r="8361" spans="1:6" x14ac:dyDescent="0.25">
      <c r="A8361" t="s">
        <v>10927</v>
      </c>
      <c r="B8361" t="s">
        <v>1742</v>
      </c>
      <c r="C8361" t="s">
        <v>1743</v>
      </c>
      <c r="D8361" t="str">
        <f>HYPERLINK("http://service.sap.com/sap/support/notes/1862532","1862532")</f>
        <v>1862532</v>
      </c>
      <c r="E8361">
        <v>1</v>
      </c>
      <c r="F8361" t="s">
        <v>9682</v>
      </c>
    </row>
    <row r="8362" spans="1:6" x14ac:dyDescent="0.25">
      <c r="A8362" t="s">
        <v>10927</v>
      </c>
      <c r="B8362" t="s">
        <v>1754</v>
      </c>
      <c r="C8362" t="s">
        <v>1755</v>
      </c>
      <c r="D8362" t="str">
        <f>HYPERLINK("http://service.sap.com/sap/support/notes/1776807","1776807")</f>
        <v>1776807</v>
      </c>
      <c r="E8362">
        <v>3</v>
      </c>
      <c r="F8362" t="s">
        <v>9683</v>
      </c>
    </row>
    <row r="8363" spans="1:6" x14ac:dyDescent="0.25">
      <c r="A8363" t="s">
        <v>10927</v>
      </c>
      <c r="B8363" t="s">
        <v>1754</v>
      </c>
      <c r="C8363" t="s">
        <v>1755</v>
      </c>
      <c r="D8363" t="str">
        <f>HYPERLINK("http://service.sap.com/sap/support/notes/1802951","1802951")</f>
        <v>1802951</v>
      </c>
      <c r="E8363">
        <v>1</v>
      </c>
      <c r="F8363" t="s">
        <v>9684</v>
      </c>
    </row>
    <row r="8364" spans="1:6" x14ac:dyDescent="0.25">
      <c r="A8364" t="s">
        <v>10927</v>
      </c>
      <c r="B8364" t="s">
        <v>1754</v>
      </c>
      <c r="C8364" t="s">
        <v>1755</v>
      </c>
      <c r="D8364" t="str">
        <f>HYPERLINK("http://service.sap.com/sap/support/notes/1831276","1831276")</f>
        <v>1831276</v>
      </c>
      <c r="E8364">
        <v>3</v>
      </c>
      <c r="F8364" t="s">
        <v>9685</v>
      </c>
    </row>
    <row r="8365" spans="1:6" x14ac:dyDescent="0.25">
      <c r="A8365" t="s">
        <v>10927</v>
      </c>
      <c r="B8365" t="s">
        <v>1754</v>
      </c>
      <c r="C8365" t="s">
        <v>1755</v>
      </c>
      <c r="D8365" t="str">
        <f>HYPERLINK("http://service.sap.com/sap/support/notes/1859406","1859406")</f>
        <v>1859406</v>
      </c>
      <c r="E8365">
        <v>1</v>
      </c>
      <c r="F8365" t="s">
        <v>9686</v>
      </c>
    </row>
    <row r="8366" spans="1:6" x14ac:dyDescent="0.25">
      <c r="A8366" t="s">
        <v>10927</v>
      </c>
      <c r="B8366" t="s">
        <v>1758</v>
      </c>
      <c r="C8366" t="s">
        <v>1759</v>
      </c>
      <c r="D8366" t="str">
        <f>HYPERLINK("http://service.sap.com/sap/support/notes/1854995","1854995")</f>
        <v>1854995</v>
      </c>
      <c r="E8366">
        <v>1</v>
      </c>
      <c r="F8366" t="s">
        <v>9687</v>
      </c>
    </row>
    <row r="8367" spans="1:6" x14ac:dyDescent="0.25">
      <c r="A8367" t="s">
        <v>10927</v>
      </c>
      <c r="B8367" t="s">
        <v>1774</v>
      </c>
      <c r="C8367" t="s">
        <v>1775</v>
      </c>
      <c r="D8367" t="str">
        <f>HYPERLINK("http://service.sap.com/sap/support/notes/1849864","1849864")</f>
        <v>1849864</v>
      </c>
      <c r="E8367">
        <v>2</v>
      </c>
      <c r="F8367" t="s">
        <v>9688</v>
      </c>
    </row>
    <row r="8368" spans="1:6" x14ac:dyDescent="0.25">
      <c r="A8368" t="s">
        <v>10927</v>
      </c>
      <c r="B8368" t="s">
        <v>1783</v>
      </c>
      <c r="C8368" t="s">
        <v>1784</v>
      </c>
      <c r="D8368" t="str">
        <f>HYPERLINK("http://service.sap.com/sap/support/notes/1791509","1791509")</f>
        <v>1791509</v>
      </c>
      <c r="E8368">
        <v>1</v>
      </c>
      <c r="F8368" t="s">
        <v>9689</v>
      </c>
    </row>
    <row r="8369" spans="1:6" x14ac:dyDescent="0.25">
      <c r="A8369" t="s">
        <v>10927</v>
      </c>
      <c r="B8369" t="s">
        <v>1789</v>
      </c>
      <c r="C8369" t="s">
        <v>1790</v>
      </c>
      <c r="D8369" t="str">
        <f>HYPERLINK("http://service.sap.com/sap/support/notes/1822492","1822492")</f>
        <v>1822492</v>
      </c>
      <c r="E8369">
        <v>2</v>
      </c>
      <c r="F8369" t="s">
        <v>9690</v>
      </c>
    </row>
    <row r="8370" spans="1:6" x14ac:dyDescent="0.25">
      <c r="A8370" t="s">
        <v>10927</v>
      </c>
      <c r="B8370" t="s">
        <v>1789</v>
      </c>
      <c r="C8370" t="s">
        <v>1790</v>
      </c>
      <c r="D8370" t="str">
        <f>HYPERLINK("http://service.sap.com/sap/support/notes/1856111","1856111")</f>
        <v>1856111</v>
      </c>
      <c r="E8370">
        <v>2</v>
      </c>
      <c r="F8370" t="s">
        <v>9691</v>
      </c>
    </row>
    <row r="8371" spans="1:6" x14ac:dyDescent="0.25">
      <c r="A8371" t="s">
        <v>10927</v>
      </c>
      <c r="B8371" t="s">
        <v>1789</v>
      </c>
      <c r="C8371" t="s">
        <v>1790</v>
      </c>
      <c r="D8371" t="str">
        <f>HYPERLINK("http://service.sap.com/sap/support/notes/1862195","1862195")</f>
        <v>1862195</v>
      </c>
      <c r="E8371">
        <v>2</v>
      </c>
      <c r="F8371" t="s">
        <v>9692</v>
      </c>
    </row>
    <row r="8372" spans="1:6" x14ac:dyDescent="0.25">
      <c r="A8372" t="s">
        <v>10927</v>
      </c>
      <c r="B8372" t="s">
        <v>1798</v>
      </c>
      <c r="C8372" t="s">
        <v>1799</v>
      </c>
      <c r="D8372" t="str">
        <f>HYPERLINK("http://service.sap.com/sap/support/notes/1828248","1828248")</f>
        <v>1828248</v>
      </c>
      <c r="E8372">
        <v>2</v>
      </c>
      <c r="F8372" t="s">
        <v>9693</v>
      </c>
    </row>
    <row r="8373" spans="1:6" x14ac:dyDescent="0.25">
      <c r="A8373" t="s">
        <v>10927</v>
      </c>
      <c r="B8373" t="s">
        <v>1798</v>
      </c>
      <c r="C8373" t="s">
        <v>1799</v>
      </c>
      <c r="D8373" t="str">
        <f>HYPERLINK("http://service.sap.com/sap/support/notes/1842390","1842390")</f>
        <v>1842390</v>
      </c>
      <c r="E8373">
        <v>2</v>
      </c>
      <c r="F8373" t="s">
        <v>9694</v>
      </c>
    </row>
    <row r="8374" spans="1:6" x14ac:dyDescent="0.25">
      <c r="A8374" t="s">
        <v>10927</v>
      </c>
      <c r="B8374" t="s">
        <v>1804</v>
      </c>
      <c r="C8374" t="s">
        <v>1805</v>
      </c>
      <c r="D8374" t="str">
        <f>HYPERLINK("http://service.sap.com/sap/support/notes/1818518","1818518")</f>
        <v>1818518</v>
      </c>
      <c r="E8374">
        <v>3</v>
      </c>
      <c r="F8374" t="s">
        <v>9695</v>
      </c>
    </row>
    <row r="8375" spans="1:6" x14ac:dyDescent="0.25">
      <c r="A8375" t="s">
        <v>10927</v>
      </c>
      <c r="B8375" t="s">
        <v>61</v>
      </c>
      <c r="C8375" t="s">
        <v>62</v>
      </c>
    </row>
    <row r="8376" spans="1:6" x14ac:dyDescent="0.25">
      <c r="A8376" t="s">
        <v>10927</v>
      </c>
      <c r="B8376" t="s">
        <v>1807</v>
      </c>
      <c r="C8376" t="s">
        <v>1808</v>
      </c>
      <c r="D8376" t="str">
        <f>HYPERLINK("http://service.sap.com/sap/support/notes/1819940","1819940")</f>
        <v>1819940</v>
      </c>
      <c r="E8376">
        <v>2</v>
      </c>
      <c r="F8376" t="s">
        <v>9696</v>
      </c>
    </row>
    <row r="8377" spans="1:6" x14ac:dyDescent="0.25">
      <c r="A8377" t="s">
        <v>10927</v>
      </c>
      <c r="B8377" t="s">
        <v>1807</v>
      </c>
      <c r="C8377" t="s">
        <v>1808</v>
      </c>
      <c r="D8377" t="str">
        <f>HYPERLINK("http://service.sap.com/sap/support/notes/1823731","1823731")</f>
        <v>1823731</v>
      </c>
      <c r="E8377">
        <v>3</v>
      </c>
      <c r="F8377" t="s">
        <v>9697</v>
      </c>
    </row>
    <row r="8378" spans="1:6" x14ac:dyDescent="0.25">
      <c r="A8378" t="s">
        <v>10927</v>
      </c>
      <c r="B8378" t="s">
        <v>1807</v>
      </c>
      <c r="C8378" t="s">
        <v>1808</v>
      </c>
      <c r="D8378" t="str">
        <f>HYPERLINK("http://service.sap.com/sap/support/notes/1826441","1826441")</f>
        <v>1826441</v>
      </c>
      <c r="E8378">
        <v>1</v>
      </c>
      <c r="F8378" t="s">
        <v>9698</v>
      </c>
    </row>
    <row r="8379" spans="1:6" x14ac:dyDescent="0.25">
      <c r="A8379" t="s">
        <v>10927</v>
      </c>
      <c r="B8379" t="s">
        <v>1807</v>
      </c>
      <c r="C8379" t="s">
        <v>1808</v>
      </c>
      <c r="D8379" t="str">
        <f>HYPERLINK("http://service.sap.com/sap/support/notes/1833377","1833377")</f>
        <v>1833377</v>
      </c>
      <c r="E8379">
        <v>2</v>
      </c>
      <c r="F8379" t="s">
        <v>9699</v>
      </c>
    </row>
    <row r="8380" spans="1:6" x14ac:dyDescent="0.25">
      <c r="A8380" t="s">
        <v>10927</v>
      </c>
      <c r="B8380" t="s">
        <v>1807</v>
      </c>
      <c r="C8380" t="s">
        <v>1808</v>
      </c>
      <c r="D8380" t="str">
        <f>HYPERLINK("http://service.sap.com/sap/support/notes/1836198","1836198")</f>
        <v>1836198</v>
      </c>
      <c r="E8380">
        <v>3</v>
      </c>
      <c r="F8380" t="s">
        <v>9700</v>
      </c>
    </row>
    <row r="8381" spans="1:6" x14ac:dyDescent="0.25">
      <c r="A8381" t="s">
        <v>10927</v>
      </c>
      <c r="B8381" t="s">
        <v>1807</v>
      </c>
      <c r="C8381" t="s">
        <v>1808</v>
      </c>
      <c r="D8381" t="str">
        <f>HYPERLINK("http://service.sap.com/sap/support/notes/1836301","1836301")</f>
        <v>1836301</v>
      </c>
      <c r="E8381">
        <v>1</v>
      </c>
      <c r="F8381" t="s">
        <v>9701</v>
      </c>
    </row>
    <row r="8382" spans="1:6" x14ac:dyDescent="0.25">
      <c r="A8382" t="s">
        <v>10927</v>
      </c>
      <c r="B8382" t="s">
        <v>1807</v>
      </c>
      <c r="C8382" t="s">
        <v>1808</v>
      </c>
      <c r="D8382" t="str">
        <f>HYPERLINK("http://service.sap.com/sap/support/notes/1836942","1836942")</f>
        <v>1836942</v>
      </c>
      <c r="E8382">
        <v>2</v>
      </c>
      <c r="F8382" t="s">
        <v>9702</v>
      </c>
    </row>
    <row r="8383" spans="1:6" x14ac:dyDescent="0.25">
      <c r="A8383" t="s">
        <v>10927</v>
      </c>
      <c r="B8383" t="s">
        <v>1807</v>
      </c>
      <c r="C8383" t="s">
        <v>1808</v>
      </c>
      <c r="D8383" t="str">
        <f>HYPERLINK("http://service.sap.com/sap/support/notes/1837224","1837224")</f>
        <v>1837224</v>
      </c>
      <c r="E8383">
        <v>1</v>
      </c>
      <c r="F8383" t="s">
        <v>9703</v>
      </c>
    </row>
    <row r="8384" spans="1:6" x14ac:dyDescent="0.25">
      <c r="A8384" t="s">
        <v>10927</v>
      </c>
      <c r="B8384" t="s">
        <v>1807</v>
      </c>
      <c r="C8384" t="s">
        <v>1808</v>
      </c>
      <c r="D8384" t="str">
        <f>HYPERLINK("http://service.sap.com/sap/support/notes/1837986","1837986")</f>
        <v>1837986</v>
      </c>
      <c r="E8384">
        <v>2</v>
      </c>
      <c r="F8384" t="s">
        <v>9704</v>
      </c>
    </row>
    <row r="8385" spans="1:6" x14ac:dyDescent="0.25">
      <c r="A8385" t="s">
        <v>10927</v>
      </c>
      <c r="B8385" t="s">
        <v>1807</v>
      </c>
      <c r="C8385" t="s">
        <v>1808</v>
      </c>
      <c r="D8385" t="str">
        <f>HYPERLINK("http://service.sap.com/sap/support/notes/1838598","1838598")</f>
        <v>1838598</v>
      </c>
      <c r="E8385">
        <v>2</v>
      </c>
      <c r="F8385" t="s">
        <v>9705</v>
      </c>
    </row>
    <row r="8386" spans="1:6" x14ac:dyDescent="0.25">
      <c r="A8386" t="s">
        <v>10927</v>
      </c>
      <c r="B8386" t="s">
        <v>1807</v>
      </c>
      <c r="C8386" t="s">
        <v>1808</v>
      </c>
      <c r="D8386" t="str">
        <f>HYPERLINK("http://service.sap.com/sap/support/notes/1839840","1839840")</f>
        <v>1839840</v>
      </c>
      <c r="E8386">
        <v>3</v>
      </c>
      <c r="F8386" t="s">
        <v>9706</v>
      </c>
    </row>
    <row r="8387" spans="1:6" x14ac:dyDescent="0.25">
      <c r="A8387" t="s">
        <v>10927</v>
      </c>
      <c r="B8387" t="s">
        <v>1807</v>
      </c>
      <c r="C8387" t="s">
        <v>1808</v>
      </c>
      <c r="D8387" t="str">
        <f>HYPERLINK("http://service.sap.com/sap/support/notes/1840068","1840068")</f>
        <v>1840068</v>
      </c>
      <c r="E8387">
        <v>2</v>
      </c>
      <c r="F8387" t="s">
        <v>9707</v>
      </c>
    </row>
    <row r="8388" spans="1:6" x14ac:dyDescent="0.25">
      <c r="A8388" t="s">
        <v>10927</v>
      </c>
      <c r="B8388" t="s">
        <v>1807</v>
      </c>
      <c r="C8388" t="s">
        <v>1808</v>
      </c>
      <c r="D8388" t="str">
        <f>HYPERLINK("http://service.sap.com/sap/support/notes/1840151","1840151")</f>
        <v>1840151</v>
      </c>
      <c r="E8388">
        <v>2</v>
      </c>
      <c r="F8388" t="s">
        <v>9708</v>
      </c>
    </row>
    <row r="8389" spans="1:6" x14ac:dyDescent="0.25">
      <c r="A8389" t="s">
        <v>10927</v>
      </c>
      <c r="B8389" t="s">
        <v>1807</v>
      </c>
      <c r="C8389" t="s">
        <v>1808</v>
      </c>
      <c r="D8389" t="str">
        <f>HYPERLINK("http://service.sap.com/sap/support/notes/1841140","1841140")</f>
        <v>1841140</v>
      </c>
      <c r="E8389">
        <v>2</v>
      </c>
      <c r="F8389" t="s">
        <v>9709</v>
      </c>
    </row>
    <row r="8390" spans="1:6" x14ac:dyDescent="0.25">
      <c r="A8390" t="s">
        <v>10927</v>
      </c>
      <c r="B8390" t="s">
        <v>1807</v>
      </c>
      <c r="C8390" t="s">
        <v>1808</v>
      </c>
      <c r="D8390" t="str">
        <f>HYPERLINK("http://service.sap.com/sap/support/notes/1841688","1841688")</f>
        <v>1841688</v>
      </c>
      <c r="E8390">
        <v>2</v>
      </c>
      <c r="F8390" t="s">
        <v>9710</v>
      </c>
    </row>
    <row r="8391" spans="1:6" x14ac:dyDescent="0.25">
      <c r="A8391" t="s">
        <v>10927</v>
      </c>
      <c r="B8391" t="s">
        <v>1807</v>
      </c>
      <c r="C8391" t="s">
        <v>1808</v>
      </c>
      <c r="D8391" t="str">
        <f>HYPERLINK("http://service.sap.com/sap/support/notes/1842306","1842306")</f>
        <v>1842306</v>
      </c>
      <c r="E8391">
        <v>2</v>
      </c>
      <c r="F8391" t="s">
        <v>9711</v>
      </c>
    </row>
    <row r="8392" spans="1:6" x14ac:dyDescent="0.25">
      <c r="A8392" t="s">
        <v>10927</v>
      </c>
      <c r="B8392" t="s">
        <v>1807</v>
      </c>
      <c r="C8392" t="s">
        <v>1808</v>
      </c>
      <c r="D8392" t="str">
        <f>HYPERLINK("http://service.sap.com/sap/support/notes/1842680","1842680")</f>
        <v>1842680</v>
      </c>
      <c r="E8392">
        <v>3</v>
      </c>
      <c r="F8392" t="s">
        <v>9712</v>
      </c>
    </row>
    <row r="8393" spans="1:6" x14ac:dyDescent="0.25">
      <c r="A8393" t="s">
        <v>10927</v>
      </c>
      <c r="B8393" t="s">
        <v>1807</v>
      </c>
      <c r="C8393" t="s">
        <v>1808</v>
      </c>
      <c r="D8393" t="str">
        <f>HYPERLINK("http://service.sap.com/sap/support/notes/1844266","1844266")</f>
        <v>1844266</v>
      </c>
      <c r="E8393">
        <v>2</v>
      </c>
      <c r="F8393" t="s">
        <v>9713</v>
      </c>
    </row>
    <row r="8394" spans="1:6" x14ac:dyDescent="0.25">
      <c r="A8394" t="s">
        <v>10927</v>
      </c>
      <c r="B8394" t="s">
        <v>1807</v>
      </c>
      <c r="C8394" t="s">
        <v>1808</v>
      </c>
      <c r="D8394" t="str">
        <f>HYPERLINK("http://service.sap.com/sap/support/notes/1845205","1845205")</f>
        <v>1845205</v>
      </c>
      <c r="E8394">
        <v>2</v>
      </c>
      <c r="F8394" t="s">
        <v>9714</v>
      </c>
    </row>
    <row r="8395" spans="1:6" x14ac:dyDescent="0.25">
      <c r="A8395" t="s">
        <v>10927</v>
      </c>
      <c r="B8395" t="s">
        <v>1807</v>
      </c>
      <c r="C8395" t="s">
        <v>1808</v>
      </c>
      <c r="D8395" t="str">
        <f>HYPERLINK("http://service.sap.com/sap/support/notes/1845605","1845605")</f>
        <v>1845605</v>
      </c>
      <c r="E8395">
        <v>3</v>
      </c>
      <c r="F8395" t="s">
        <v>9715</v>
      </c>
    </row>
    <row r="8396" spans="1:6" x14ac:dyDescent="0.25">
      <c r="A8396" t="s">
        <v>10927</v>
      </c>
      <c r="B8396" t="s">
        <v>1807</v>
      </c>
      <c r="C8396" t="s">
        <v>1808</v>
      </c>
      <c r="D8396" t="str">
        <f>HYPERLINK("http://service.sap.com/sap/support/notes/1849917","1849917")</f>
        <v>1849917</v>
      </c>
      <c r="E8396">
        <v>2</v>
      </c>
      <c r="F8396" t="s">
        <v>9716</v>
      </c>
    </row>
    <row r="8397" spans="1:6" x14ac:dyDescent="0.25">
      <c r="A8397" t="s">
        <v>10927</v>
      </c>
      <c r="B8397" t="s">
        <v>1807</v>
      </c>
      <c r="C8397" t="s">
        <v>1808</v>
      </c>
      <c r="D8397" t="str">
        <f>HYPERLINK("http://service.sap.com/sap/support/notes/1850664","1850664")</f>
        <v>1850664</v>
      </c>
      <c r="E8397">
        <v>1</v>
      </c>
      <c r="F8397" t="s">
        <v>9717</v>
      </c>
    </row>
    <row r="8398" spans="1:6" x14ac:dyDescent="0.25">
      <c r="A8398" t="s">
        <v>10927</v>
      </c>
      <c r="B8398" t="s">
        <v>1807</v>
      </c>
      <c r="C8398" t="s">
        <v>1808</v>
      </c>
      <c r="D8398" t="str">
        <f>HYPERLINK("http://service.sap.com/sap/support/notes/1851993","1851993")</f>
        <v>1851993</v>
      </c>
      <c r="E8398">
        <v>1</v>
      </c>
      <c r="F8398" t="s">
        <v>9718</v>
      </c>
    </row>
    <row r="8399" spans="1:6" x14ac:dyDescent="0.25">
      <c r="A8399" t="s">
        <v>10927</v>
      </c>
      <c r="B8399" t="s">
        <v>1807</v>
      </c>
      <c r="C8399" t="s">
        <v>1808</v>
      </c>
      <c r="D8399" t="str">
        <f>HYPERLINK("http://service.sap.com/sap/support/notes/1853176","1853176")</f>
        <v>1853176</v>
      </c>
      <c r="E8399">
        <v>2</v>
      </c>
      <c r="F8399" t="s">
        <v>9719</v>
      </c>
    </row>
    <row r="8400" spans="1:6" x14ac:dyDescent="0.25">
      <c r="A8400" t="s">
        <v>10927</v>
      </c>
      <c r="B8400" t="s">
        <v>1807</v>
      </c>
      <c r="C8400" t="s">
        <v>1808</v>
      </c>
      <c r="D8400" t="str">
        <f>HYPERLINK("http://service.sap.com/sap/support/notes/1855860","1855860")</f>
        <v>1855860</v>
      </c>
      <c r="E8400">
        <v>1</v>
      </c>
      <c r="F8400" t="s">
        <v>9720</v>
      </c>
    </row>
    <row r="8401" spans="1:6" x14ac:dyDescent="0.25">
      <c r="A8401" t="s">
        <v>10927</v>
      </c>
      <c r="B8401" t="s">
        <v>1807</v>
      </c>
      <c r="C8401" t="s">
        <v>1808</v>
      </c>
      <c r="D8401" t="str">
        <f>HYPERLINK("http://service.sap.com/sap/support/notes/1858780","1858780")</f>
        <v>1858780</v>
      </c>
      <c r="E8401">
        <v>1</v>
      </c>
      <c r="F8401" t="s">
        <v>9721</v>
      </c>
    </row>
    <row r="8402" spans="1:6" x14ac:dyDescent="0.25">
      <c r="A8402" t="s">
        <v>10927</v>
      </c>
      <c r="B8402" t="s">
        <v>1807</v>
      </c>
      <c r="C8402" t="s">
        <v>1808</v>
      </c>
      <c r="D8402" t="str">
        <f>HYPERLINK("http://service.sap.com/sap/support/notes/1860404","1860404")</f>
        <v>1860404</v>
      </c>
      <c r="E8402">
        <v>3</v>
      </c>
      <c r="F8402" t="s">
        <v>9722</v>
      </c>
    </row>
    <row r="8403" spans="1:6" x14ac:dyDescent="0.25">
      <c r="A8403" t="s">
        <v>10927</v>
      </c>
      <c r="B8403" t="s">
        <v>1807</v>
      </c>
      <c r="C8403" t="s">
        <v>1808</v>
      </c>
      <c r="D8403" t="str">
        <f>HYPERLINK("http://service.sap.com/sap/support/notes/1862641","1862641")</f>
        <v>1862641</v>
      </c>
      <c r="E8403">
        <v>2</v>
      </c>
      <c r="F8403" t="s">
        <v>9723</v>
      </c>
    </row>
    <row r="8404" spans="1:6" x14ac:dyDescent="0.25">
      <c r="A8404" t="s">
        <v>10927</v>
      </c>
      <c r="B8404" t="s">
        <v>1807</v>
      </c>
      <c r="C8404" t="s">
        <v>1808</v>
      </c>
      <c r="D8404" t="str">
        <f>HYPERLINK("http://service.sap.com/sap/support/notes/1863046","1863046")</f>
        <v>1863046</v>
      </c>
      <c r="E8404">
        <v>1</v>
      </c>
      <c r="F8404" t="s">
        <v>9724</v>
      </c>
    </row>
    <row r="8405" spans="1:6" x14ac:dyDescent="0.25">
      <c r="A8405" t="s">
        <v>10927</v>
      </c>
      <c r="B8405" t="s">
        <v>1807</v>
      </c>
      <c r="C8405" t="s">
        <v>1808</v>
      </c>
      <c r="D8405" t="str">
        <f>HYPERLINK("http://service.sap.com/sap/support/notes/1864114","1864114")</f>
        <v>1864114</v>
      </c>
      <c r="E8405">
        <v>1</v>
      </c>
      <c r="F8405" t="s">
        <v>9725</v>
      </c>
    </row>
    <row r="8406" spans="1:6" x14ac:dyDescent="0.25">
      <c r="A8406" t="s">
        <v>10927</v>
      </c>
      <c r="B8406" t="s">
        <v>1807</v>
      </c>
      <c r="C8406" t="s">
        <v>1808</v>
      </c>
      <c r="D8406" t="str">
        <f>HYPERLINK("http://service.sap.com/sap/support/notes/1865768","1865768")</f>
        <v>1865768</v>
      </c>
      <c r="E8406">
        <v>1</v>
      </c>
      <c r="F8406" t="s">
        <v>9726</v>
      </c>
    </row>
    <row r="8407" spans="1:6" x14ac:dyDescent="0.25">
      <c r="A8407" t="s">
        <v>10927</v>
      </c>
      <c r="B8407" t="s">
        <v>9727</v>
      </c>
      <c r="C8407" t="s">
        <v>9728</v>
      </c>
      <c r="D8407" t="str">
        <f>HYPERLINK("http://service.sap.com/sap/support/notes/1855455","1855455")</f>
        <v>1855455</v>
      </c>
      <c r="E8407">
        <v>1</v>
      </c>
      <c r="F8407" t="s">
        <v>9729</v>
      </c>
    </row>
    <row r="8408" spans="1:6" x14ac:dyDescent="0.25">
      <c r="A8408" t="s">
        <v>10927</v>
      </c>
      <c r="B8408" t="s">
        <v>1844</v>
      </c>
      <c r="C8408" t="s">
        <v>1845</v>
      </c>
      <c r="D8408" t="str">
        <f>HYPERLINK("http://service.sap.com/sap/support/notes/1837776","1837776")</f>
        <v>1837776</v>
      </c>
      <c r="E8408">
        <v>1</v>
      </c>
      <c r="F8408" t="s">
        <v>9730</v>
      </c>
    </row>
    <row r="8409" spans="1:6" x14ac:dyDescent="0.25">
      <c r="A8409" t="s">
        <v>10927</v>
      </c>
      <c r="B8409" t="s">
        <v>1844</v>
      </c>
      <c r="C8409" t="s">
        <v>1845</v>
      </c>
      <c r="D8409" t="str">
        <f>HYPERLINK("http://service.sap.com/sap/support/notes/1838392","1838392")</f>
        <v>1838392</v>
      </c>
      <c r="E8409">
        <v>1</v>
      </c>
      <c r="F8409" t="s">
        <v>9731</v>
      </c>
    </row>
    <row r="8410" spans="1:6" x14ac:dyDescent="0.25">
      <c r="A8410" t="s">
        <v>10927</v>
      </c>
      <c r="B8410" t="s">
        <v>1844</v>
      </c>
      <c r="C8410" t="s">
        <v>1845</v>
      </c>
      <c r="D8410" t="str">
        <f>HYPERLINK("http://service.sap.com/sap/support/notes/1840996","1840996")</f>
        <v>1840996</v>
      </c>
      <c r="E8410">
        <v>2</v>
      </c>
      <c r="F8410" t="s">
        <v>9732</v>
      </c>
    </row>
    <row r="8411" spans="1:6" x14ac:dyDescent="0.25">
      <c r="A8411" t="s">
        <v>10927</v>
      </c>
      <c r="B8411" t="s">
        <v>1856</v>
      </c>
      <c r="C8411" t="s">
        <v>1857</v>
      </c>
      <c r="D8411" t="str">
        <f>HYPERLINK("http://service.sap.com/sap/support/notes/939731","939731")</f>
        <v>939731</v>
      </c>
      <c r="E8411">
        <v>3</v>
      </c>
      <c r="F8411" t="s">
        <v>9733</v>
      </c>
    </row>
    <row r="8412" spans="1:6" x14ac:dyDescent="0.25">
      <c r="A8412" t="s">
        <v>10927</v>
      </c>
      <c r="B8412" t="s">
        <v>1860</v>
      </c>
      <c r="C8412" t="s">
        <v>1861</v>
      </c>
      <c r="D8412" t="str">
        <f>HYPERLINK("http://service.sap.com/sap/support/notes/1780677","1780677")</f>
        <v>1780677</v>
      </c>
      <c r="E8412">
        <v>4</v>
      </c>
      <c r="F8412" t="s">
        <v>9734</v>
      </c>
    </row>
    <row r="8413" spans="1:6" x14ac:dyDescent="0.25">
      <c r="A8413" t="s">
        <v>10927</v>
      </c>
      <c r="B8413" t="s">
        <v>1860</v>
      </c>
      <c r="C8413" t="s">
        <v>1861</v>
      </c>
      <c r="D8413" t="str">
        <f>HYPERLINK("http://service.sap.com/sap/support/notes/1817411","1817411")</f>
        <v>1817411</v>
      </c>
      <c r="E8413">
        <v>2</v>
      </c>
      <c r="F8413" t="s">
        <v>7516</v>
      </c>
    </row>
    <row r="8414" spans="1:6" x14ac:dyDescent="0.25">
      <c r="A8414" t="s">
        <v>10927</v>
      </c>
      <c r="B8414" t="s">
        <v>1860</v>
      </c>
      <c r="C8414" t="s">
        <v>1861</v>
      </c>
      <c r="D8414" t="str">
        <f>HYPERLINK("http://service.sap.com/sap/support/notes/1820741","1820741")</f>
        <v>1820741</v>
      </c>
      <c r="E8414">
        <v>3</v>
      </c>
      <c r="F8414" t="s">
        <v>9735</v>
      </c>
    </row>
    <row r="8415" spans="1:6" x14ac:dyDescent="0.25">
      <c r="A8415" t="s">
        <v>10927</v>
      </c>
      <c r="B8415" t="s">
        <v>1860</v>
      </c>
      <c r="C8415" t="s">
        <v>1861</v>
      </c>
      <c r="D8415" t="str">
        <f>HYPERLINK("http://service.sap.com/sap/support/notes/1821801","1821801")</f>
        <v>1821801</v>
      </c>
      <c r="E8415">
        <v>4</v>
      </c>
      <c r="F8415" t="s">
        <v>9736</v>
      </c>
    </row>
    <row r="8416" spans="1:6" x14ac:dyDescent="0.25">
      <c r="A8416" t="s">
        <v>10927</v>
      </c>
      <c r="B8416" t="s">
        <v>1860</v>
      </c>
      <c r="C8416" t="s">
        <v>1861</v>
      </c>
      <c r="D8416" t="str">
        <f>HYPERLINK("http://service.sap.com/sap/support/notes/1831412","1831412")</f>
        <v>1831412</v>
      </c>
      <c r="E8416">
        <v>1</v>
      </c>
      <c r="F8416" t="s">
        <v>9737</v>
      </c>
    </row>
    <row r="8417" spans="1:6" x14ac:dyDescent="0.25">
      <c r="A8417" t="s">
        <v>10927</v>
      </c>
      <c r="B8417" t="s">
        <v>1860</v>
      </c>
      <c r="C8417" t="s">
        <v>1861</v>
      </c>
      <c r="D8417" t="str">
        <f>HYPERLINK("http://service.sap.com/sap/support/notes/1833838","1833838")</f>
        <v>1833838</v>
      </c>
      <c r="E8417">
        <v>2</v>
      </c>
      <c r="F8417" t="s">
        <v>9738</v>
      </c>
    </row>
    <row r="8418" spans="1:6" x14ac:dyDescent="0.25">
      <c r="A8418" t="s">
        <v>10927</v>
      </c>
      <c r="B8418" t="s">
        <v>1860</v>
      </c>
      <c r="C8418" t="s">
        <v>1861</v>
      </c>
      <c r="D8418" t="str">
        <f>HYPERLINK("http://service.sap.com/sap/support/notes/1837582","1837582")</f>
        <v>1837582</v>
      </c>
      <c r="E8418">
        <v>3</v>
      </c>
      <c r="F8418" t="s">
        <v>9739</v>
      </c>
    </row>
    <row r="8419" spans="1:6" x14ac:dyDescent="0.25">
      <c r="A8419" t="s">
        <v>10927</v>
      </c>
      <c r="B8419" t="s">
        <v>1860</v>
      </c>
      <c r="C8419" t="s">
        <v>1861</v>
      </c>
      <c r="D8419" t="str">
        <f>HYPERLINK("http://service.sap.com/sap/support/notes/1842338","1842338")</f>
        <v>1842338</v>
      </c>
      <c r="E8419">
        <v>1</v>
      </c>
      <c r="F8419" t="s">
        <v>9740</v>
      </c>
    </row>
    <row r="8420" spans="1:6" x14ac:dyDescent="0.25">
      <c r="A8420" t="s">
        <v>10927</v>
      </c>
      <c r="B8420" t="s">
        <v>1860</v>
      </c>
      <c r="C8420" t="s">
        <v>1861</v>
      </c>
      <c r="D8420" t="str">
        <f>HYPERLINK("http://service.sap.com/sap/support/notes/1849808","1849808")</f>
        <v>1849808</v>
      </c>
      <c r="E8420">
        <v>1</v>
      </c>
      <c r="F8420" t="s">
        <v>9741</v>
      </c>
    </row>
    <row r="8421" spans="1:6" x14ac:dyDescent="0.25">
      <c r="A8421" t="s">
        <v>10927</v>
      </c>
      <c r="B8421" t="s">
        <v>1870</v>
      </c>
      <c r="C8421" t="s">
        <v>1871</v>
      </c>
      <c r="D8421" t="str">
        <f>HYPERLINK("http://service.sap.com/sap/support/notes/1840583","1840583")</f>
        <v>1840583</v>
      </c>
      <c r="E8421">
        <v>1</v>
      </c>
      <c r="F8421" t="s">
        <v>9742</v>
      </c>
    </row>
    <row r="8422" spans="1:6" x14ac:dyDescent="0.25">
      <c r="A8422" t="s">
        <v>10927</v>
      </c>
      <c r="B8422" t="s">
        <v>1870</v>
      </c>
      <c r="C8422" t="s">
        <v>1871</v>
      </c>
      <c r="D8422" t="str">
        <f>HYPERLINK("http://service.sap.com/sap/support/notes/1849548","1849548")</f>
        <v>1849548</v>
      </c>
      <c r="E8422">
        <v>1</v>
      </c>
      <c r="F8422" t="s">
        <v>9743</v>
      </c>
    </row>
    <row r="8423" spans="1:6" x14ac:dyDescent="0.25">
      <c r="A8423" t="s">
        <v>10927</v>
      </c>
      <c r="B8423" t="s">
        <v>1877</v>
      </c>
      <c r="C8423" t="s">
        <v>1878</v>
      </c>
      <c r="D8423" t="str">
        <f>HYPERLINK("http://service.sap.com/sap/support/notes/1832725","1832725")</f>
        <v>1832725</v>
      </c>
      <c r="E8423">
        <v>2</v>
      </c>
    </row>
    <row r="8424" spans="1:6" x14ac:dyDescent="0.25">
      <c r="A8424" t="s">
        <v>10927</v>
      </c>
      <c r="B8424" t="s">
        <v>1877</v>
      </c>
      <c r="C8424" t="s">
        <v>1878</v>
      </c>
      <c r="D8424" t="str">
        <f>HYPERLINK("http://service.sap.com/sap/support/notes/1833322","1833322")</f>
        <v>1833322</v>
      </c>
      <c r="E8424">
        <v>2</v>
      </c>
    </row>
    <row r="8425" spans="1:6" x14ac:dyDescent="0.25">
      <c r="A8425" t="s">
        <v>10927</v>
      </c>
      <c r="B8425" t="s">
        <v>1877</v>
      </c>
      <c r="C8425" t="s">
        <v>1878</v>
      </c>
      <c r="D8425" t="str">
        <f>HYPERLINK("http://service.sap.com/sap/support/notes/1839998","1839998")</f>
        <v>1839998</v>
      </c>
      <c r="E8425">
        <v>1</v>
      </c>
    </row>
    <row r="8426" spans="1:6" x14ac:dyDescent="0.25">
      <c r="A8426" t="s">
        <v>10927</v>
      </c>
      <c r="B8426" t="s">
        <v>1877</v>
      </c>
      <c r="C8426" t="s">
        <v>1878</v>
      </c>
      <c r="D8426" t="str">
        <f>HYPERLINK("http://service.sap.com/sap/support/notes/1844680","1844680")</f>
        <v>1844680</v>
      </c>
      <c r="E8426">
        <v>1</v>
      </c>
    </row>
    <row r="8427" spans="1:6" x14ac:dyDescent="0.25">
      <c r="A8427" t="s">
        <v>10927</v>
      </c>
      <c r="B8427" t="s">
        <v>1877</v>
      </c>
      <c r="C8427" t="s">
        <v>1878</v>
      </c>
      <c r="D8427" t="str">
        <f>HYPERLINK("http://service.sap.com/sap/support/notes/1849449","1849449")</f>
        <v>1849449</v>
      </c>
      <c r="E8427">
        <v>1</v>
      </c>
    </row>
    <row r="8428" spans="1:6" x14ac:dyDescent="0.25">
      <c r="A8428" t="s">
        <v>10927</v>
      </c>
      <c r="B8428" t="s">
        <v>1877</v>
      </c>
      <c r="C8428" t="s">
        <v>1878</v>
      </c>
      <c r="D8428" t="str">
        <f>HYPERLINK("http://service.sap.com/sap/support/notes/1850951","1850951")</f>
        <v>1850951</v>
      </c>
      <c r="E8428">
        <v>1</v>
      </c>
    </row>
    <row r="8429" spans="1:6" x14ac:dyDescent="0.25">
      <c r="A8429" t="s">
        <v>10927</v>
      </c>
      <c r="B8429" t="s">
        <v>1882</v>
      </c>
      <c r="C8429" t="s">
        <v>1883</v>
      </c>
    </row>
    <row r="8430" spans="1:6" x14ac:dyDescent="0.25">
      <c r="A8430" t="s">
        <v>10927</v>
      </c>
      <c r="B8430" t="s">
        <v>1887</v>
      </c>
      <c r="C8430" t="s">
        <v>1888</v>
      </c>
      <c r="D8430" t="str">
        <f>HYPERLINK("http://service.sap.com/sap/support/notes/1816719","1816719")</f>
        <v>1816719</v>
      </c>
      <c r="E8430">
        <v>4</v>
      </c>
      <c r="F8430" t="s">
        <v>9744</v>
      </c>
    </row>
    <row r="8431" spans="1:6" x14ac:dyDescent="0.25">
      <c r="A8431" t="s">
        <v>10927</v>
      </c>
      <c r="B8431" t="s">
        <v>1890</v>
      </c>
      <c r="C8431" t="s">
        <v>1712</v>
      </c>
      <c r="D8431" t="str">
        <f>HYPERLINK("http://service.sap.com/sap/support/notes/1829573","1829573")</f>
        <v>1829573</v>
      </c>
      <c r="E8431">
        <v>12</v>
      </c>
      <c r="F8431" t="s">
        <v>9745</v>
      </c>
    </row>
    <row r="8432" spans="1:6" x14ac:dyDescent="0.25">
      <c r="A8432" t="s">
        <v>10927</v>
      </c>
      <c r="B8432" t="s">
        <v>1897</v>
      </c>
      <c r="C8432" t="s">
        <v>1898</v>
      </c>
      <c r="D8432" t="str">
        <f>HYPERLINK("http://service.sap.com/sap/support/notes/1772392","1772392")</f>
        <v>1772392</v>
      </c>
      <c r="E8432">
        <v>5</v>
      </c>
      <c r="F8432" t="s">
        <v>9746</v>
      </c>
    </row>
    <row r="8433" spans="1:6" x14ac:dyDescent="0.25">
      <c r="A8433" t="s">
        <v>10927</v>
      </c>
      <c r="B8433" t="s">
        <v>1897</v>
      </c>
      <c r="C8433" t="s">
        <v>1898</v>
      </c>
      <c r="D8433" t="str">
        <f>HYPERLINK("http://service.sap.com/sap/support/notes/1825026","1825026")</f>
        <v>1825026</v>
      </c>
      <c r="E8433">
        <v>5</v>
      </c>
      <c r="F8433" t="s">
        <v>9747</v>
      </c>
    </row>
    <row r="8434" spans="1:6" x14ac:dyDescent="0.25">
      <c r="A8434" t="s">
        <v>10927</v>
      </c>
      <c r="B8434" t="s">
        <v>1900</v>
      </c>
      <c r="C8434" t="s">
        <v>1901</v>
      </c>
      <c r="D8434" t="str">
        <f>HYPERLINK("http://service.sap.com/sap/support/notes/1794272","1794272")</f>
        <v>1794272</v>
      </c>
      <c r="E8434">
        <v>6</v>
      </c>
      <c r="F8434" t="s">
        <v>9748</v>
      </c>
    </row>
    <row r="8435" spans="1:6" x14ac:dyDescent="0.25">
      <c r="A8435" t="s">
        <v>10927</v>
      </c>
      <c r="B8435" t="s">
        <v>1900</v>
      </c>
      <c r="C8435" t="s">
        <v>1901</v>
      </c>
      <c r="D8435" t="str">
        <f>HYPERLINK("http://service.sap.com/sap/support/notes/1835318","1835318")</f>
        <v>1835318</v>
      </c>
      <c r="E8435">
        <v>5</v>
      </c>
      <c r="F8435" t="s">
        <v>9749</v>
      </c>
    </row>
    <row r="8436" spans="1:6" x14ac:dyDescent="0.25">
      <c r="A8436" t="s">
        <v>10927</v>
      </c>
      <c r="B8436" t="s">
        <v>1900</v>
      </c>
      <c r="C8436" t="s">
        <v>1901</v>
      </c>
      <c r="D8436" t="str">
        <f>HYPERLINK("http://service.sap.com/sap/support/notes/1837733","1837733")</f>
        <v>1837733</v>
      </c>
      <c r="E8436">
        <v>2</v>
      </c>
      <c r="F8436" t="s">
        <v>9750</v>
      </c>
    </row>
    <row r="8437" spans="1:6" x14ac:dyDescent="0.25">
      <c r="A8437" t="s">
        <v>10927</v>
      </c>
      <c r="B8437" t="s">
        <v>1900</v>
      </c>
      <c r="C8437" t="s">
        <v>1901</v>
      </c>
      <c r="D8437" t="str">
        <f>HYPERLINK("http://service.sap.com/sap/support/notes/1842801","1842801")</f>
        <v>1842801</v>
      </c>
      <c r="E8437">
        <v>1</v>
      </c>
      <c r="F8437" t="s">
        <v>9751</v>
      </c>
    </row>
    <row r="8438" spans="1:6" x14ac:dyDescent="0.25">
      <c r="A8438" t="s">
        <v>10927</v>
      </c>
      <c r="B8438" t="s">
        <v>1900</v>
      </c>
      <c r="C8438" t="s">
        <v>1901</v>
      </c>
      <c r="D8438" t="str">
        <f>HYPERLINK("http://service.sap.com/sap/support/notes/1847298","1847298")</f>
        <v>1847298</v>
      </c>
      <c r="E8438">
        <v>2</v>
      </c>
      <c r="F8438" t="s">
        <v>9752</v>
      </c>
    </row>
    <row r="8439" spans="1:6" x14ac:dyDescent="0.25">
      <c r="A8439" t="s">
        <v>10927</v>
      </c>
      <c r="B8439" t="s">
        <v>1900</v>
      </c>
      <c r="C8439" t="s">
        <v>1901</v>
      </c>
      <c r="D8439" t="str">
        <f>HYPERLINK("http://service.sap.com/sap/support/notes/1849884","1849884")</f>
        <v>1849884</v>
      </c>
      <c r="E8439">
        <v>1</v>
      </c>
      <c r="F8439" t="s">
        <v>9753</v>
      </c>
    </row>
    <row r="8440" spans="1:6" x14ac:dyDescent="0.25">
      <c r="A8440" t="s">
        <v>10927</v>
      </c>
      <c r="B8440" t="s">
        <v>7544</v>
      </c>
      <c r="C8440" t="s">
        <v>7545</v>
      </c>
      <c r="D8440" t="str">
        <f>HYPERLINK("http://service.sap.com/sap/support/notes/1782823","1782823")</f>
        <v>1782823</v>
      </c>
      <c r="E8440">
        <v>5</v>
      </c>
      <c r="F8440" t="s">
        <v>9754</v>
      </c>
    </row>
    <row r="8441" spans="1:6" x14ac:dyDescent="0.25">
      <c r="A8441" t="s">
        <v>10927</v>
      </c>
      <c r="B8441" t="s">
        <v>7544</v>
      </c>
      <c r="C8441" t="s">
        <v>7545</v>
      </c>
      <c r="D8441" t="str">
        <f>HYPERLINK("http://service.sap.com/sap/support/notes/1836148","1836148")</f>
        <v>1836148</v>
      </c>
      <c r="E8441">
        <v>1</v>
      </c>
      <c r="F8441" t="s">
        <v>9755</v>
      </c>
    </row>
    <row r="8442" spans="1:6" x14ac:dyDescent="0.25">
      <c r="A8442" t="s">
        <v>10927</v>
      </c>
      <c r="B8442" t="s">
        <v>7544</v>
      </c>
      <c r="C8442" t="s">
        <v>7545</v>
      </c>
      <c r="D8442" t="str">
        <f>HYPERLINK("http://service.sap.com/sap/support/notes/1836764","1836764")</f>
        <v>1836764</v>
      </c>
      <c r="E8442">
        <v>4</v>
      </c>
      <c r="F8442" t="s">
        <v>9756</v>
      </c>
    </row>
    <row r="8443" spans="1:6" x14ac:dyDescent="0.25">
      <c r="A8443" t="s">
        <v>10927</v>
      </c>
      <c r="B8443" t="s">
        <v>7544</v>
      </c>
      <c r="C8443" t="s">
        <v>7545</v>
      </c>
      <c r="D8443" t="str">
        <f>HYPERLINK("http://service.sap.com/sap/support/notes/1841473","1841473")</f>
        <v>1841473</v>
      </c>
      <c r="E8443">
        <v>2</v>
      </c>
      <c r="F8443" t="s">
        <v>9757</v>
      </c>
    </row>
    <row r="8444" spans="1:6" x14ac:dyDescent="0.25">
      <c r="A8444" t="s">
        <v>10927</v>
      </c>
      <c r="B8444" t="s">
        <v>7547</v>
      </c>
      <c r="C8444" t="s">
        <v>7548</v>
      </c>
      <c r="D8444" t="str">
        <f>HYPERLINK("http://service.sap.com/sap/support/notes/1827624","1827624")</f>
        <v>1827624</v>
      </c>
      <c r="E8444">
        <v>2</v>
      </c>
      <c r="F8444" t="s">
        <v>9758</v>
      </c>
    </row>
    <row r="8445" spans="1:6" x14ac:dyDescent="0.25">
      <c r="A8445" t="s">
        <v>10927</v>
      </c>
      <c r="B8445" t="s">
        <v>9759</v>
      </c>
      <c r="C8445" t="s">
        <v>9760</v>
      </c>
      <c r="D8445" t="str">
        <f>HYPERLINK("http://service.sap.com/sap/support/notes/1817562","1817562")</f>
        <v>1817562</v>
      </c>
      <c r="E8445">
        <v>3</v>
      </c>
      <c r="F8445" t="s">
        <v>9761</v>
      </c>
    </row>
    <row r="8446" spans="1:6" x14ac:dyDescent="0.25">
      <c r="A8446" t="s">
        <v>10927</v>
      </c>
      <c r="B8446" t="s">
        <v>5198</v>
      </c>
      <c r="C8446" t="s">
        <v>5199</v>
      </c>
      <c r="D8446" t="str">
        <f>HYPERLINK("http://service.sap.com/sap/support/notes/1834239","1834239")</f>
        <v>1834239</v>
      </c>
      <c r="E8446">
        <v>2</v>
      </c>
      <c r="F8446" t="s">
        <v>9762</v>
      </c>
    </row>
    <row r="8447" spans="1:6" x14ac:dyDescent="0.25">
      <c r="A8447" t="s">
        <v>10927</v>
      </c>
      <c r="B8447" t="s">
        <v>5198</v>
      </c>
      <c r="C8447" t="s">
        <v>5199</v>
      </c>
      <c r="D8447" t="str">
        <f>HYPERLINK("http://service.sap.com/sap/support/notes/1838381","1838381")</f>
        <v>1838381</v>
      </c>
      <c r="E8447">
        <v>2</v>
      </c>
      <c r="F8447" t="s">
        <v>9763</v>
      </c>
    </row>
    <row r="8448" spans="1:6" x14ac:dyDescent="0.25">
      <c r="A8448" t="s">
        <v>10927</v>
      </c>
      <c r="B8448" t="s">
        <v>1913</v>
      </c>
      <c r="C8448" t="s">
        <v>1914</v>
      </c>
      <c r="D8448" t="str">
        <f>HYPERLINK("http://service.sap.com/sap/support/notes/1173827","1173827")</f>
        <v>1173827</v>
      </c>
      <c r="E8448">
        <v>3</v>
      </c>
      <c r="F8448" t="s">
        <v>9764</v>
      </c>
    </row>
    <row r="8449" spans="1:6" x14ac:dyDescent="0.25">
      <c r="A8449" t="s">
        <v>10927</v>
      </c>
      <c r="B8449" t="s">
        <v>1922</v>
      </c>
      <c r="C8449" t="s">
        <v>1923</v>
      </c>
    </row>
    <row r="8450" spans="1:6" x14ac:dyDescent="0.25">
      <c r="A8450" t="s">
        <v>10927</v>
      </c>
      <c r="B8450" t="s">
        <v>1924</v>
      </c>
      <c r="C8450" t="s">
        <v>1925</v>
      </c>
      <c r="D8450" t="str">
        <f>HYPERLINK("http://service.sap.com/sap/support/notes/1854952","1854952")</f>
        <v>1854952</v>
      </c>
      <c r="E8450">
        <v>1</v>
      </c>
      <c r="F8450" t="s">
        <v>9765</v>
      </c>
    </row>
    <row r="8451" spans="1:6" x14ac:dyDescent="0.25">
      <c r="A8451" t="s">
        <v>10927</v>
      </c>
      <c r="B8451" t="s">
        <v>1928</v>
      </c>
      <c r="C8451" t="s">
        <v>1929</v>
      </c>
    </row>
    <row r="8452" spans="1:6" x14ac:dyDescent="0.25">
      <c r="A8452" t="s">
        <v>10927</v>
      </c>
      <c r="B8452" t="s">
        <v>9766</v>
      </c>
      <c r="C8452" t="s">
        <v>9767</v>
      </c>
      <c r="D8452" t="str">
        <f>HYPERLINK("http://service.sap.com/sap/support/notes/1857203","1857203")</f>
        <v>1857203</v>
      </c>
      <c r="E8452">
        <v>1</v>
      </c>
      <c r="F8452" t="s">
        <v>9768</v>
      </c>
    </row>
    <row r="8453" spans="1:6" x14ac:dyDescent="0.25">
      <c r="A8453" t="s">
        <v>10927</v>
      </c>
      <c r="B8453" t="s">
        <v>9769</v>
      </c>
      <c r="C8453" t="s">
        <v>9770</v>
      </c>
      <c r="D8453" t="str">
        <f>HYPERLINK("http://service.sap.com/sap/support/notes/1847630","1847630")</f>
        <v>1847630</v>
      </c>
      <c r="E8453">
        <v>3</v>
      </c>
      <c r="F8453" t="s">
        <v>9771</v>
      </c>
    </row>
    <row r="8454" spans="1:6" x14ac:dyDescent="0.25">
      <c r="A8454" t="s">
        <v>10927</v>
      </c>
      <c r="B8454" t="s">
        <v>1933</v>
      </c>
      <c r="C8454" t="s">
        <v>5213</v>
      </c>
      <c r="D8454" t="str">
        <f>HYPERLINK("http://service.sap.com/sap/support/notes/1830827","1830827")</f>
        <v>1830827</v>
      </c>
      <c r="E8454">
        <v>3</v>
      </c>
      <c r="F8454" t="s">
        <v>9772</v>
      </c>
    </row>
    <row r="8455" spans="1:6" x14ac:dyDescent="0.25">
      <c r="A8455" t="s">
        <v>10927</v>
      </c>
      <c r="B8455" t="s">
        <v>1933</v>
      </c>
      <c r="C8455" t="s">
        <v>5213</v>
      </c>
      <c r="D8455" t="str">
        <f>HYPERLINK("http://service.sap.com/sap/support/notes/1845027","1845027")</f>
        <v>1845027</v>
      </c>
      <c r="E8455">
        <v>3</v>
      </c>
      <c r="F8455" t="s">
        <v>9773</v>
      </c>
    </row>
    <row r="8456" spans="1:6" x14ac:dyDescent="0.25">
      <c r="A8456" t="s">
        <v>10927</v>
      </c>
      <c r="B8456" t="s">
        <v>1933</v>
      </c>
      <c r="C8456" t="s">
        <v>5213</v>
      </c>
      <c r="D8456" t="str">
        <f>HYPERLINK("http://service.sap.com/sap/support/notes/1845520","1845520")</f>
        <v>1845520</v>
      </c>
      <c r="E8456">
        <v>2</v>
      </c>
      <c r="F8456" t="s">
        <v>9774</v>
      </c>
    </row>
    <row r="8457" spans="1:6" x14ac:dyDescent="0.25">
      <c r="A8457" t="s">
        <v>10927</v>
      </c>
      <c r="B8457" t="s">
        <v>1933</v>
      </c>
      <c r="C8457" t="s">
        <v>5213</v>
      </c>
      <c r="D8457" t="str">
        <f>HYPERLINK("http://service.sap.com/sap/support/notes/1850105","1850105")</f>
        <v>1850105</v>
      </c>
      <c r="E8457">
        <v>2</v>
      </c>
      <c r="F8457" t="s">
        <v>9775</v>
      </c>
    </row>
    <row r="8458" spans="1:6" x14ac:dyDescent="0.25">
      <c r="A8458" t="s">
        <v>10927</v>
      </c>
      <c r="B8458" t="s">
        <v>1933</v>
      </c>
      <c r="C8458" t="s">
        <v>5213</v>
      </c>
      <c r="D8458" t="str">
        <f>HYPERLINK("http://service.sap.com/sap/support/notes/1851136","1851136")</f>
        <v>1851136</v>
      </c>
      <c r="E8458">
        <v>1</v>
      </c>
      <c r="F8458" t="s">
        <v>9776</v>
      </c>
    </row>
    <row r="8459" spans="1:6" x14ac:dyDescent="0.25">
      <c r="A8459" t="s">
        <v>10927</v>
      </c>
      <c r="B8459" t="s">
        <v>1935</v>
      </c>
      <c r="C8459" t="s">
        <v>1936</v>
      </c>
      <c r="D8459" t="str">
        <f>HYPERLINK("http://service.sap.com/sap/support/notes/1848591","1848591")</f>
        <v>1848591</v>
      </c>
      <c r="E8459">
        <v>1</v>
      </c>
      <c r="F8459" t="s">
        <v>9777</v>
      </c>
    </row>
    <row r="8460" spans="1:6" x14ac:dyDescent="0.25">
      <c r="A8460" t="s">
        <v>10927</v>
      </c>
      <c r="B8460" t="s">
        <v>1939</v>
      </c>
      <c r="C8460" t="s">
        <v>29</v>
      </c>
    </row>
    <row r="8461" spans="1:6" x14ac:dyDescent="0.25">
      <c r="A8461" t="s">
        <v>10927</v>
      </c>
      <c r="B8461" t="s">
        <v>1940</v>
      </c>
      <c r="C8461" t="s">
        <v>1941</v>
      </c>
      <c r="D8461" t="str">
        <f>HYPERLINK("http://service.sap.com/sap/support/notes/1838875","1838875")</f>
        <v>1838875</v>
      </c>
      <c r="E8461">
        <v>2</v>
      </c>
    </row>
    <row r="8462" spans="1:6" x14ac:dyDescent="0.25">
      <c r="A8462" t="s">
        <v>10927</v>
      </c>
      <c r="B8462" t="s">
        <v>1945</v>
      </c>
      <c r="C8462" t="s">
        <v>1946</v>
      </c>
      <c r="D8462" t="str">
        <f>HYPERLINK("http://service.sap.com/sap/support/notes/1815749","1815749")</f>
        <v>1815749</v>
      </c>
      <c r="E8462">
        <v>2</v>
      </c>
      <c r="F8462" t="s">
        <v>9778</v>
      </c>
    </row>
    <row r="8463" spans="1:6" x14ac:dyDescent="0.25">
      <c r="A8463" t="s">
        <v>10927</v>
      </c>
      <c r="B8463" t="s">
        <v>1945</v>
      </c>
      <c r="C8463" t="s">
        <v>1946</v>
      </c>
      <c r="D8463" t="str">
        <f>HYPERLINK("http://service.sap.com/sap/support/notes/1823930","1823930")</f>
        <v>1823930</v>
      </c>
      <c r="E8463">
        <v>5</v>
      </c>
      <c r="F8463" t="s">
        <v>9779</v>
      </c>
    </row>
    <row r="8464" spans="1:6" x14ac:dyDescent="0.25">
      <c r="A8464" t="s">
        <v>10927</v>
      </c>
      <c r="B8464" t="s">
        <v>1945</v>
      </c>
      <c r="C8464" t="s">
        <v>1946</v>
      </c>
      <c r="D8464" t="str">
        <f>HYPERLINK("http://service.sap.com/sap/support/notes/1859246","1859246")</f>
        <v>1859246</v>
      </c>
      <c r="E8464">
        <v>1</v>
      </c>
      <c r="F8464" t="s">
        <v>9780</v>
      </c>
    </row>
    <row r="8465" spans="1:6" x14ac:dyDescent="0.25">
      <c r="A8465" t="s">
        <v>10927</v>
      </c>
      <c r="B8465" t="s">
        <v>1948</v>
      </c>
      <c r="C8465" t="s">
        <v>1949</v>
      </c>
    </row>
    <row r="8466" spans="1:6" x14ac:dyDescent="0.25">
      <c r="A8466" t="s">
        <v>10927</v>
      </c>
      <c r="B8466" t="s">
        <v>1955</v>
      </c>
      <c r="C8466" t="s">
        <v>1956</v>
      </c>
    </row>
    <row r="8467" spans="1:6" x14ac:dyDescent="0.25">
      <c r="A8467" t="s">
        <v>10927</v>
      </c>
      <c r="B8467" t="s">
        <v>1957</v>
      </c>
      <c r="C8467" t="s">
        <v>1696</v>
      </c>
      <c r="D8467" t="str">
        <f>HYPERLINK("http://service.sap.com/sap/support/notes/1856701","1856701")</f>
        <v>1856701</v>
      </c>
      <c r="E8467">
        <v>2</v>
      </c>
      <c r="F8467" t="s">
        <v>9781</v>
      </c>
    </row>
    <row r="8468" spans="1:6" x14ac:dyDescent="0.25">
      <c r="A8468" t="s">
        <v>10927</v>
      </c>
      <c r="B8468" t="s">
        <v>1966</v>
      </c>
      <c r="C8468" t="s">
        <v>1638</v>
      </c>
      <c r="D8468" t="str">
        <f>HYPERLINK("http://service.sap.com/sap/support/notes/1800501","1800501")</f>
        <v>1800501</v>
      </c>
      <c r="E8468">
        <v>8</v>
      </c>
      <c r="F8468" t="s">
        <v>9782</v>
      </c>
    </row>
    <row r="8469" spans="1:6" x14ac:dyDescent="0.25">
      <c r="A8469" t="s">
        <v>10927</v>
      </c>
      <c r="B8469" t="s">
        <v>1966</v>
      </c>
      <c r="C8469" t="s">
        <v>1638</v>
      </c>
      <c r="D8469" t="str">
        <f>HYPERLINK("http://service.sap.com/sap/support/notes/1861717","1861717")</f>
        <v>1861717</v>
      </c>
      <c r="E8469">
        <v>1</v>
      </c>
      <c r="F8469" t="s">
        <v>9783</v>
      </c>
    </row>
    <row r="8470" spans="1:6" x14ac:dyDescent="0.25">
      <c r="A8470" t="s">
        <v>10927</v>
      </c>
      <c r="B8470" t="s">
        <v>1969</v>
      </c>
      <c r="C8470" t="s">
        <v>1878</v>
      </c>
      <c r="D8470" t="str">
        <f>HYPERLINK("http://service.sap.com/sap/support/notes/1831303","1831303")</f>
        <v>1831303</v>
      </c>
      <c r="E8470">
        <v>1</v>
      </c>
      <c r="F8470" t="s">
        <v>9784</v>
      </c>
    </row>
    <row r="8471" spans="1:6" x14ac:dyDescent="0.25">
      <c r="A8471" t="s">
        <v>10927</v>
      </c>
      <c r="B8471" t="s">
        <v>1969</v>
      </c>
      <c r="C8471" t="s">
        <v>1878</v>
      </c>
      <c r="D8471" t="str">
        <f>HYPERLINK("http://service.sap.com/sap/support/notes/1838413","1838413")</f>
        <v>1838413</v>
      </c>
      <c r="E8471">
        <v>1</v>
      </c>
      <c r="F8471" t="s">
        <v>9785</v>
      </c>
    </row>
    <row r="8472" spans="1:6" x14ac:dyDescent="0.25">
      <c r="A8472" t="s">
        <v>10927</v>
      </c>
      <c r="B8472" t="s">
        <v>1969</v>
      </c>
      <c r="C8472" t="s">
        <v>1878</v>
      </c>
      <c r="D8472" t="str">
        <f>HYPERLINK("http://service.sap.com/sap/support/notes/1838874","1838874")</f>
        <v>1838874</v>
      </c>
      <c r="E8472">
        <v>1</v>
      </c>
      <c r="F8472" t="s">
        <v>9786</v>
      </c>
    </row>
    <row r="8473" spans="1:6" x14ac:dyDescent="0.25">
      <c r="A8473" t="s">
        <v>10927</v>
      </c>
      <c r="B8473" t="s">
        <v>1969</v>
      </c>
      <c r="C8473" t="s">
        <v>1878</v>
      </c>
      <c r="D8473" t="str">
        <f>HYPERLINK("http://service.sap.com/sap/support/notes/1853158","1853158")</f>
        <v>1853158</v>
      </c>
      <c r="E8473">
        <v>1</v>
      </c>
      <c r="F8473" t="s">
        <v>9787</v>
      </c>
    </row>
    <row r="8474" spans="1:6" x14ac:dyDescent="0.25">
      <c r="A8474" t="s">
        <v>10927</v>
      </c>
      <c r="B8474" t="s">
        <v>1978</v>
      </c>
      <c r="C8474" t="s">
        <v>1979</v>
      </c>
      <c r="D8474" t="str">
        <f>HYPERLINK("http://service.sap.com/sap/support/notes/1835991","1835991")</f>
        <v>1835991</v>
      </c>
      <c r="E8474">
        <v>2</v>
      </c>
      <c r="F8474" t="s">
        <v>9788</v>
      </c>
    </row>
    <row r="8475" spans="1:6" x14ac:dyDescent="0.25">
      <c r="A8475" t="s">
        <v>10927</v>
      </c>
      <c r="B8475" t="s">
        <v>1978</v>
      </c>
      <c r="C8475" t="s">
        <v>1979</v>
      </c>
      <c r="D8475" t="str">
        <f>HYPERLINK("http://service.sap.com/sap/support/notes/1836595","1836595")</f>
        <v>1836595</v>
      </c>
      <c r="E8475">
        <v>1</v>
      </c>
      <c r="F8475" t="s">
        <v>9789</v>
      </c>
    </row>
    <row r="8476" spans="1:6" x14ac:dyDescent="0.25">
      <c r="A8476" t="s">
        <v>10927</v>
      </c>
      <c r="B8476" t="s">
        <v>1978</v>
      </c>
      <c r="C8476" t="s">
        <v>1979</v>
      </c>
      <c r="D8476" t="str">
        <f>HYPERLINK("http://service.sap.com/sap/support/notes/1856383","1856383")</f>
        <v>1856383</v>
      </c>
      <c r="E8476">
        <v>1</v>
      </c>
      <c r="F8476" t="s">
        <v>9790</v>
      </c>
    </row>
    <row r="8477" spans="1:6" x14ac:dyDescent="0.25">
      <c r="A8477" t="s">
        <v>10927</v>
      </c>
      <c r="B8477" t="s">
        <v>1978</v>
      </c>
      <c r="C8477" t="s">
        <v>1979</v>
      </c>
      <c r="D8477" t="str">
        <f>HYPERLINK("http://service.sap.com/sap/support/notes/1860252","1860252")</f>
        <v>1860252</v>
      </c>
      <c r="E8477">
        <v>1</v>
      </c>
      <c r="F8477" t="s">
        <v>9791</v>
      </c>
    </row>
    <row r="8478" spans="1:6" x14ac:dyDescent="0.25">
      <c r="A8478" t="s">
        <v>10927</v>
      </c>
      <c r="B8478" t="s">
        <v>5252</v>
      </c>
      <c r="C8478" t="s">
        <v>5253</v>
      </c>
      <c r="D8478" t="str">
        <f>HYPERLINK("http://service.sap.com/sap/support/notes/1854349","1854349")</f>
        <v>1854349</v>
      </c>
      <c r="E8478">
        <v>1</v>
      </c>
      <c r="F8478" t="s">
        <v>9792</v>
      </c>
    </row>
    <row r="8479" spans="1:6" x14ac:dyDescent="0.25">
      <c r="A8479" t="s">
        <v>10927</v>
      </c>
      <c r="B8479" t="s">
        <v>1994</v>
      </c>
      <c r="C8479" t="s">
        <v>1995</v>
      </c>
    </row>
    <row r="8480" spans="1:6" x14ac:dyDescent="0.25">
      <c r="A8480" t="s">
        <v>10927</v>
      </c>
      <c r="B8480" t="s">
        <v>1996</v>
      </c>
      <c r="C8480" t="s">
        <v>1997</v>
      </c>
      <c r="D8480" t="str">
        <f>HYPERLINK("http://service.sap.com/sap/support/notes/1084355","1084355")</f>
        <v>1084355</v>
      </c>
      <c r="E8480">
        <v>3</v>
      </c>
      <c r="F8480" t="s">
        <v>9793</v>
      </c>
    </row>
    <row r="8481" spans="1:6" x14ac:dyDescent="0.25">
      <c r="A8481" t="s">
        <v>10927</v>
      </c>
      <c r="B8481" t="s">
        <v>1996</v>
      </c>
      <c r="C8481" t="s">
        <v>1997</v>
      </c>
      <c r="D8481" t="str">
        <f>HYPERLINK("http://service.sap.com/sap/support/notes/1529095","1529095")</f>
        <v>1529095</v>
      </c>
      <c r="E8481">
        <v>3</v>
      </c>
      <c r="F8481" t="s">
        <v>9794</v>
      </c>
    </row>
    <row r="8482" spans="1:6" x14ac:dyDescent="0.25">
      <c r="A8482" t="s">
        <v>10927</v>
      </c>
      <c r="B8482" t="s">
        <v>1996</v>
      </c>
      <c r="C8482" t="s">
        <v>1997</v>
      </c>
      <c r="D8482" t="str">
        <f>HYPERLINK("http://service.sap.com/sap/support/notes/1685390","1685390")</f>
        <v>1685390</v>
      </c>
      <c r="E8482">
        <v>3</v>
      </c>
      <c r="F8482" t="s">
        <v>9795</v>
      </c>
    </row>
    <row r="8483" spans="1:6" x14ac:dyDescent="0.25">
      <c r="A8483" t="s">
        <v>10927</v>
      </c>
      <c r="B8483" t="s">
        <v>1996</v>
      </c>
      <c r="C8483" t="s">
        <v>1997</v>
      </c>
      <c r="D8483" t="str">
        <f>HYPERLINK("http://service.sap.com/sap/support/notes/1693908","1693908")</f>
        <v>1693908</v>
      </c>
      <c r="E8483">
        <v>5</v>
      </c>
      <c r="F8483" t="s">
        <v>9796</v>
      </c>
    </row>
    <row r="8484" spans="1:6" x14ac:dyDescent="0.25">
      <c r="A8484" t="s">
        <v>10927</v>
      </c>
      <c r="B8484" t="s">
        <v>1996</v>
      </c>
      <c r="C8484" t="s">
        <v>1997</v>
      </c>
      <c r="D8484" t="str">
        <f>HYPERLINK("http://service.sap.com/sap/support/notes/1697152","1697152")</f>
        <v>1697152</v>
      </c>
      <c r="E8484">
        <v>4</v>
      </c>
      <c r="F8484" t="s">
        <v>9797</v>
      </c>
    </row>
    <row r="8485" spans="1:6" x14ac:dyDescent="0.25">
      <c r="A8485" t="s">
        <v>10927</v>
      </c>
      <c r="B8485" t="s">
        <v>1996</v>
      </c>
      <c r="C8485" t="s">
        <v>1997</v>
      </c>
      <c r="D8485" t="str">
        <f>HYPERLINK("http://service.sap.com/sap/support/notes/1739263","1739263")</f>
        <v>1739263</v>
      </c>
      <c r="E8485">
        <v>3</v>
      </c>
      <c r="F8485" t="s">
        <v>9798</v>
      </c>
    </row>
    <row r="8486" spans="1:6" x14ac:dyDescent="0.25">
      <c r="A8486" t="s">
        <v>10927</v>
      </c>
      <c r="B8486" t="s">
        <v>1996</v>
      </c>
      <c r="C8486" t="s">
        <v>1997</v>
      </c>
      <c r="D8486" t="str">
        <f>HYPERLINK("http://service.sap.com/sap/support/notes/1789537","1789537")</f>
        <v>1789537</v>
      </c>
      <c r="E8486">
        <v>5</v>
      </c>
      <c r="F8486" t="s">
        <v>9799</v>
      </c>
    </row>
    <row r="8487" spans="1:6" x14ac:dyDescent="0.25">
      <c r="A8487" t="s">
        <v>10927</v>
      </c>
      <c r="B8487" t="s">
        <v>1996</v>
      </c>
      <c r="C8487" t="s">
        <v>1997</v>
      </c>
      <c r="D8487" t="str">
        <f>HYPERLINK("http://service.sap.com/sap/support/notes/1833895","1833895")</f>
        <v>1833895</v>
      </c>
      <c r="E8487">
        <v>2</v>
      </c>
      <c r="F8487" t="s">
        <v>9800</v>
      </c>
    </row>
    <row r="8488" spans="1:6" x14ac:dyDescent="0.25">
      <c r="A8488" t="s">
        <v>10927</v>
      </c>
      <c r="B8488" t="s">
        <v>1996</v>
      </c>
      <c r="C8488" t="s">
        <v>1997</v>
      </c>
      <c r="D8488" t="str">
        <f>HYPERLINK("http://service.sap.com/sap/support/notes/1837525","1837525")</f>
        <v>1837525</v>
      </c>
      <c r="E8488">
        <v>2</v>
      </c>
      <c r="F8488" t="s">
        <v>9801</v>
      </c>
    </row>
    <row r="8489" spans="1:6" x14ac:dyDescent="0.25">
      <c r="A8489" t="s">
        <v>10927</v>
      </c>
      <c r="B8489" t="s">
        <v>1996</v>
      </c>
      <c r="C8489" t="s">
        <v>1997</v>
      </c>
      <c r="D8489" t="str">
        <f>HYPERLINK("http://service.sap.com/sap/support/notes/1844570","1844570")</f>
        <v>1844570</v>
      </c>
      <c r="E8489">
        <v>3</v>
      </c>
      <c r="F8489" t="s">
        <v>9802</v>
      </c>
    </row>
    <row r="8490" spans="1:6" x14ac:dyDescent="0.25">
      <c r="A8490" t="s">
        <v>10927</v>
      </c>
      <c r="B8490" t="s">
        <v>2002</v>
      </c>
      <c r="C8490" t="s">
        <v>657</v>
      </c>
      <c r="D8490" t="str">
        <f>HYPERLINK("http://service.sap.com/sap/support/notes/1863530","1863530")</f>
        <v>1863530</v>
      </c>
      <c r="E8490">
        <v>1</v>
      </c>
      <c r="F8490" t="s">
        <v>9803</v>
      </c>
    </row>
    <row r="8491" spans="1:6" x14ac:dyDescent="0.25">
      <c r="A8491" t="s">
        <v>10927</v>
      </c>
      <c r="B8491" t="s">
        <v>2003</v>
      </c>
      <c r="C8491" t="s">
        <v>2004</v>
      </c>
      <c r="D8491" t="str">
        <f>HYPERLINK("http://service.sap.com/sap/support/notes/1831803","1831803")</f>
        <v>1831803</v>
      </c>
      <c r="E8491">
        <v>2</v>
      </c>
      <c r="F8491" t="s">
        <v>7602</v>
      </c>
    </row>
    <row r="8492" spans="1:6" x14ac:dyDescent="0.25">
      <c r="A8492" t="s">
        <v>10927</v>
      </c>
      <c r="B8492" t="s">
        <v>2003</v>
      </c>
      <c r="C8492" t="s">
        <v>2004</v>
      </c>
      <c r="D8492" t="str">
        <f>HYPERLINK("http://service.sap.com/sap/support/notes/1833187","1833187")</f>
        <v>1833187</v>
      </c>
      <c r="E8492">
        <v>4</v>
      </c>
      <c r="F8492" t="s">
        <v>9804</v>
      </c>
    </row>
    <row r="8493" spans="1:6" x14ac:dyDescent="0.25">
      <c r="A8493" t="s">
        <v>10927</v>
      </c>
      <c r="B8493" t="s">
        <v>2003</v>
      </c>
      <c r="C8493" t="s">
        <v>2004</v>
      </c>
      <c r="D8493" t="str">
        <f>HYPERLINK("http://service.sap.com/sap/support/notes/1833189","1833189")</f>
        <v>1833189</v>
      </c>
      <c r="E8493">
        <v>2</v>
      </c>
      <c r="F8493" t="s">
        <v>9805</v>
      </c>
    </row>
    <row r="8494" spans="1:6" x14ac:dyDescent="0.25">
      <c r="A8494" t="s">
        <v>10927</v>
      </c>
      <c r="B8494" t="s">
        <v>2003</v>
      </c>
      <c r="C8494" t="s">
        <v>2004</v>
      </c>
      <c r="D8494" t="str">
        <f>HYPERLINK("http://service.sap.com/sap/support/notes/1843263","1843263")</f>
        <v>1843263</v>
      </c>
      <c r="E8494">
        <v>2</v>
      </c>
      <c r="F8494" t="s">
        <v>9806</v>
      </c>
    </row>
    <row r="8495" spans="1:6" x14ac:dyDescent="0.25">
      <c r="A8495" t="s">
        <v>10927</v>
      </c>
      <c r="B8495" t="s">
        <v>2003</v>
      </c>
      <c r="C8495" t="s">
        <v>2004</v>
      </c>
      <c r="D8495" t="str">
        <f>HYPERLINK("http://service.sap.com/sap/support/notes/1843861","1843861")</f>
        <v>1843861</v>
      </c>
      <c r="E8495">
        <v>2</v>
      </c>
      <c r="F8495" t="s">
        <v>9807</v>
      </c>
    </row>
    <row r="8496" spans="1:6" x14ac:dyDescent="0.25">
      <c r="A8496" t="s">
        <v>10927</v>
      </c>
      <c r="B8496" t="s">
        <v>2003</v>
      </c>
      <c r="C8496" t="s">
        <v>2004</v>
      </c>
      <c r="D8496" t="str">
        <f>HYPERLINK("http://service.sap.com/sap/support/notes/1858908","1858908")</f>
        <v>1858908</v>
      </c>
      <c r="E8496">
        <v>1</v>
      </c>
      <c r="F8496" t="s">
        <v>9808</v>
      </c>
    </row>
    <row r="8497" spans="1:6" x14ac:dyDescent="0.25">
      <c r="A8497" t="s">
        <v>10927</v>
      </c>
      <c r="B8497" t="s">
        <v>2003</v>
      </c>
      <c r="C8497" t="s">
        <v>2004</v>
      </c>
      <c r="D8497" t="str">
        <f>HYPERLINK("http://service.sap.com/sap/support/notes/1861811","1861811")</f>
        <v>1861811</v>
      </c>
      <c r="E8497">
        <v>1</v>
      </c>
      <c r="F8497" t="s">
        <v>9809</v>
      </c>
    </row>
    <row r="8498" spans="1:6" x14ac:dyDescent="0.25">
      <c r="A8498" t="s">
        <v>10927</v>
      </c>
      <c r="B8498" t="s">
        <v>2011</v>
      </c>
      <c r="C8498" t="s">
        <v>2012</v>
      </c>
      <c r="D8498" t="str">
        <f>HYPERLINK("http://service.sap.com/sap/support/notes/1837601","1837601")</f>
        <v>1837601</v>
      </c>
      <c r="E8498">
        <v>4</v>
      </c>
      <c r="F8498" t="s">
        <v>9810</v>
      </c>
    </row>
    <row r="8499" spans="1:6" x14ac:dyDescent="0.25">
      <c r="A8499" t="s">
        <v>10927</v>
      </c>
      <c r="B8499" t="s">
        <v>2011</v>
      </c>
      <c r="C8499" t="s">
        <v>2012</v>
      </c>
      <c r="D8499" t="str">
        <f>HYPERLINK("http://service.sap.com/sap/support/notes/1841669","1841669")</f>
        <v>1841669</v>
      </c>
      <c r="E8499">
        <v>2</v>
      </c>
      <c r="F8499" t="s">
        <v>9811</v>
      </c>
    </row>
    <row r="8500" spans="1:6" x14ac:dyDescent="0.25">
      <c r="A8500" t="s">
        <v>10927</v>
      </c>
      <c r="B8500" t="s">
        <v>2011</v>
      </c>
      <c r="C8500" t="s">
        <v>2012</v>
      </c>
      <c r="D8500" t="str">
        <f>HYPERLINK("http://service.sap.com/sap/support/notes/1841689","1841689")</f>
        <v>1841689</v>
      </c>
      <c r="E8500">
        <v>2</v>
      </c>
      <c r="F8500" t="s">
        <v>9812</v>
      </c>
    </row>
    <row r="8501" spans="1:6" x14ac:dyDescent="0.25">
      <c r="A8501" t="s">
        <v>10927</v>
      </c>
      <c r="B8501" t="s">
        <v>2011</v>
      </c>
      <c r="C8501" t="s">
        <v>2012</v>
      </c>
      <c r="D8501" t="str">
        <f>HYPERLINK("http://service.sap.com/sap/support/notes/1846223","1846223")</f>
        <v>1846223</v>
      </c>
      <c r="E8501">
        <v>3</v>
      </c>
      <c r="F8501" t="s">
        <v>9813</v>
      </c>
    </row>
    <row r="8502" spans="1:6" x14ac:dyDescent="0.25">
      <c r="A8502" t="s">
        <v>10927</v>
      </c>
      <c r="B8502" t="s">
        <v>2011</v>
      </c>
      <c r="C8502" t="s">
        <v>2012</v>
      </c>
      <c r="D8502" t="str">
        <f>HYPERLINK("http://service.sap.com/sap/support/notes/1852466","1852466")</f>
        <v>1852466</v>
      </c>
      <c r="E8502">
        <v>1</v>
      </c>
      <c r="F8502" t="s">
        <v>9814</v>
      </c>
    </row>
    <row r="8503" spans="1:6" x14ac:dyDescent="0.25">
      <c r="A8503" t="s">
        <v>10927</v>
      </c>
      <c r="B8503" t="s">
        <v>2022</v>
      </c>
      <c r="C8503" t="s">
        <v>2023</v>
      </c>
      <c r="D8503" t="str">
        <f>HYPERLINK("http://service.sap.com/sap/support/notes/1819801","1819801")</f>
        <v>1819801</v>
      </c>
      <c r="E8503">
        <v>2</v>
      </c>
      <c r="F8503" t="s">
        <v>9815</v>
      </c>
    </row>
    <row r="8504" spans="1:6" x14ac:dyDescent="0.25">
      <c r="A8504" t="s">
        <v>10927</v>
      </c>
      <c r="B8504" t="s">
        <v>2022</v>
      </c>
      <c r="C8504" t="s">
        <v>2023</v>
      </c>
      <c r="D8504" t="str">
        <f>HYPERLINK("http://service.sap.com/sap/support/notes/1839729","1839729")</f>
        <v>1839729</v>
      </c>
      <c r="E8504">
        <v>2</v>
      </c>
      <c r="F8504" t="s">
        <v>9816</v>
      </c>
    </row>
    <row r="8505" spans="1:6" x14ac:dyDescent="0.25">
      <c r="A8505" t="s">
        <v>10927</v>
      </c>
      <c r="B8505" t="s">
        <v>2022</v>
      </c>
      <c r="C8505" t="s">
        <v>2023</v>
      </c>
      <c r="D8505" t="str">
        <f>HYPERLINK("http://service.sap.com/sap/support/notes/1859509","1859509")</f>
        <v>1859509</v>
      </c>
      <c r="E8505">
        <v>2</v>
      </c>
      <c r="F8505" t="s">
        <v>9817</v>
      </c>
    </row>
    <row r="8506" spans="1:6" x14ac:dyDescent="0.25">
      <c r="A8506" t="s">
        <v>10927</v>
      </c>
      <c r="B8506" t="s">
        <v>5272</v>
      </c>
      <c r="C8506" t="s">
        <v>5273</v>
      </c>
      <c r="D8506" t="str">
        <f>HYPERLINK("http://service.sap.com/sap/support/notes/1835088","1835088")</f>
        <v>1835088</v>
      </c>
      <c r="E8506">
        <v>1</v>
      </c>
      <c r="F8506" t="s">
        <v>9818</v>
      </c>
    </row>
    <row r="8507" spans="1:6" x14ac:dyDescent="0.25">
      <c r="A8507" t="s">
        <v>10927</v>
      </c>
      <c r="B8507" t="s">
        <v>2031</v>
      </c>
      <c r="C8507" t="s">
        <v>2032</v>
      </c>
      <c r="D8507" t="str">
        <f>HYPERLINK("http://service.sap.com/sap/support/notes/1795517","1795517")</f>
        <v>1795517</v>
      </c>
      <c r="E8507">
        <v>3</v>
      </c>
      <c r="F8507" t="s">
        <v>9819</v>
      </c>
    </row>
    <row r="8508" spans="1:6" x14ac:dyDescent="0.25">
      <c r="A8508" t="s">
        <v>10927</v>
      </c>
      <c r="B8508" t="s">
        <v>2031</v>
      </c>
      <c r="C8508" t="s">
        <v>2032</v>
      </c>
      <c r="D8508" t="str">
        <f>HYPERLINK("http://service.sap.com/sap/support/notes/1838780","1838780")</f>
        <v>1838780</v>
      </c>
      <c r="E8508">
        <v>3</v>
      </c>
      <c r="F8508" t="s">
        <v>9820</v>
      </c>
    </row>
    <row r="8509" spans="1:6" x14ac:dyDescent="0.25">
      <c r="A8509" t="s">
        <v>10927</v>
      </c>
      <c r="B8509" t="s">
        <v>2031</v>
      </c>
      <c r="C8509" t="s">
        <v>2032</v>
      </c>
      <c r="D8509" t="str">
        <f>HYPERLINK("http://service.sap.com/sap/support/notes/1851662","1851662")</f>
        <v>1851662</v>
      </c>
      <c r="E8509">
        <v>1</v>
      </c>
      <c r="F8509" t="s">
        <v>9821</v>
      </c>
    </row>
    <row r="8510" spans="1:6" x14ac:dyDescent="0.25">
      <c r="A8510" t="s">
        <v>10927</v>
      </c>
      <c r="B8510" t="s">
        <v>2031</v>
      </c>
      <c r="C8510" t="s">
        <v>2032</v>
      </c>
      <c r="D8510" t="str">
        <f>HYPERLINK("http://service.sap.com/sap/support/notes/1855604","1855604")</f>
        <v>1855604</v>
      </c>
      <c r="E8510">
        <v>2</v>
      </c>
    </row>
    <row r="8511" spans="1:6" x14ac:dyDescent="0.25">
      <c r="A8511" t="s">
        <v>10927</v>
      </c>
      <c r="B8511" t="s">
        <v>2034</v>
      </c>
      <c r="C8511" t="s">
        <v>2035</v>
      </c>
      <c r="D8511" t="str">
        <f>HYPERLINK("http://service.sap.com/sap/support/notes/1833320","1833320")</f>
        <v>1833320</v>
      </c>
      <c r="E8511">
        <v>1</v>
      </c>
      <c r="F8511" t="s">
        <v>7636</v>
      </c>
    </row>
    <row r="8512" spans="1:6" x14ac:dyDescent="0.25">
      <c r="A8512" t="s">
        <v>10927</v>
      </c>
      <c r="B8512" t="s">
        <v>2034</v>
      </c>
      <c r="C8512" t="s">
        <v>2035</v>
      </c>
      <c r="D8512" t="str">
        <f>HYPERLINK("http://service.sap.com/sap/support/notes/1836787","1836787")</f>
        <v>1836787</v>
      </c>
      <c r="E8512">
        <v>4</v>
      </c>
      <c r="F8512" t="s">
        <v>9822</v>
      </c>
    </row>
    <row r="8513" spans="1:6" x14ac:dyDescent="0.25">
      <c r="A8513" t="s">
        <v>10927</v>
      </c>
      <c r="B8513" t="s">
        <v>2034</v>
      </c>
      <c r="C8513" t="s">
        <v>2035</v>
      </c>
      <c r="D8513" t="str">
        <f>HYPERLINK("http://service.sap.com/sap/support/notes/1837054","1837054")</f>
        <v>1837054</v>
      </c>
      <c r="E8513">
        <v>2</v>
      </c>
      <c r="F8513" t="s">
        <v>9823</v>
      </c>
    </row>
    <row r="8514" spans="1:6" x14ac:dyDescent="0.25">
      <c r="A8514" t="s">
        <v>10927</v>
      </c>
      <c r="B8514" t="s">
        <v>2034</v>
      </c>
      <c r="C8514" t="s">
        <v>2035</v>
      </c>
      <c r="D8514" t="str">
        <f>HYPERLINK("http://service.sap.com/sap/support/notes/1842199","1842199")</f>
        <v>1842199</v>
      </c>
      <c r="E8514">
        <v>3</v>
      </c>
      <c r="F8514" t="s">
        <v>9824</v>
      </c>
    </row>
    <row r="8515" spans="1:6" x14ac:dyDescent="0.25">
      <c r="A8515" t="s">
        <v>10927</v>
      </c>
      <c r="B8515" t="s">
        <v>2034</v>
      </c>
      <c r="C8515" t="s">
        <v>2035</v>
      </c>
      <c r="D8515" t="str">
        <f>HYPERLINK("http://service.sap.com/sap/support/notes/1849745","1849745")</f>
        <v>1849745</v>
      </c>
      <c r="E8515">
        <v>2</v>
      </c>
      <c r="F8515" t="s">
        <v>9825</v>
      </c>
    </row>
    <row r="8516" spans="1:6" x14ac:dyDescent="0.25">
      <c r="A8516" t="s">
        <v>10927</v>
      </c>
      <c r="B8516" t="s">
        <v>2034</v>
      </c>
      <c r="C8516" t="s">
        <v>2035</v>
      </c>
      <c r="D8516" t="str">
        <f>HYPERLINK("http://service.sap.com/sap/support/notes/1856847","1856847")</f>
        <v>1856847</v>
      </c>
      <c r="E8516">
        <v>1</v>
      </c>
      <c r="F8516" t="s">
        <v>9826</v>
      </c>
    </row>
    <row r="8517" spans="1:6" x14ac:dyDescent="0.25">
      <c r="A8517" t="s">
        <v>10927</v>
      </c>
      <c r="B8517" t="s">
        <v>2034</v>
      </c>
      <c r="C8517" t="s">
        <v>2035</v>
      </c>
      <c r="D8517" t="str">
        <f>HYPERLINK("http://service.sap.com/sap/support/notes/1859983","1859983")</f>
        <v>1859983</v>
      </c>
      <c r="E8517">
        <v>1</v>
      </c>
      <c r="F8517" t="s">
        <v>9827</v>
      </c>
    </row>
    <row r="8518" spans="1:6" x14ac:dyDescent="0.25">
      <c r="A8518" t="s">
        <v>10927</v>
      </c>
      <c r="B8518" t="s">
        <v>2034</v>
      </c>
      <c r="C8518" t="s">
        <v>2035</v>
      </c>
      <c r="D8518" t="str">
        <f>HYPERLINK("http://service.sap.com/sap/support/notes/1860999","1860999")</f>
        <v>1860999</v>
      </c>
      <c r="E8518">
        <v>1</v>
      </c>
      <c r="F8518" t="s">
        <v>9828</v>
      </c>
    </row>
    <row r="8519" spans="1:6" x14ac:dyDescent="0.25">
      <c r="A8519" t="s">
        <v>10927</v>
      </c>
      <c r="B8519" t="s">
        <v>2034</v>
      </c>
      <c r="C8519" t="s">
        <v>2035</v>
      </c>
      <c r="D8519" t="str">
        <f>HYPERLINK("http://service.sap.com/sap/support/notes/1861416","1861416")</f>
        <v>1861416</v>
      </c>
      <c r="E8519">
        <v>1</v>
      </c>
      <c r="F8519" t="s">
        <v>9829</v>
      </c>
    </row>
    <row r="8520" spans="1:6" x14ac:dyDescent="0.25">
      <c r="A8520" t="s">
        <v>10927</v>
      </c>
      <c r="B8520" t="s">
        <v>2034</v>
      </c>
      <c r="C8520" t="s">
        <v>2035</v>
      </c>
      <c r="D8520" t="str">
        <f>HYPERLINK("http://service.sap.com/sap/support/notes/1861540","1861540")</f>
        <v>1861540</v>
      </c>
      <c r="E8520">
        <v>1</v>
      </c>
      <c r="F8520" t="s">
        <v>9830</v>
      </c>
    </row>
    <row r="8521" spans="1:6" x14ac:dyDescent="0.25">
      <c r="A8521" t="s">
        <v>10927</v>
      </c>
      <c r="B8521" t="s">
        <v>7640</v>
      </c>
      <c r="C8521" t="s">
        <v>7641</v>
      </c>
      <c r="D8521" t="str">
        <f>HYPERLINK("http://service.sap.com/sap/support/notes/1824523","1824523")</f>
        <v>1824523</v>
      </c>
      <c r="E8521">
        <v>4</v>
      </c>
      <c r="F8521" t="s">
        <v>7642</v>
      </c>
    </row>
    <row r="8522" spans="1:6" x14ac:dyDescent="0.25">
      <c r="A8522" t="s">
        <v>10927</v>
      </c>
      <c r="B8522" t="s">
        <v>7640</v>
      </c>
      <c r="C8522" t="s">
        <v>7641</v>
      </c>
      <c r="D8522" t="str">
        <f>HYPERLINK("http://service.sap.com/sap/support/notes/1833367","1833367")</f>
        <v>1833367</v>
      </c>
      <c r="E8522">
        <v>1</v>
      </c>
      <c r="F8522" t="s">
        <v>9831</v>
      </c>
    </row>
    <row r="8523" spans="1:6" x14ac:dyDescent="0.25">
      <c r="A8523" t="s">
        <v>10927</v>
      </c>
      <c r="B8523" t="s">
        <v>7640</v>
      </c>
      <c r="C8523" t="s">
        <v>7641</v>
      </c>
      <c r="D8523" t="str">
        <f>HYPERLINK("http://service.sap.com/sap/support/notes/1834957","1834957")</f>
        <v>1834957</v>
      </c>
      <c r="E8523">
        <v>1</v>
      </c>
      <c r="F8523" t="s">
        <v>9832</v>
      </c>
    </row>
    <row r="8524" spans="1:6" x14ac:dyDescent="0.25">
      <c r="A8524" t="s">
        <v>10927</v>
      </c>
      <c r="B8524" t="s">
        <v>7640</v>
      </c>
      <c r="C8524" t="s">
        <v>7641</v>
      </c>
      <c r="D8524" t="str">
        <f>HYPERLINK("http://service.sap.com/sap/support/notes/1863212","1863212")</f>
        <v>1863212</v>
      </c>
      <c r="E8524">
        <v>2</v>
      </c>
      <c r="F8524" t="s">
        <v>9833</v>
      </c>
    </row>
    <row r="8525" spans="1:6" x14ac:dyDescent="0.25">
      <c r="A8525" t="s">
        <v>10927</v>
      </c>
      <c r="B8525" t="s">
        <v>2062</v>
      </c>
      <c r="C8525" t="s">
        <v>2063</v>
      </c>
      <c r="D8525" t="str">
        <f>HYPERLINK("http://service.sap.com/sap/support/notes/1846463","1846463")</f>
        <v>1846463</v>
      </c>
      <c r="E8525">
        <v>2</v>
      </c>
      <c r="F8525" t="s">
        <v>9834</v>
      </c>
    </row>
    <row r="8526" spans="1:6" x14ac:dyDescent="0.25">
      <c r="A8526" t="s">
        <v>10927</v>
      </c>
      <c r="B8526" t="s">
        <v>2062</v>
      </c>
      <c r="C8526" t="s">
        <v>2063</v>
      </c>
      <c r="D8526" t="str">
        <f>HYPERLINK("http://service.sap.com/sap/support/notes/1847697","1847697")</f>
        <v>1847697</v>
      </c>
      <c r="E8526">
        <v>1</v>
      </c>
      <c r="F8526" t="s">
        <v>9835</v>
      </c>
    </row>
    <row r="8527" spans="1:6" x14ac:dyDescent="0.25">
      <c r="A8527" t="s">
        <v>10927</v>
      </c>
      <c r="B8527" t="s">
        <v>2062</v>
      </c>
      <c r="C8527" t="s">
        <v>2063</v>
      </c>
      <c r="D8527" t="str">
        <f>HYPERLINK("http://service.sap.com/sap/support/notes/1849517","1849517")</f>
        <v>1849517</v>
      </c>
      <c r="E8527">
        <v>1</v>
      </c>
      <c r="F8527" t="s">
        <v>9836</v>
      </c>
    </row>
    <row r="8528" spans="1:6" x14ac:dyDescent="0.25">
      <c r="A8528" t="s">
        <v>10927</v>
      </c>
      <c r="B8528" t="s">
        <v>2062</v>
      </c>
      <c r="C8528" t="s">
        <v>2063</v>
      </c>
      <c r="D8528" t="str">
        <f>HYPERLINK("http://service.sap.com/sap/support/notes/1861629","1861629")</f>
        <v>1861629</v>
      </c>
      <c r="E8528">
        <v>1</v>
      </c>
      <c r="F8528" t="s">
        <v>9837</v>
      </c>
    </row>
    <row r="8529" spans="1:6" x14ac:dyDescent="0.25">
      <c r="A8529" t="s">
        <v>10927</v>
      </c>
      <c r="B8529" t="s">
        <v>2062</v>
      </c>
      <c r="C8529" t="s">
        <v>2063</v>
      </c>
      <c r="D8529" t="str">
        <f>HYPERLINK("http://service.sap.com/sap/support/notes/1866595","1866595")</f>
        <v>1866595</v>
      </c>
      <c r="E8529">
        <v>1</v>
      </c>
      <c r="F8529" t="s">
        <v>9838</v>
      </c>
    </row>
    <row r="8530" spans="1:6" x14ac:dyDescent="0.25">
      <c r="A8530" t="s">
        <v>10927</v>
      </c>
      <c r="B8530" t="s">
        <v>2067</v>
      </c>
      <c r="C8530" t="s">
        <v>2068</v>
      </c>
      <c r="D8530" t="str">
        <f>HYPERLINK("http://service.sap.com/sap/support/notes/1761396","1761396")</f>
        <v>1761396</v>
      </c>
      <c r="E8530">
        <v>5</v>
      </c>
      <c r="F8530" t="s">
        <v>9839</v>
      </c>
    </row>
    <row r="8531" spans="1:6" x14ac:dyDescent="0.25">
      <c r="A8531" t="s">
        <v>10927</v>
      </c>
      <c r="B8531" t="s">
        <v>2067</v>
      </c>
      <c r="C8531" t="s">
        <v>2068</v>
      </c>
      <c r="D8531" t="str">
        <f>HYPERLINK("http://service.sap.com/sap/support/notes/1764365","1764365")</f>
        <v>1764365</v>
      </c>
      <c r="E8531">
        <v>4</v>
      </c>
      <c r="F8531" t="s">
        <v>9840</v>
      </c>
    </row>
    <row r="8532" spans="1:6" x14ac:dyDescent="0.25">
      <c r="A8532" t="s">
        <v>10927</v>
      </c>
      <c r="B8532" t="s">
        <v>2067</v>
      </c>
      <c r="C8532" t="s">
        <v>2068</v>
      </c>
      <c r="D8532" t="str">
        <f>HYPERLINK("http://service.sap.com/sap/support/notes/1855609","1855609")</f>
        <v>1855609</v>
      </c>
      <c r="E8532">
        <v>1</v>
      </c>
      <c r="F8532" t="s">
        <v>9841</v>
      </c>
    </row>
    <row r="8533" spans="1:6" x14ac:dyDescent="0.25">
      <c r="A8533" t="s">
        <v>10927</v>
      </c>
      <c r="B8533" t="s">
        <v>2074</v>
      </c>
      <c r="C8533" t="s">
        <v>2075</v>
      </c>
      <c r="D8533" t="str">
        <f>HYPERLINK("http://service.sap.com/sap/support/notes/1668405","1668405")</f>
        <v>1668405</v>
      </c>
      <c r="E8533">
        <v>2</v>
      </c>
      <c r="F8533" t="s">
        <v>9842</v>
      </c>
    </row>
    <row r="8534" spans="1:6" x14ac:dyDescent="0.25">
      <c r="A8534" t="s">
        <v>10927</v>
      </c>
      <c r="B8534" t="s">
        <v>2074</v>
      </c>
      <c r="C8534" t="s">
        <v>2075</v>
      </c>
      <c r="D8534" t="str">
        <f>HYPERLINK("http://service.sap.com/sap/support/notes/1838338","1838338")</f>
        <v>1838338</v>
      </c>
      <c r="E8534">
        <v>1</v>
      </c>
      <c r="F8534" t="s">
        <v>9843</v>
      </c>
    </row>
    <row r="8535" spans="1:6" x14ac:dyDescent="0.25">
      <c r="A8535" t="s">
        <v>10927</v>
      </c>
      <c r="B8535" t="s">
        <v>2079</v>
      </c>
      <c r="C8535" t="s">
        <v>2080</v>
      </c>
      <c r="D8535" t="str">
        <f>HYPERLINK("http://service.sap.com/sap/support/notes/1700582","1700582")</f>
        <v>1700582</v>
      </c>
      <c r="E8535">
        <v>3</v>
      </c>
      <c r="F8535" t="s">
        <v>9844</v>
      </c>
    </row>
    <row r="8536" spans="1:6" x14ac:dyDescent="0.25">
      <c r="A8536" t="s">
        <v>10927</v>
      </c>
      <c r="B8536" t="s">
        <v>2079</v>
      </c>
      <c r="C8536" t="s">
        <v>2080</v>
      </c>
      <c r="D8536" t="str">
        <f>HYPERLINK("http://service.sap.com/sap/support/notes/1838942","1838942")</f>
        <v>1838942</v>
      </c>
      <c r="E8536">
        <v>3</v>
      </c>
      <c r="F8536" t="s">
        <v>9845</v>
      </c>
    </row>
    <row r="8537" spans="1:6" x14ac:dyDescent="0.25">
      <c r="A8537" t="s">
        <v>10927</v>
      </c>
      <c r="B8537" t="s">
        <v>2079</v>
      </c>
      <c r="C8537" t="s">
        <v>2080</v>
      </c>
      <c r="D8537" t="str">
        <f>HYPERLINK("http://service.sap.com/sap/support/notes/1849766","1849766")</f>
        <v>1849766</v>
      </c>
      <c r="E8537">
        <v>2</v>
      </c>
      <c r="F8537" t="s">
        <v>9846</v>
      </c>
    </row>
    <row r="8538" spans="1:6" x14ac:dyDescent="0.25">
      <c r="A8538" t="s">
        <v>10927</v>
      </c>
      <c r="B8538" t="s">
        <v>2079</v>
      </c>
      <c r="C8538" t="s">
        <v>2080</v>
      </c>
      <c r="D8538" t="str">
        <f>HYPERLINK("http://service.sap.com/sap/support/notes/1855379","1855379")</f>
        <v>1855379</v>
      </c>
      <c r="E8538">
        <v>2</v>
      </c>
      <c r="F8538" t="s">
        <v>9847</v>
      </c>
    </row>
    <row r="8539" spans="1:6" x14ac:dyDescent="0.25">
      <c r="A8539" t="s">
        <v>10927</v>
      </c>
      <c r="B8539" t="s">
        <v>2082</v>
      </c>
      <c r="C8539" t="s">
        <v>2083</v>
      </c>
    </row>
    <row r="8540" spans="1:6" x14ac:dyDescent="0.25">
      <c r="A8540" t="s">
        <v>10927</v>
      </c>
      <c r="B8540" t="s">
        <v>2084</v>
      </c>
      <c r="C8540" t="s">
        <v>1643</v>
      </c>
      <c r="D8540" t="str">
        <f>HYPERLINK("http://service.sap.com/sap/support/notes/1365950","1365950")</f>
        <v>1365950</v>
      </c>
      <c r="E8540">
        <v>8</v>
      </c>
      <c r="F8540" t="s">
        <v>9848</v>
      </c>
    </row>
    <row r="8541" spans="1:6" x14ac:dyDescent="0.25">
      <c r="A8541" t="s">
        <v>10927</v>
      </c>
      <c r="B8541" t="s">
        <v>2084</v>
      </c>
      <c r="C8541" t="s">
        <v>1643</v>
      </c>
      <c r="D8541" t="str">
        <f>HYPERLINK("http://service.sap.com/sap/support/notes/1444557","1444557")</f>
        <v>1444557</v>
      </c>
      <c r="E8541">
        <v>2</v>
      </c>
      <c r="F8541" t="s">
        <v>9849</v>
      </c>
    </row>
    <row r="8542" spans="1:6" x14ac:dyDescent="0.25">
      <c r="A8542" t="s">
        <v>10927</v>
      </c>
      <c r="B8542" t="s">
        <v>2086</v>
      </c>
      <c r="C8542" t="s">
        <v>2087</v>
      </c>
      <c r="D8542" t="str">
        <f>HYPERLINK("http://service.sap.com/sap/support/notes/1289687","1289687")</f>
        <v>1289687</v>
      </c>
      <c r="E8542">
        <v>4</v>
      </c>
      <c r="F8542" t="s">
        <v>9850</v>
      </c>
    </row>
    <row r="8543" spans="1:6" x14ac:dyDescent="0.25">
      <c r="A8543" t="s">
        <v>10927</v>
      </c>
      <c r="B8543" t="s">
        <v>2086</v>
      </c>
      <c r="C8543" t="s">
        <v>2087</v>
      </c>
      <c r="D8543" t="str">
        <f>HYPERLINK("http://service.sap.com/sap/support/notes/1844802","1844802")</f>
        <v>1844802</v>
      </c>
      <c r="E8543">
        <v>2</v>
      </c>
      <c r="F8543" t="s">
        <v>9851</v>
      </c>
    </row>
    <row r="8544" spans="1:6" x14ac:dyDescent="0.25">
      <c r="A8544" t="s">
        <v>10927</v>
      </c>
      <c r="B8544" t="s">
        <v>2090</v>
      </c>
      <c r="C8544" t="s">
        <v>2091</v>
      </c>
      <c r="D8544" t="str">
        <f>HYPERLINK("http://service.sap.com/sap/support/notes/947618","947618")</f>
        <v>947618</v>
      </c>
      <c r="E8544">
        <v>15</v>
      </c>
      <c r="F8544" t="s">
        <v>9852</v>
      </c>
    </row>
    <row r="8545" spans="1:6" x14ac:dyDescent="0.25">
      <c r="A8545" t="s">
        <v>10927</v>
      </c>
      <c r="B8545" t="s">
        <v>2090</v>
      </c>
      <c r="C8545" t="s">
        <v>2091</v>
      </c>
      <c r="D8545" t="str">
        <f>HYPERLINK("http://service.sap.com/sap/support/notes/1054227","1054227")</f>
        <v>1054227</v>
      </c>
      <c r="E8545">
        <v>5</v>
      </c>
      <c r="F8545" t="s">
        <v>9853</v>
      </c>
    </row>
    <row r="8546" spans="1:6" x14ac:dyDescent="0.25">
      <c r="A8546" t="s">
        <v>10927</v>
      </c>
      <c r="B8546" t="s">
        <v>2090</v>
      </c>
      <c r="C8546" t="s">
        <v>2091</v>
      </c>
      <c r="D8546" t="str">
        <f>HYPERLINK("http://service.sap.com/sap/support/notes/1288884","1288884")</f>
        <v>1288884</v>
      </c>
      <c r="E8546">
        <v>4</v>
      </c>
      <c r="F8546" t="s">
        <v>9854</v>
      </c>
    </row>
    <row r="8547" spans="1:6" x14ac:dyDescent="0.25">
      <c r="A8547" t="s">
        <v>10927</v>
      </c>
      <c r="B8547" t="s">
        <v>2090</v>
      </c>
      <c r="C8547" t="s">
        <v>2091</v>
      </c>
      <c r="D8547" t="str">
        <f>HYPERLINK("http://service.sap.com/sap/support/notes/1389466","1389466")</f>
        <v>1389466</v>
      </c>
      <c r="E8547">
        <v>4</v>
      </c>
      <c r="F8547" t="s">
        <v>9855</v>
      </c>
    </row>
    <row r="8548" spans="1:6" x14ac:dyDescent="0.25">
      <c r="A8548" t="s">
        <v>10927</v>
      </c>
      <c r="B8548" t="s">
        <v>2094</v>
      </c>
      <c r="C8548" t="s">
        <v>9856</v>
      </c>
    </row>
    <row r="8549" spans="1:6" x14ac:dyDescent="0.25">
      <c r="A8549" t="s">
        <v>10927</v>
      </c>
      <c r="B8549" t="s">
        <v>2097</v>
      </c>
      <c r="C8549" t="s">
        <v>2098</v>
      </c>
    </row>
    <row r="8550" spans="1:6" x14ac:dyDescent="0.25">
      <c r="A8550" t="s">
        <v>10927</v>
      </c>
      <c r="B8550" t="s">
        <v>2099</v>
      </c>
      <c r="C8550" t="s">
        <v>2100</v>
      </c>
      <c r="D8550" t="str">
        <f>HYPERLINK("http://service.sap.com/sap/support/notes/1852797","1852797")</f>
        <v>1852797</v>
      </c>
      <c r="E8550">
        <v>3</v>
      </c>
      <c r="F8550" t="s">
        <v>9857</v>
      </c>
    </row>
    <row r="8551" spans="1:6" x14ac:dyDescent="0.25">
      <c r="A8551" t="s">
        <v>10927</v>
      </c>
      <c r="B8551" t="s">
        <v>2102</v>
      </c>
      <c r="C8551" t="s">
        <v>2103</v>
      </c>
    </row>
    <row r="8552" spans="1:6" x14ac:dyDescent="0.25">
      <c r="A8552" t="s">
        <v>10927</v>
      </c>
      <c r="B8552" t="s">
        <v>2104</v>
      </c>
      <c r="C8552" t="s">
        <v>2105</v>
      </c>
      <c r="D8552" t="str">
        <f>HYPERLINK("http://service.sap.com/sap/support/notes/1841082","1841082")</f>
        <v>1841082</v>
      </c>
      <c r="E8552">
        <v>2</v>
      </c>
      <c r="F8552" t="s">
        <v>9858</v>
      </c>
    </row>
    <row r="8553" spans="1:6" x14ac:dyDescent="0.25">
      <c r="A8553" t="s">
        <v>10927</v>
      </c>
      <c r="B8553" t="s">
        <v>2108</v>
      </c>
      <c r="C8553" t="s">
        <v>5323</v>
      </c>
      <c r="D8553" t="str">
        <f>HYPERLINK("http://service.sap.com/sap/support/notes/1799859","1799859")</f>
        <v>1799859</v>
      </c>
      <c r="E8553">
        <v>9</v>
      </c>
      <c r="F8553" t="s">
        <v>9859</v>
      </c>
    </row>
    <row r="8554" spans="1:6" x14ac:dyDescent="0.25">
      <c r="A8554" t="s">
        <v>10927</v>
      </c>
      <c r="B8554" t="s">
        <v>2108</v>
      </c>
      <c r="C8554" t="s">
        <v>5323</v>
      </c>
      <c r="D8554" t="str">
        <f>HYPERLINK("http://service.sap.com/sap/support/notes/1834443","1834443")</f>
        <v>1834443</v>
      </c>
      <c r="E8554">
        <v>1</v>
      </c>
      <c r="F8554" t="s">
        <v>9860</v>
      </c>
    </row>
    <row r="8555" spans="1:6" x14ac:dyDescent="0.25">
      <c r="A8555" t="s">
        <v>10927</v>
      </c>
      <c r="B8555" t="s">
        <v>2110</v>
      </c>
      <c r="C8555" t="s">
        <v>1669</v>
      </c>
      <c r="D8555" t="str">
        <f>HYPERLINK("http://service.sap.com/sap/support/notes/1768507","1768507")</f>
        <v>1768507</v>
      </c>
      <c r="E8555">
        <v>3</v>
      </c>
      <c r="F8555" t="s">
        <v>9861</v>
      </c>
    </row>
    <row r="8556" spans="1:6" x14ac:dyDescent="0.25">
      <c r="A8556" t="s">
        <v>10927</v>
      </c>
      <c r="B8556" t="s">
        <v>2110</v>
      </c>
      <c r="C8556" t="s">
        <v>1669</v>
      </c>
      <c r="D8556" t="str">
        <f>HYPERLINK("http://service.sap.com/sap/support/notes/1802404","1802404")</f>
        <v>1802404</v>
      </c>
      <c r="E8556">
        <v>3</v>
      </c>
      <c r="F8556" t="s">
        <v>9862</v>
      </c>
    </row>
    <row r="8557" spans="1:6" x14ac:dyDescent="0.25">
      <c r="A8557" t="s">
        <v>10927</v>
      </c>
      <c r="B8557" t="s">
        <v>2110</v>
      </c>
      <c r="C8557" t="s">
        <v>1669</v>
      </c>
      <c r="D8557" t="str">
        <f>HYPERLINK("http://service.sap.com/sap/support/notes/1805326","1805326")</f>
        <v>1805326</v>
      </c>
      <c r="E8557">
        <v>6</v>
      </c>
      <c r="F8557" t="s">
        <v>9863</v>
      </c>
    </row>
    <row r="8558" spans="1:6" x14ac:dyDescent="0.25">
      <c r="A8558" t="s">
        <v>10927</v>
      </c>
      <c r="B8558" t="s">
        <v>2110</v>
      </c>
      <c r="C8558" t="s">
        <v>1669</v>
      </c>
      <c r="D8558" t="str">
        <f>HYPERLINK("http://service.sap.com/sap/support/notes/1815169","1815169")</f>
        <v>1815169</v>
      </c>
      <c r="E8558">
        <v>2</v>
      </c>
      <c r="F8558" t="s">
        <v>9864</v>
      </c>
    </row>
    <row r="8559" spans="1:6" x14ac:dyDescent="0.25">
      <c r="A8559" t="s">
        <v>10927</v>
      </c>
      <c r="B8559" t="s">
        <v>2110</v>
      </c>
      <c r="C8559" t="s">
        <v>1669</v>
      </c>
      <c r="D8559" t="str">
        <f>HYPERLINK("http://service.sap.com/sap/support/notes/1820589","1820589")</f>
        <v>1820589</v>
      </c>
      <c r="E8559">
        <v>1</v>
      </c>
      <c r="F8559" t="s">
        <v>9865</v>
      </c>
    </row>
    <row r="8560" spans="1:6" x14ac:dyDescent="0.25">
      <c r="A8560" t="s">
        <v>10927</v>
      </c>
      <c r="B8560" t="s">
        <v>2110</v>
      </c>
      <c r="C8560" t="s">
        <v>1669</v>
      </c>
      <c r="D8560" t="str">
        <f>HYPERLINK("http://service.sap.com/sap/support/notes/1823437","1823437")</f>
        <v>1823437</v>
      </c>
      <c r="E8560">
        <v>2</v>
      </c>
      <c r="F8560" t="s">
        <v>9866</v>
      </c>
    </row>
    <row r="8561" spans="1:6" x14ac:dyDescent="0.25">
      <c r="A8561" t="s">
        <v>10927</v>
      </c>
      <c r="B8561" t="s">
        <v>2110</v>
      </c>
      <c r="C8561" t="s">
        <v>1669</v>
      </c>
      <c r="D8561" t="str">
        <f>HYPERLINK("http://service.sap.com/sap/support/notes/1823794","1823794")</f>
        <v>1823794</v>
      </c>
      <c r="E8561">
        <v>2</v>
      </c>
      <c r="F8561" t="s">
        <v>9867</v>
      </c>
    </row>
    <row r="8562" spans="1:6" x14ac:dyDescent="0.25">
      <c r="A8562" t="s">
        <v>10927</v>
      </c>
      <c r="B8562" t="s">
        <v>2110</v>
      </c>
      <c r="C8562" t="s">
        <v>1669</v>
      </c>
      <c r="D8562" t="str">
        <f>HYPERLINK("http://service.sap.com/sap/support/notes/1826963","1826963")</f>
        <v>1826963</v>
      </c>
      <c r="E8562">
        <v>1</v>
      </c>
      <c r="F8562" t="s">
        <v>9868</v>
      </c>
    </row>
    <row r="8563" spans="1:6" x14ac:dyDescent="0.25">
      <c r="A8563" t="s">
        <v>10927</v>
      </c>
      <c r="B8563" t="s">
        <v>2110</v>
      </c>
      <c r="C8563" t="s">
        <v>1669</v>
      </c>
      <c r="D8563" t="str">
        <f>HYPERLINK("http://service.sap.com/sap/support/notes/1841141","1841141")</f>
        <v>1841141</v>
      </c>
      <c r="E8563">
        <v>2</v>
      </c>
      <c r="F8563" t="s">
        <v>9869</v>
      </c>
    </row>
    <row r="8564" spans="1:6" x14ac:dyDescent="0.25">
      <c r="A8564" t="s">
        <v>10927</v>
      </c>
      <c r="B8564" t="s">
        <v>2110</v>
      </c>
      <c r="C8564" t="s">
        <v>1669</v>
      </c>
      <c r="D8564" t="str">
        <f>HYPERLINK("http://service.sap.com/sap/support/notes/1852192","1852192")</f>
        <v>1852192</v>
      </c>
      <c r="E8564">
        <v>1</v>
      </c>
      <c r="F8564" t="s">
        <v>9870</v>
      </c>
    </row>
    <row r="8565" spans="1:6" x14ac:dyDescent="0.25">
      <c r="A8565" t="s">
        <v>10927</v>
      </c>
      <c r="B8565" t="s">
        <v>2140</v>
      </c>
      <c r="C8565" t="s">
        <v>2141</v>
      </c>
      <c r="D8565" t="str">
        <f>HYPERLINK("http://service.sap.com/sap/support/notes/1814385","1814385")</f>
        <v>1814385</v>
      </c>
      <c r="E8565">
        <v>2</v>
      </c>
      <c r="F8565" t="s">
        <v>9871</v>
      </c>
    </row>
    <row r="8566" spans="1:6" x14ac:dyDescent="0.25">
      <c r="A8566" t="s">
        <v>10927</v>
      </c>
      <c r="B8566" t="s">
        <v>2143</v>
      </c>
      <c r="C8566" t="s">
        <v>1673</v>
      </c>
      <c r="D8566" t="str">
        <f>HYPERLINK("http://service.sap.com/sap/support/notes/1757504","1757504")</f>
        <v>1757504</v>
      </c>
      <c r="E8566">
        <v>3</v>
      </c>
      <c r="F8566" t="s">
        <v>9872</v>
      </c>
    </row>
    <row r="8567" spans="1:6" x14ac:dyDescent="0.25">
      <c r="A8567" t="s">
        <v>10927</v>
      </c>
      <c r="B8567" t="s">
        <v>2143</v>
      </c>
      <c r="C8567" t="s">
        <v>1673</v>
      </c>
      <c r="D8567" t="str">
        <f>HYPERLINK("http://service.sap.com/sap/support/notes/1825245","1825245")</f>
        <v>1825245</v>
      </c>
      <c r="E8567">
        <v>3</v>
      </c>
      <c r="F8567" t="s">
        <v>9873</v>
      </c>
    </row>
    <row r="8568" spans="1:6" x14ac:dyDescent="0.25">
      <c r="A8568" t="s">
        <v>10927</v>
      </c>
      <c r="B8568" t="s">
        <v>2143</v>
      </c>
      <c r="C8568" t="s">
        <v>1673</v>
      </c>
      <c r="D8568" t="str">
        <f>HYPERLINK("http://service.sap.com/sap/support/notes/1833269","1833269")</f>
        <v>1833269</v>
      </c>
      <c r="E8568">
        <v>2</v>
      </c>
      <c r="F8568" t="s">
        <v>9874</v>
      </c>
    </row>
    <row r="8569" spans="1:6" x14ac:dyDescent="0.25">
      <c r="A8569" t="s">
        <v>10927</v>
      </c>
      <c r="B8569" t="s">
        <v>2143</v>
      </c>
      <c r="C8569" t="s">
        <v>1673</v>
      </c>
      <c r="D8569" t="str">
        <f>HYPERLINK("http://service.sap.com/sap/support/notes/1837285","1837285")</f>
        <v>1837285</v>
      </c>
      <c r="E8569">
        <v>2</v>
      </c>
      <c r="F8569" t="s">
        <v>9875</v>
      </c>
    </row>
    <row r="8570" spans="1:6" x14ac:dyDescent="0.25">
      <c r="A8570" t="s">
        <v>10927</v>
      </c>
      <c r="B8570" t="s">
        <v>2143</v>
      </c>
      <c r="C8570" t="s">
        <v>1673</v>
      </c>
      <c r="D8570" t="str">
        <f>HYPERLINK("http://service.sap.com/sap/support/notes/1841248","1841248")</f>
        <v>1841248</v>
      </c>
      <c r="E8570">
        <v>2</v>
      </c>
      <c r="F8570" t="s">
        <v>9876</v>
      </c>
    </row>
    <row r="8571" spans="1:6" x14ac:dyDescent="0.25">
      <c r="A8571" t="s">
        <v>10927</v>
      </c>
      <c r="B8571" t="s">
        <v>2143</v>
      </c>
      <c r="C8571" t="s">
        <v>1673</v>
      </c>
      <c r="D8571" t="str">
        <f>HYPERLINK("http://service.sap.com/sap/support/notes/1847974","1847974")</f>
        <v>1847974</v>
      </c>
      <c r="E8571">
        <v>2</v>
      </c>
      <c r="F8571" t="s">
        <v>9877</v>
      </c>
    </row>
    <row r="8572" spans="1:6" x14ac:dyDescent="0.25">
      <c r="A8572" t="s">
        <v>10927</v>
      </c>
      <c r="B8572" t="s">
        <v>2147</v>
      </c>
      <c r="C8572" t="s">
        <v>2148</v>
      </c>
      <c r="D8572" t="str">
        <f>HYPERLINK("http://service.sap.com/sap/support/notes/1827381","1827381")</f>
        <v>1827381</v>
      </c>
      <c r="E8572">
        <v>2</v>
      </c>
      <c r="F8572" t="s">
        <v>9878</v>
      </c>
    </row>
    <row r="8573" spans="1:6" x14ac:dyDescent="0.25">
      <c r="A8573" t="s">
        <v>10927</v>
      </c>
      <c r="B8573" t="s">
        <v>2152</v>
      </c>
      <c r="C8573" t="s">
        <v>2153</v>
      </c>
      <c r="D8573" t="str">
        <f>HYPERLINK("http://service.sap.com/sap/support/notes/1838864","1838864")</f>
        <v>1838864</v>
      </c>
      <c r="E8573">
        <v>2</v>
      </c>
      <c r="F8573" t="s">
        <v>9879</v>
      </c>
    </row>
    <row r="8574" spans="1:6" x14ac:dyDescent="0.25">
      <c r="A8574" t="s">
        <v>10927</v>
      </c>
      <c r="B8574" t="s">
        <v>2152</v>
      </c>
      <c r="C8574" t="s">
        <v>2153</v>
      </c>
      <c r="D8574" t="str">
        <f>HYPERLINK("http://service.sap.com/sap/support/notes/1849828","1849828")</f>
        <v>1849828</v>
      </c>
      <c r="E8574">
        <v>1</v>
      </c>
      <c r="F8574" t="s">
        <v>9880</v>
      </c>
    </row>
    <row r="8575" spans="1:6" x14ac:dyDescent="0.25">
      <c r="A8575" t="s">
        <v>10927</v>
      </c>
      <c r="B8575" t="s">
        <v>2160</v>
      </c>
      <c r="C8575" t="s">
        <v>2161</v>
      </c>
      <c r="D8575" t="str">
        <f>HYPERLINK("http://service.sap.com/sap/support/notes/1822627","1822627")</f>
        <v>1822627</v>
      </c>
      <c r="E8575">
        <v>3</v>
      </c>
      <c r="F8575" t="s">
        <v>9881</v>
      </c>
    </row>
    <row r="8576" spans="1:6" x14ac:dyDescent="0.25">
      <c r="A8576" t="s">
        <v>10927</v>
      </c>
      <c r="B8576" t="s">
        <v>9882</v>
      </c>
      <c r="C8576" t="s">
        <v>9883</v>
      </c>
    </row>
    <row r="8577" spans="1:6" x14ac:dyDescent="0.25">
      <c r="A8577" t="s">
        <v>10927</v>
      </c>
      <c r="B8577" t="s">
        <v>9884</v>
      </c>
      <c r="C8577" t="s">
        <v>1635</v>
      </c>
      <c r="D8577" t="str">
        <f>HYPERLINK("http://service.sap.com/sap/support/notes/1830585","1830585")</f>
        <v>1830585</v>
      </c>
      <c r="E8577">
        <v>2</v>
      </c>
      <c r="F8577" t="s">
        <v>9885</v>
      </c>
    </row>
    <row r="8578" spans="1:6" x14ac:dyDescent="0.25">
      <c r="A8578" t="s">
        <v>10927</v>
      </c>
      <c r="B8578" t="s">
        <v>63</v>
      </c>
      <c r="C8578" t="s">
        <v>2171</v>
      </c>
      <c r="D8578" t="str">
        <f>HYPERLINK("http://service.sap.com/sap/support/notes/1835559","1835559")</f>
        <v>1835559</v>
      </c>
      <c r="E8578">
        <v>1</v>
      </c>
      <c r="F8578" t="s">
        <v>9886</v>
      </c>
    </row>
    <row r="8579" spans="1:6" x14ac:dyDescent="0.25">
      <c r="A8579" t="s">
        <v>10927</v>
      </c>
      <c r="B8579" t="s">
        <v>63</v>
      </c>
      <c r="C8579" t="s">
        <v>2171</v>
      </c>
      <c r="D8579" t="str">
        <f>HYPERLINK("http://service.sap.com/sap/support/notes/1845356","1845356")</f>
        <v>1845356</v>
      </c>
      <c r="E8579">
        <v>2</v>
      </c>
      <c r="F8579" t="s">
        <v>9887</v>
      </c>
    </row>
    <row r="8580" spans="1:6" x14ac:dyDescent="0.25">
      <c r="A8580" t="s">
        <v>10927</v>
      </c>
      <c r="B8580" t="s">
        <v>63</v>
      </c>
      <c r="C8580" t="s">
        <v>2171</v>
      </c>
      <c r="D8580" t="str">
        <f>HYPERLINK("http://service.sap.com/sap/support/notes/1852058","1852058")</f>
        <v>1852058</v>
      </c>
      <c r="E8580">
        <v>1</v>
      </c>
      <c r="F8580" t="s">
        <v>9888</v>
      </c>
    </row>
    <row r="8581" spans="1:6" x14ac:dyDescent="0.25">
      <c r="A8581" t="s">
        <v>10927</v>
      </c>
      <c r="B8581" t="s">
        <v>63</v>
      </c>
      <c r="C8581" t="s">
        <v>2171</v>
      </c>
      <c r="D8581" t="str">
        <f>HYPERLINK("http://service.sap.com/sap/support/notes/1854778","1854778")</f>
        <v>1854778</v>
      </c>
      <c r="E8581">
        <v>2</v>
      </c>
      <c r="F8581" t="s">
        <v>9889</v>
      </c>
    </row>
    <row r="8582" spans="1:6" x14ac:dyDescent="0.25">
      <c r="A8582" t="s">
        <v>10927</v>
      </c>
      <c r="B8582" t="s">
        <v>2184</v>
      </c>
      <c r="C8582" t="s">
        <v>2185</v>
      </c>
      <c r="D8582" t="str">
        <f>HYPERLINK("http://service.sap.com/sap/support/notes/1855768","1855768")</f>
        <v>1855768</v>
      </c>
      <c r="E8582">
        <v>2</v>
      </c>
      <c r="F8582" t="s">
        <v>9890</v>
      </c>
    </row>
    <row r="8583" spans="1:6" x14ac:dyDescent="0.25">
      <c r="A8583" t="s">
        <v>10927</v>
      </c>
      <c r="B8583" t="s">
        <v>9891</v>
      </c>
      <c r="C8583" t="s">
        <v>9892</v>
      </c>
      <c r="D8583" t="str">
        <f>HYPERLINK("http://service.sap.com/sap/support/notes/1839706","1839706")</f>
        <v>1839706</v>
      </c>
      <c r="E8583">
        <v>4</v>
      </c>
      <c r="F8583" t="s">
        <v>9893</v>
      </c>
    </row>
    <row r="8584" spans="1:6" x14ac:dyDescent="0.25">
      <c r="A8584" t="s">
        <v>10927</v>
      </c>
      <c r="B8584" t="s">
        <v>7705</v>
      </c>
      <c r="C8584" t="s">
        <v>7706</v>
      </c>
      <c r="D8584" t="str">
        <f>HYPERLINK("http://service.sap.com/sap/support/notes/1836432","1836432")</f>
        <v>1836432</v>
      </c>
      <c r="E8584">
        <v>1</v>
      </c>
      <c r="F8584" t="s">
        <v>9894</v>
      </c>
    </row>
    <row r="8585" spans="1:6" x14ac:dyDescent="0.25">
      <c r="A8585" t="s">
        <v>10927</v>
      </c>
      <c r="B8585" t="s">
        <v>7705</v>
      </c>
      <c r="C8585" t="s">
        <v>7706</v>
      </c>
      <c r="D8585" t="str">
        <f>HYPERLINK("http://service.sap.com/sap/support/notes/1838213","1838213")</f>
        <v>1838213</v>
      </c>
      <c r="E8585">
        <v>1</v>
      </c>
      <c r="F8585" t="s">
        <v>9895</v>
      </c>
    </row>
    <row r="8586" spans="1:6" x14ac:dyDescent="0.25">
      <c r="A8586" t="s">
        <v>10927</v>
      </c>
      <c r="B8586" t="s">
        <v>2190</v>
      </c>
      <c r="C8586" t="s">
        <v>2191</v>
      </c>
      <c r="D8586" t="str">
        <f>HYPERLINK("http://service.sap.com/sap/support/notes/1817364","1817364")</f>
        <v>1817364</v>
      </c>
      <c r="E8586">
        <v>1</v>
      </c>
      <c r="F8586" t="s">
        <v>9896</v>
      </c>
    </row>
    <row r="8587" spans="1:6" x14ac:dyDescent="0.25">
      <c r="A8587" t="s">
        <v>10927</v>
      </c>
      <c r="B8587" t="s">
        <v>5359</v>
      </c>
      <c r="C8587" t="s">
        <v>5360</v>
      </c>
      <c r="D8587" t="str">
        <f>HYPERLINK("http://service.sap.com/sap/support/notes/1842400","1842400")</f>
        <v>1842400</v>
      </c>
      <c r="E8587">
        <v>3</v>
      </c>
      <c r="F8587" t="s">
        <v>9897</v>
      </c>
    </row>
    <row r="8588" spans="1:6" x14ac:dyDescent="0.25">
      <c r="A8588" t="s">
        <v>10927</v>
      </c>
      <c r="B8588" t="s">
        <v>5359</v>
      </c>
      <c r="C8588" t="s">
        <v>5360</v>
      </c>
      <c r="D8588" t="str">
        <f>HYPERLINK("http://service.sap.com/sap/support/notes/1850176","1850176")</f>
        <v>1850176</v>
      </c>
      <c r="E8588">
        <v>1</v>
      </c>
      <c r="F8588" t="s">
        <v>9898</v>
      </c>
    </row>
    <row r="8589" spans="1:6" x14ac:dyDescent="0.25">
      <c r="A8589" t="s">
        <v>10927</v>
      </c>
      <c r="B8589" t="s">
        <v>5359</v>
      </c>
      <c r="C8589" t="s">
        <v>5360</v>
      </c>
      <c r="D8589" t="str">
        <f>HYPERLINK("http://service.sap.com/sap/support/notes/1856029","1856029")</f>
        <v>1856029</v>
      </c>
      <c r="E8589">
        <v>1</v>
      </c>
      <c r="F8589" t="s">
        <v>9899</v>
      </c>
    </row>
    <row r="8590" spans="1:6" x14ac:dyDescent="0.25">
      <c r="A8590" t="s">
        <v>10927</v>
      </c>
      <c r="B8590" t="s">
        <v>5359</v>
      </c>
      <c r="C8590" t="s">
        <v>5360</v>
      </c>
      <c r="D8590" t="str">
        <f>HYPERLINK("http://service.sap.com/sap/support/notes/1858805","1858805")</f>
        <v>1858805</v>
      </c>
      <c r="E8590">
        <v>2</v>
      </c>
      <c r="F8590" t="s">
        <v>9900</v>
      </c>
    </row>
    <row r="8591" spans="1:6" x14ac:dyDescent="0.25">
      <c r="A8591" t="s">
        <v>10927</v>
      </c>
      <c r="B8591" t="s">
        <v>2197</v>
      </c>
      <c r="C8591" t="s">
        <v>2198</v>
      </c>
    </row>
    <row r="8592" spans="1:6" x14ac:dyDescent="0.25">
      <c r="A8592" t="s">
        <v>10927</v>
      </c>
      <c r="B8592" t="s">
        <v>2199</v>
      </c>
      <c r="C8592" t="s">
        <v>2200</v>
      </c>
    </row>
    <row r="8593" spans="1:6" x14ac:dyDescent="0.25">
      <c r="A8593" t="s">
        <v>10927</v>
      </c>
      <c r="B8593" t="s">
        <v>2201</v>
      </c>
      <c r="C8593" t="s">
        <v>2201</v>
      </c>
      <c r="D8593" t="str">
        <f>HYPERLINK("http://service.sap.com/sap/support/notes/1751487","1751487")</f>
        <v>1751487</v>
      </c>
      <c r="E8593">
        <v>4</v>
      </c>
      <c r="F8593" t="s">
        <v>9901</v>
      </c>
    </row>
    <row r="8594" spans="1:6" x14ac:dyDescent="0.25">
      <c r="A8594" t="s">
        <v>10927</v>
      </c>
      <c r="B8594" t="s">
        <v>5364</v>
      </c>
      <c r="C8594" t="s">
        <v>5365</v>
      </c>
    </row>
    <row r="8595" spans="1:6" x14ac:dyDescent="0.25">
      <c r="A8595" t="s">
        <v>10927</v>
      </c>
      <c r="B8595" t="s">
        <v>5366</v>
      </c>
      <c r="C8595" t="s">
        <v>5367</v>
      </c>
      <c r="D8595" t="str">
        <f>HYPERLINK("http://service.sap.com/sap/support/notes/1852267","1852267")</f>
        <v>1852267</v>
      </c>
      <c r="E8595">
        <v>1</v>
      </c>
      <c r="F8595" t="s">
        <v>9902</v>
      </c>
    </row>
    <row r="8596" spans="1:6" x14ac:dyDescent="0.25">
      <c r="A8596" t="s">
        <v>10927</v>
      </c>
      <c r="B8596" t="s">
        <v>2203</v>
      </c>
      <c r="C8596" t="s">
        <v>218</v>
      </c>
    </row>
    <row r="8597" spans="1:6" x14ac:dyDescent="0.25">
      <c r="A8597" t="s">
        <v>10927</v>
      </c>
      <c r="B8597" t="s">
        <v>2209</v>
      </c>
      <c r="C8597" t="s">
        <v>1635</v>
      </c>
    </row>
    <row r="8598" spans="1:6" x14ac:dyDescent="0.25">
      <c r="A8598" t="s">
        <v>10927</v>
      </c>
      <c r="B8598" t="s">
        <v>2210</v>
      </c>
      <c r="C8598" t="s">
        <v>151</v>
      </c>
      <c r="D8598" t="str">
        <f>HYPERLINK("http://service.sap.com/sap/support/notes/1804812","1804812")</f>
        <v>1804812</v>
      </c>
      <c r="E8598">
        <v>8</v>
      </c>
      <c r="F8598" t="s">
        <v>9903</v>
      </c>
    </row>
    <row r="8599" spans="1:6" x14ac:dyDescent="0.25">
      <c r="A8599" t="s">
        <v>10927</v>
      </c>
      <c r="B8599" t="s">
        <v>2217</v>
      </c>
      <c r="C8599" t="s">
        <v>2218</v>
      </c>
      <c r="D8599" t="str">
        <f>HYPERLINK("http://service.sap.com/sap/support/notes/1853637","1853637")</f>
        <v>1853637</v>
      </c>
      <c r="E8599">
        <v>1</v>
      </c>
      <c r="F8599" t="s">
        <v>9904</v>
      </c>
    </row>
    <row r="8600" spans="1:6" x14ac:dyDescent="0.25">
      <c r="A8600" t="s">
        <v>10927</v>
      </c>
      <c r="B8600" t="s">
        <v>2217</v>
      </c>
      <c r="C8600" t="s">
        <v>2218</v>
      </c>
      <c r="D8600" t="str">
        <f>HYPERLINK("http://service.sap.com/sap/support/notes/1856697","1856697")</f>
        <v>1856697</v>
      </c>
      <c r="E8600">
        <v>2</v>
      </c>
      <c r="F8600" t="s">
        <v>9905</v>
      </c>
    </row>
    <row r="8601" spans="1:6" x14ac:dyDescent="0.25">
      <c r="A8601" t="s">
        <v>10927</v>
      </c>
      <c r="B8601" t="s">
        <v>2222</v>
      </c>
      <c r="C8601" t="s">
        <v>2223</v>
      </c>
      <c r="D8601" t="str">
        <f>HYPERLINK("http://service.sap.com/sap/support/notes/1848289","1848289")</f>
        <v>1848289</v>
      </c>
      <c r="E8601">
        <v>2</v>
      </c>
      <c r="F8601" t="s">
        <v>9906</v>
      </c>
    </row>
    <row r="8602" spans="1:6" x14ac:dyDescent="0.25">
      <c r="A8602" t="s">
        <v>10927</v>
      </c>
      <c r="B8602" t="s">
        <v>2222</v>
      </c>
      <c r="C8602" t="s">
        <v>2223</v>
      </c>
      <c r="D8602" t="str">
        <f>HYPERLINK("http://service.sap.com/sap/support/notes/1848504","1848504")</f>
        <v>1848504</v>
      </c>
      <c r="E8602">
        <v>1</v>
      </c>
      <c r="F8602" t="s">
        <v>9907</v>
      </c>
    </row>
    <row r="8603" spans="1:6" x14ac:dyDescent="0.25">
      <c r="A8603" t="s">
        <v>10927</v>
      </c>
      <c r="B8603" t="s">
        <v>9908</v>
      </c>
      <c r="C8603" t="s">
        <v>9909</v>
      </c>
      <c r="D8603" t="str">
        <f>HYPERLINK("http://service.sap.com/sap/support/notes/1841030","1841030")</f>
        <v>1841030</v>
      </c>
      <c r="E8603">
        <v>2</v>
      </c>
      <c r="F8603" t="s">
        <v>9910</v>
      </c>
    </row>
    <row r="8604" spans="1:6" x14ac:dyDescent="0.25">
      <c r="A8604" t="s">
        <v>10927</v>
      </c>
      <c r="B8604" t="s">
        <v>9908</v>
      </c>
      <c r="C8604" t="s">
        <v>9909</v>
      </c>
      <c r="D8604" t="str">
        <f>HYPERLINK("http://service.sap.com/sap/support/notes/1862495","1862495")</f>
        <v>1862495</v>
      </c>
      <c r="E8604">
        <v>1</v>
      </c>
      <c r="F8604" t="s">
        <v>9911</v>
      </c>
    </row>
    <row r="8605" spans="1:6" x14ac:dyDescent="0.25">
      <c r="A8605" t="s">
        <v>10927</v>
      </c>
      <c r="B8605" t="s">
        <v>9908</v>
      </c>
      <c r="C8605" t="s">
        <v>9909</v>
      </c>
      <c r="D8605" t="str">
        <f>HYPERLINK("http://service.sap.com/sap/support/notes/1863227","1863227")</f>
        <v>1863227</v>
      </c>
      <c r="E8605">
        <v>2</v>
      </c>
      <c r="F8605" t="s">
        <v>9912</v>
      </c>
    </row>
    <row r="8606" spans="1:6" x14ac:dyDescent="0.25">
      <c r="A8606" t="s">
        <v>10927</v>
      </c>
      <c r="B8606" t="s">
        <v>2226</v>
      </c>
      <c r="C8606" t="s">
        <v>2227</v>
      </c>
      <c r="D8606" t="str">
        <f>HYPERLINK("http://service.sap.com/sap/support/notes/1843441","1843441")</f>
        <v>1843441</v>
      </c>
      <c r="E8606">
        <v>1</v>
      </c>
      <c r="F8606" t="s">
        <v>9913</v>
      </c>
    </row>
    <row r="8607" spans="1:6" x14ac:dyDescent="0.25">
      <c r="A8607" t="s">
        <v>10927</v>
      </c>
      <c r="B8607" t="s">
        <v>2226</v>
      </c>
      <c r="C8607" t="s">
        <v>2227</v>
      </c>
      <c r="D8607" t="str">
        <f>HYPERLINK("http://service.sap.com/sap/support/notes/1847530","1847530")</f>
        <v>1847530</v>
      </c>
      <c r="E8607">
        <v>1</v>
      </c>
      <c r="F8607" t="s">
        <v>9914</v>
      </c>
    </row>
    <row r="8608" spans="1:6" x14ac:dyDescent="0.25">
      <c r="A8608" t="s">
        <v>10927</v>
      </c>
      <c r="B8608" t="s">
        <v>2235</v>
      </c>
      <c r="C8608" t="s">
        <v>2236</v>
      </c>
      <c r="D8608" t="str">
        <f>HYPERLINK("http://service.sap.com/sap/support/notes/1836140","1836140")</f>
        <v>1836140</v>
      </c>
      <c r="E8608">
        <v>1</v>
      </c>
      <c r="F8608" t="s">
        <v>9915</v>
      </c>
    </row>
    <row r="8609" spans="1:6" x14ac:dyDescent="0.25">
      <c r="A8609" t="s">
        <v>10927</v>
      </c>
      <c r="B8609" t="s">
        <v>2235</v>
      </c>
      <c r="C8609" t="s">
        <v>2236</v>
      </c>
      <c r="D8609" t="str">
        <f>HYPERLINK("http://service.sap.com/sap/support/notes/1844681","1844681")</f>
        <v>1844681</v>
      </c>
      <c r="E8609">
        <v>1</v>
      </c>
      <c r="F8609" t="s">
        <v>9916</v>
      </c>
    </row>
    <row r="8610" spans="1:6" x14ac:dyDescent="0.25">
      <c r="A8610" t="s">
        <v>10927</v>
      </c>
      <c r="B8610" t="s">
        <v>5387</v>
      </c>
      <c r="C8610" t="s">
        <v>5388</v>
      </c>
      <c r="D8610" t="str">
        <f>HYPERLINK("http://service.sap.com/sap/support/notes/1854464","1854464")</f>
        <v>1854464</v>
      </c>
      <c r="E8610">
        <v>1</v>
      </c>
      <c r="F8610" t="s">
        <v>9917</v>
      </c>
    </row>
    <row r="8611" spans="1:6" x14ac:dyDescent="0.25">
      <c r="A8611" t="s">
        <v>10927</v>
      </c>
      <c r="B8611" t="s">
        <v>2243</v>
      </c>
      <c r="C8611" t="s">
        <v>2244</v>
      </c>
      <c r="D8611" t="str">
        <f>HYPERLINK("http://service.sap.com/sap/support/notes/1795093","1795093")</f>
        <v>1795093</v>
      </c>
      <c r="E8611">
        <v>8</v>
      </c>
      <c r="F8611" t="s">
        <v>9918</v>
      </c>
    </row>
    <row r="8612" spans="1:6" x14ac:dyDescent="0.25">
      <c r="A8612" t="s">
        <v>10927</v>
      </c>
      <c r="B8612" t="s">
        <v>2243</v>
      </c>
      <c r="C8612" t="s">
        <v>2244</v>
      </c>
      <c r="D8612" t="str">
        <f>HYPERLINK("http://service.sap.com/sap/support/notes/1815190","1815190")</f>
        <v>1815190</v>
      </c>
      <c r="E8612">
        <v>2</v>
      </c>
      <c r="F8612" t="s">
        <v>9919</v>
      </c>
    </row>
    <row r="8613" spans="1:6" x14ac:dyDescent="0.25">
      <c r="A8613" t="s">
        <v>10927</v>
      </c>
      <c r="B8613" t="s">
        <v>2243</v>
      </c>
      <c r="C8613" t="s">
        <v>2244</v>
      </c>
      <c r="D8613" t="str">
        <f>HYPERLINK("http://service.sap.com/sap/support/notes/1831441","1831441")</f>
        <v>1831441</v>
      </c>
      <c r="E8613">
        <v>1</v>
      </c>
      <c r="F8613" t="s">
        <v>9920</v>
      </c>
    </row>
    <row r="8614" spans="1:6" x14ac:dyDescent="0.25">
      <c r="A8614" t="s">
        <v>10927</v>
      </c>
      <c r="B8614" t="s">
        <v>2243</v>
      </c>
      <c r="C8614" t="s">
        <v>2244</v>
      </c>
      <c r="D8614" t="str">
        <f>HYPERLINK("http://service.sap.com/sap/support/notes/1832844","1832844")</f>
        <v>1832844</v>
      </c>
      <c r="E8614">
        <v>1</v>
      </c>
      <c r="F8614" t="s">
        <v>9921</v>
      </c>
    </row>
    <row r="8615" spans="1:6" x14ac:dyDescent="0.25">
      <c r="A8615" t="s">
        <v>10927</v>
      </c>
      <c r="B8615" t="s">
        <v>2243</v>
      </c>
      <c r="C8615" t="s">
        <v>2244</v>
      </c>
      <c r="D8615" t="str">
        <f>HYPERLINK("http://service.sap.com/sap/support/notes/1833195","1833195")</f>
        <v>1833195</v>
      </c>
      <c r="E8615">
        <v>1</v>
      </c>
      <c r="F8615" t="s">
        <v>9922</v>
      </c>
    </row>
    <row r="8616" spans="1:6" x14ac:dyDescent="0.25">
      <c r="A8616" t="s">
        <v>10927</v>
      </c>
      <c r="B8616" t="s">
        <v>2243</v>
      </c>
      <c r="C8616" t="s">
        <v>2244</v>
      </c>
      <c r="D8616" t="str">
        <f>HYPERLINK("http://service.sap.com/sap/support/notes/1834953","1834953")</f>
        <v>1834953</v>
      </c>
      <c r="E8616">
        <v>1</v>
      </c>
      <c r="F8616" t="s">
        <v>7743</v>
      </c>
    </row>
    <row r="8617" spans="1:6" x14ac:dyDescent="0.25">
      <c r="A8617" t="s">
        <v>10927</v>
      </c>
      <c r="B8617" t="s">
        <v>2263</v>
      </c>
      <c r="C8617" t="s">
        <v>1537</v>
      </c>
    </row>
    <row r="8618" spans="1:6" x14ac:dyDescent="0.25">
      <c r="A8618" t="s">
        <v>10927</v>
      </c>
      <c r="B8618" t="s">
        <v>2264</v>
      </c>
      <c r="C8618" t="s">
        <v>2265</v>
      </c>
      <c r="D8618" t="str">
        <f>HYPERLINK("http://service.sap.com/sap/support/notes/1852813","1852813")</f>
        <v>1852813</v>
      </c>
      <c r="E8618">
        <v>1</v>
      </c>
      <c r="F8618" t="s">
        <v>9923</v>
      </c>
    </row>
    <row r="8619" spans="1:6" x14ac:dyDescent="0.25">
      <c r="A8619" t="s">
        <v>10927</v>
      </c>
      <c r="B8619" t="s">
        <v>2264</v>
      </c>
      <c r="C8619" t="s">
        <v>2265</v>
      </c>
      <c r="D8619" t="str">
        <f>HYPERLINK("http://service.sap.com/sap/support/notes/1862956","1862956")</f>
        <v>1862956</v>
      </c>
      <c r="E8619">
        <v>1</v>
      </c>
      <c r="F8619" t="s">
        <v>9924</v>
      </c>
    </row>
    <row r="8620" spans="1:6" x14ac:dyDescent="0.25">
      <c r="A8620" t="s">
        <v>10927</v>
      </c>
      <c r="B8620" t="s">
        <v>2270</v>
      </c>
      <c r="C8620" t="s">
        <v>2265</v>
      </c>
      <c r="D8620" t="str">
        <f>HYPERLINK("http://service.sap.com/sap/support/notes/1843830","1843830")</f>
        <v>1843830</v>
      </c>
      <c r="E8620">
        <v>2</v>
      </c>
      <c r="F8620" t="s">
        <v>9925</v>
      </c>
    </row>
    <row r="8621" spans="1:6" x14ac:dyDescent="0.25">
      <c r="A8621" t="s">
        <v>10927</v>
      </c>
      <c r="B8621" t="s">
        <v>2276</v>
      </c>
      <c r="C8621" t="s">
        <v>2277</v>
      </c>
      <c r="D8621" t="str">
        <f>HYPERLINK("http://service.sap.com/sap/support/notes/1805548","1805548")</f>
        <v>1805548</v>
      </c>
      <c r="E8621">
        <v>3</v>
      </c>
      <c r="F8621" t="s">
        <v>9926</v>
      </c>
    </row>
    <row r="8622" spans="1:6" x14ac:dyDescent="0.25">
      <c r="A8622" t="s">
        <v>10927</v>
      </c>
      <c r="B8622" t="s">
        <v>2276</v>
      </c>
      <c r="C8622" t="s">
        <v>2277</v>
      </c>
      <c r="D8622" t="str">
        <f>HYPERLINK("http://service.sap.com/sap/support/notes/1813709","1813709")</f>
        <v>1813709</v>
      </c>
      <c r="E8622">
        <v>4</v>
      </c>
      <c r="F8622" t="s">
        <v>9927</v>
      </c>
    </row>
    <row r="8623" spans="1:6" x14ac:dyDescent="0.25">
      <c r="A8623" t="s">
        <v>10927</v>
      </c>
      <c r="B8623" t="s">
        <v>2276</v>
      </c>
      <c r="C8623" t="s">
        <v>2277</v>
      </c>
      <c r="D8623" t="str">
        <f>HYPERLINK("http://service.sap.com/sap/support/notes/1825650","1825650")</f>
        <v>1825650</v>
      </c>
      <c r="E8623">
        <v>2</v>
      </c>
      <c r="F8623" t="s">
        <v>9928</v>
      </c>
    </row>
    <row r="8624" spans="1:6" x14ac:dyDescent="0.25">
      <c r="A8624" t="s">
        <v>10927</v>
      </c>
      <c r="B8624" t="s">
        <v>2279</v>
      </c>
      <c r="C8624" t="s">
        <v>2280</v>
      </c>
    </row>
    <row r="8625" spans="1:6" x14ac:dyDescent="0.25">
      <c r="A8625" t="s">
        <v>10927</v>
      </c>
      <c r="B8625" t="s">
        <v>5413</v>
      </c>
      <c r="C8625" t="s">
        <v>2280</v>
      </c>
      <c r="D8625" t="str">
        <f>HYPERLINK("http://service.sap.com/sap/support/notes/1831274","1831274")</f>
        <v>1831274</v>
      </c>
      <c r="E8625">
        <v>1</v>
      </c>
      <c r="F8625" t="s">
        <v>9929</v>
      </c>
    </row>
    <row r="8626" spans="1:6" x14ac:dyDescent="0.25">
      <c r="A8626" t="s">
        <v>10927</v>
      </c>
      <c r="B8626" t="s">
        <v>5413</v>
      </c>
      <c r="C8626" t="s">
        <v>2280</v>
      </c>
      <c r="D8626" t="str">
        <f>HYPERLINK("http://service.sap.com/sap/support/notes/1833250","1833250")</f>
        <v>1833250</v>
      </c>
      <c r="E8626">
        <v>1</v>
      </c>
      <c r="F8626" t="s">
        <v>9930</v>
      </c>
    </row>
    <row r="8627" spans="1:6" x14ac:dyDescent="0.25">
      <c r="A8627" t="s">
        <v>10927</v>
      </c>
      <c r="B8627" t="s">
        <v>5413</v>
      </c>
      <c r="C8627" t="s">
        <v>2280</v>
      </c>
      <c r="D8627" t="str">
        <f>HYPERLINK("http://service.sap.com/sap/support/notes/1855498","1855498")</f>
        <v>1855498</v>
      </c>
      <c r="E8627">
        <v>1</v>
      </c>
      <c r="F8627" t="s">
        <v>9931</v>
      </c>
    </row>
    <row r="8628" spans="1:6" x14ac:dyDescent="0.25">
      <c r="A8628" t="s">
        <v>10927</v>
      </c>
      <c r="B8628" t="s">
        <v>2297</v>
      </c>
      <c r="C8628" t="s">
        <v>7770</v>
      </c>
      <c r="D8628" t="str">
        <f>HYPERLINK("http://service.sap.com/sap/support/notes/1838162","1838162")</f>
        <v>1838162</v>
      </c>
      <c r="E8628">
        <v>2</v>
      </c>
      <c r="F8628" t="s">
        <v>9932</v>
      </c>
    </row>
    <row r="8629" spans="1:6" x14ac:dyDescent="0.25">
      <c r="A8629" t="s">
        <v>10927</v>
      </c>
      <c r="B8629" t="s">
        <v>2299</v>
      </c>
      <c r="C8629" t="s">
        <v>2300</v>
      </c>
      <c r="D8629" t="str">
        <f>HYPERLINK("http://service.sap.com/sap/support/notes/1790418","1790418")</f>
        <v>1790418</v>
      </c>
      <c r="E8629">
        <v>1</v>
      </c>
      <c r="F8629" t="s">
        <v>9933</v>
      </c>
    </row>
    <row r="8630" spans="1:6" x14ac:dyDescent="0.25">
      <c r="A8630" t="s">
        <v>10927</v>
      </c>
      <c r="B8630" t="s">
        <v>2299</v>
      </c>
      <c r="C8630" t="s">
        <v>2300</v>
      </c>
      <c r="D8630" t="str">
        <f>HYPERLINK("http://service.sap.com/sap/support/notes/1820406","1820406")</f>
        <v>1820406</v>
      </c>
      <c r="E8630">
        <v>1</v>
      </c>
      <c r="F8630" t="s">
        <v>9934</v>
      </c>
    </row>
    <row r="8631" spans="1:6" x14ac:dyDescent="0.25">
      <c r="A8631" t="s">
        <v>10927</v>
      </c>
      <c r="B8631" t="s">
        <v>2299</v>
      </c>
      <c r="C8631" t="s">
        <v>2300</v>
      </c>
      <c r="D8631" t="str">
        <f>HYPERLINK("http://service.sap.com/sap/support/notes/1825639","1825639")</f>
        <v>1825639</v>
      </c>
      <c r="E8631">
        <v>2</v>
      </c>
      <c r="F8631" t="s">
        <v>9935</v>
      </c>
    </row>
    <row r="8632" spans="1:6" x14ac:dyDescent="0.25">
      <c r="A8632" t="s">
        <v>10927</v>
      </c>
      <c r="B8632" t="s">
        <v>2299</v>
      </c>
      <c r="C8632" t="s">
        <v>2300</v>
      </c>
      <c r="D8632" t="str">
        <f>HYPERLINK("http://service.sap.com/sap/support/notes/1832625","1832625")</f>
        <v>1832625</v>
      </c>
      <c r="E8632">
        <v>1</v>
      </c>
      <c r="F8632" t="s">
        <v>9936</v>
      </c>
    </row>
    <row r="8633" spans="1:6" x14ac:dyDescent="0.25">
      <c r="A8633" t="s">
        <v>10927</v>
      </c>
      <c r="B8633" t="s">
        <v>2299</v>
      </c>
      <c r="C8633" t="s">
        <v>2300</v>
      </c>
      <c r="D8633" t="str">
        <f>HYPERLINK("http://service.sap.com/sap/support/notes/1835514","1835514")</f>
        <v>1835514</v>
      </c>
      <c r="E8633">
        <v>2</v>
      </c>
      <c r="F8633" t="s">
        <v>9937</v>
      </c>
    </row>
    <row r="8634" spans="1:6" x14ac:dyDescent="0.25">
      <c r="A8634" t="s">
        <v>10927</v>
      </c>
      <c r="B8634" t="s">
        <v>2299</v>
      </c>
      <c r="C8634" t="s">
        <v>2300</v>
      </c>
      <c r="D8634" t="str">
        <f>HYPERLINK("http://service.sap.com/sap/support/notes/1846643","1846643")</f>
        <v>1846643</v>
      </c>
      <c r="E8634">
        <v>1</v>
      </c>
      <c r="F8634" t="s">
        <v>9938</v>
      </c>
    </row>
    <row r="8635" spans="1:6" x14ac:dyDescent="0.25">
      <c r="A8635" t="s">
        <v>10927</v>
      </c>
      <c r="B8635" t="s">
        <v>2299</v>
      </c>
      <c r="C8635" t="s">
        <v>2300</v>
      </c>
      <c r="D8635" t="str">
        <f>HYPERLINK("http://service.sap.com/sap/support/notes/1855996","1855996")</f>
        <v>1855996</v>
      </c>
      <c r="E8635">
        <v>1</v>
      </c>
      <c r="F8635" t="s">
        <v>9939</v>
      </c>
    </row>
    <row r="8636" spans="1:6" x14ac:dyDescent="0.25">
      <c r="A8636" t="s">
        <v>10927</v>
      </c>
      <c r="B8636" t="s">
        <v>2305</v>
      </c>
      <c r="C8636" t="s">
        <v>2306</v>
      </c>
      <c r="D8636" t="str">
        <f>HYPERLINK("http://service.sap.com/sap/support/notes/1834878","1834878")</f>
        <v>1834878</v>
      </c>
      <c r="E8636">
        <v>1</v>
      </c>
      <c r="F8636" t="s">
        <v>9940</v>
      </c>
    </row>
    <row r="8637" spans="1:6" x14ac:dyDescent="0.25">
      <c r="A8637" t="s">
        <v>10927</v>
      </c>
      <c r="B8637" t="s">
        <v>2305</v>
      </c>
      <c r="C8637" t="s">
        <v>2306</v>
      </c>
      <c r="D8637" t="str">
        <f>HYPERLINK("http://service.sap.com/sap/support/notes/1836605","1836605")</f>
        <v>1836605</v>
      </c>
      <c r="E8637">
        <v>2</v>
      </c>
      <c r="F8637" t="s">
        <v>9941</v>
      </c>
    </row>
    <row r="8638" spans="1:6" x14ac:dyDescent="0.25">
      <c r="A8638" t="s">
        <v>10927</v>
      </c>
      <c r="B8638" t="s">
        <v>9942</v>
      </c>
      <c r="C8638" t="s">
        <v>824</v>
      </c>
    </row>
    <row r="8639" spans="1:6" x14ac:dyDescent="0.25">
      <c r="A8639" t="s">
        <v>10927</v>
      </c>
      <c r="B8639" t="s">
        <v>9943</v>
      </c>
      <c r="C8639" t="s">
        <v>9944</v>
      </c>
      <c r="D8639" t="str">
        <f>HYPERLINK("http://service.sap.com/sap/support/notes/1853783","1853783")</f>
        <v>1853783</v>
      </c>
      <c r="E8639">
        <v>1</v>
      </c>
      <c r="F8639" t="s">
        <v>9945</v>
      </c>
    </row>
    <row r="8640" spans="1:6" x14ac:dyDescent="0.25">
      <c r="A8640" t="s">
        <v>10927</v>
      </c>
      <c r="B8640" t="s">
        <v>9943</v>
      </c>
      <c r="C8640" t="s">
        <v>9944</v>
      </c>
      <c r="D8640" t="str">
        <f>HYPERLINK("http://service.sap.com/sap/support/notes/1855872","1855872")</f>
        <v>1855872</v>
      </c>
      <c r="E8640">
        <v>1</v>
      </c>
      <c r="F8640" t="s">
        <v>9946</v>
      </c>
    </row>
    <row r="8641" spans="1:6" x14ac:dyDescent="0.25">
      <c r="A8641" t="s">
        <v>10927</v>
      </c>
      <c r="B8641" t="s">
        <v>2320</v>
      </c>
      <c r="C8641" t="s">
        <v>2321</v>
      </c>
    </row>
    <row r="8642" spans="1:6" x14ac:dyDescent="0.25">
      <c r="A8642" t="s">
        <v>10927</v>
      </c>
      <c r="B8642" t="s">
        <v>2322</v>
      </c>
      <c r="C8642" t="s">
        <v>2323</v>
      </c>
      <c r="D8642" t="str">
        <f>HYPERLINK("http://service.sap.com/sap/support/notes/1831995","1831995")</f>
        <v>1831995</v>
      </c>
      <c r="E8642">
        <v>1</v>
      </c>
      <c r="F8642" t="s">
        <v>9947</v>
      </c>
    </row>
    <row r="8643" spans="1:6" x14ac:dyDescent="0.25">
      <c r="A8643" t="s">
        <v>10927</v>
      </c>
      <c r="B8643" t="s">
        <v>2322</v>
      </c>
      <c r="C8643" t="s">
        <v>2323</v>
      </c>
      <c r="D8643" t="str">
        <f>HYPERLINK("http://service.sap.com/sap/support/notes/1840880","1840880")</f>
        <v>1840880</v>
      </c>
      <c r="E8643">
        <v>1</v>
      </c>
      <c r="F8643" t="s">
        <v>9948</v>
      </c>
    </row>
    <row r="8644" spans="1:6" x14ac:dyDescent="0.25">
      <c r="A8644" t="s">
        <v>10927</v>
      </c>
      <c r="B8644" t="s">
        <v>2322</v>
      </c>
      <c r="C8644" t="s">
        <v>2323</v>
      </c>
      <c r="D8644" t="str">
        <f>HYPERLINK("http://service.sap.com/sap/support/notes/1846935","1846935")</f>
        <v>1846935</v>
      </c>
      <c r="E8644">
        <v>1</v>
      </c>
      <c r="F8644" t="s">
        <v>9949</v>
      </c>
    </row>
    <row r="8645" spans="1:6" x14ac:dyDescent="0.25">
      <c r="A8645" t="s">
        <v>10927</v>
      </c>
      <c r="B8645" t="s">
        <v>2327</v>
      </c>
      <c r="C8645" t="s">
        <v>151</v>
      </c>
    </row>
    <row r="8646" spans="1:6" x14ac:dyDescent="0.25">
      <c r="A8646" t="s">
        <v>10927</v>
      </c>
      <c r="B8646" t="s">
        <v>5433</v>
      </c>
      <c r="C8646" t="s">
        <v>5434</v>
      </c>
      <c r="D8646" t="str">
        <f>HYPERLINK("http://service.sap.com/sap/support/notes/1760355","1760355")</f>
        <v>1760355</v>
      </c>
      <c r="E8646">
        <v>1</v>
      </c>
      <c r="F8646" t="s">
        <v>9950</v>
      </c>
    </row>
    <row r="8647" spans="1:6" x14ac:dyDescent="0.25">
      <c r="A8647" t="s">
        <v>10927</v>
      </c>
      <c r="B8647" t="s">
        <v>5436</v>
      </c>
      <c r="C8647" t="s">
        <v>5437</v>
      </c>
      <c r="D8647" t="str">
        <f>HYPERLINK("http://service.sap.com/sap/support/notes/1826961","1826961")</f>
        <v>1826961</v>
      </c>
      <c r="E8647">
        <v>3</v>
      </c>
      <c r="F8647" t="s">
        <v>5438</v>
      </c>
    </row>
    <row r="8648" spans="1:6" x14ac:dyDescent="0.25">
      <c r="A8648" t="s">
        <v>10927</v>
      </c>
      <c r="B8648" t="s">
        <v>2331</v>
      </c>
      <c r="C8648" t="s">
        <v>1784</v>
      </c>
    </row>
    <row r="8649" spans="1:6" x14ac:dyDescent="0.25">
      <c r="A8649" t="s">
        <v>10927</v>
      </c>
      <c r="B8649" t="s">
        <v>7798</v>
      </c>
      <c r="C8649" t="s">
        <v>7799</v>
      </c>
      <c r="D8649" t="str">
        <f>HYPERLINK("http://service.sap.com/sap/support/notes/1850934","1850934")</f>
        <v>1850934</v>
      </c>
      <c r="E8649">
        <v>1</v>
      </c>
      <c r="F8649" t="s">
        <v>9248</v>
      </c>
    </row>
    <row r="8650" spans="1:6" x14ac:dyDescent="0.25">
      <c r="A8650" t="s">
        <v>10927</v>
      </c>
      <c r="B8650" t="s">
        <v>2332</v>
      </c>
      <c r="C8650" t="s">
        <v>2333</v>
      </c>
      <c r="D8650" t="str">
        <f>HYPERLINK("http://service.sap.com/sap/support/notes/1832402","1832402")</f>
        <v>1832402</v>
      </c>
      <c r="E8650">
        <v>1</v>
      </c>
      <c r="F8650" t="s">
        <v>9951</v>
      </c>
    </row>
    <row r="8651" spans="1:6" x14ac:dyDescent="0.25">
      <c r="A8651" t="s">
        <v>10927</v>
      </c>
      <c r="B8651" t="s">
        <v>2332</v>
      </c>
      <c r="C8651" t="s">
        <v>2333</v>
      </c>
      <c r="D8651" t="str">
        <f>HYPERLINK("http://service.sap.com/sap/support/notes/1842063","1842063")</f>
        <v>1842063</v>
      </c>
      <c r="E8651">
        <v>3</v>
      </c>
      <c r="F8651" t="s">
        <v>9952</v>
      </c>
    </row>
    <row r="8652" spans="1:6" x14ac:dyDescent="0.25">
      <c r="A8652" t="s">
        <v>10927</v>
      </c>
      <c r="B8652" t="s">
        <v>2340</v>
      </c>
      <c r="C8652" t="s">
        <v>5445</v>
      </c>
    </row>
    <row r="8653" spans="1:6" x14ac:dyDescent="0.25">
      <c r="A8653" t="s">
        <v>10927</v>
      </c>
      <c r="B8653" t="s">
        <v>2344</v>
      </c>
      <c r="C8653" t="s">
        <v>2345</v>
      </c>
      <c r="D8653" t="str">
        <f>HYPERLINK("http://service.sap.com/sap/support/notes/1843355","1843355")</f>
        <v>1843355</v>
      </c>
      <c r="E8653">
        <v>1</v>
      </c>
      <c r="F8653" t="s">
        <v>9953</v>
      </c>
    </row>
    <row r="8654" spans="1:6" x14ac:dyDescent="0.25">
      <c r="A8654" t="s">
        <v>10927</v>
      </c>
      <c r="B8654" t="s">
        <v>2347</v>
      </c>
      <c r="C8654" t="s">
        <v>2348</v>
      </c>
      <c r="D8654" t="str">
        <f>HYPERLINK("http://service.sap.com/sap/support/notes/1840708","1840708")</f>
        <v>1840708</v>
      </c>
      <c r="E8654">
        <v>3</v>
      </c>
      <c r="F8654" t="s">
        <v>9954</v>
      </c>
    </row>
    <row r="8655" spans="1:6" x14ac:dyDescent="0.25">
      <c r="A8655" t="s">
        <v>10927</v>
      </c>
      <c r="B8655" t="s">
        <v>2351</v>
      </c>
      <c r="C8655" t="s">
        <v>2352</v>
      </c>
      <c r="D8655" t="str">
        <f>HYPERLINK("http://service.sap.com/sap/support/notes/1856780","1856780")</f>
        <v>1856780</v>
      </c>
      <c r="E8655">
        <v>2</v>
      </c>
      <c r="F8655" t="s">
        <v>9955</v>
      </c>
    </row>
    <row r="8656" spans="1:6" x14ac:dyDescent="0.25">
      <c r="A8656" t="s">
        <v>10927</v>
      </c>
      <c r="B8656" t="s">
        <v>2358</v>
      </c>
      <c r="C8656" t="s">
        <v>2359</v>
      </c>
      <c r="D8656" t="str">
        <f>HYPERLINK("http://service.sap.com/sap/support/notes/1798702","1798702")</f>
        <v>1798702</v>
      </c>
      <c r="E8656">
        <v>5</v>
      </c>
      <c r="F8656" t="s">
        <v>9956</v>
      </c>
    </row>
    <row r="8657" spans="1:6" x14ac:dyDescent="0.25">
      <c r="A8657" t="s">
        <v>10927</v>
      </c>
      <c r="B8657" t="s">
        <v>2358</v>
      </c>
      <c r="C8657" t="s">
        <v>2359</v>
      </c>
      <c r="D8657" t="str">
        <f>HYPERLINK("http://service.sap.com/sap/support/notes/1852620","1852620")</f>
        <v>1852620</v>
      </c>
      <c r="E8657">
        <v>2</v>
      </c>
      <c r="F8657" t="s">
        <v>9957</v>
      </c>
    </row>
    <row r="8658" spans="1:6" x14ac:dyDescent="0.25">
      <c r="A8658" t="s">
        <v>10927</v>
      </c>
      <c r="B8658" t="s">
        <v>7815</v>
      </c>
      <c r="C8658" t="s">
        <v>7816</v>
      </c>
      <c r="D8658" t="str">
        <f>HYPERLINK("http://service.sap.com/sap/support/notes/1836522","1836522")</f>
        <v>1836522</v>
      </c>
      <c r="E8658">
        <v>1</v>
      </c>
      <c r="F8658" t="s">
        <v>9958</v>
      </c>
    </row>
    <row r="8659" spans="1:6" x14ac:dyDescent="0.25">
      <c r="A8659" t="s">
        <v>10927</v>
      </c>
      <c r="B8659" t="s">
        <v>2375</v>
      </c>
      <c r="C8659" t="s">
        <v>2376</v>
      </c>
      <c r="D8659" t="str">
        <f>HYPERLINK("http://service.sap.com/sap/support/notes/1836785","1836785")</f>
        <v>1836785</v>
      </c>
      <c r="E8659">
        <v>3</v>
      </c>
      <c r="F8659" t="s">
        <v>9959</v>
      </c>
    </row>
    <row r="8660" spans="1:6" x14ac:dyDescent="0.25">
      <c r="A8660" t="s">
        <v>10927</v>
      </c>
      <c r="B8660" t="s">
        <v>2375</v>
      </c>
      <c r="C8660" t="s">
        <v>2376</v>
      </c>
      <c r="D8660" t="str">
        <f>HYPERLINK("http://service.sap.com/sap/support/notes/1839848","1839848")</f>
        <v>1839848</v>
      </c>
      <c r="E8660">
        <v>3</v>
      </c>
      <c r="F8660" t="s">
        <v>9960</v>
      </c>
    </row>
    <row r="8661" spans="1:6" x14ac:dyDescent="0.25">
      <c r="A8661" t="s">
        <v>10927</v>
      </c>
      <c r="B8661" t="s">
        <v>2375</v>
      </c>
      <c r="C8661" t="s">
        <v>2376</v>
      </c>
      <c r="D8661" t="str">
        <f>HYPERLINK("http://service.sap.com/sap/support/notes/1842841","1842841")</f>
        <v>1842841</v>
      </c>
      <c r="E8661">
        <v>3</v>
      </c>
      <c r="F8661" t="s">
        <v>9961</v>
      </c>
    </row>
    <row r="8662" spans="1:6" x14ac:dyDescent="0.25">
      <c r="A8662" t="s">
        <v>10927</v>
      </c>
      <c r="B8662" t="s">
        <v>2383</v>
      </c>
      <c r="C8662" t="s">
        <v>1638</v>
      </c>
    </row>
    <row r="8663" spans="1:6" x14ac:dyDescent="0.25">
      <c r="A8663" t="s">
        <v>10927</v>
      </c>
      <c r="B8663" t="s">
        <v>2397</v>
      </c>
      <c r="C8663" t="s">
        <v>151</v>
      </c>
      <c r="D8663" t="str">
        <f>HYPERLINK("http://service.sap.com/sap/support/notes/1830398","1830398")</f>
        <v>1830398</v>
      </c>
      <c r="E8663">
        <v>2</v>
      </c>
      <c r="F8663" t="s">
        <v>9962</v>
      </c>
    </row>
    <row r="8664" spans="1:6" x14ac:dyDescent="0.25">
      <c r="A8664" t="s">
        <v>10927</v>
      </c>
      <c r="B8664" t="s">
        <v>2399</v>
      </c>
      <c r="C8664" t="s">
        <v>2400</v>
      </c>
      <c r="D8664" t="str">
        <f>HYPERLINK("http://service.sap.com/sap/support/notes/1782539","1782539")</f>
        <v>1782539</v>
      </c>
      <c r="E8664">
        <v>5</v>
      </c>
      <c r="F8664" t="s">
        <v>9963</v>
      </c>
    </row>
    <row r="8665" spans="1:6" x14ac:dyDescent="0.25">
      <c r="A8665" t="s">
        <v>10927</v>
      </c>
      <c r="B8665" t="s">
        <v>2399</v>
      </c>
      <c r="C8665" t="s">
        <v>2400</v>
      </c>
      <c r="D8665" t="str">
        <f>HYPERLINK("http://service.sap.com/sap/support/notes/1809109","1809109")</f>
        <v>1809109</v>
      </c>
      <c r="E8665">
        <v>5</v>
      </c>
      <c r="F8665" t="s">
        <v>9964</v>
      </c>
    </row>
    <row r="8666" spans="1:6" x14ac:dyDescent="0.25">
      <c r="A8666" t="s">
        <v>10927</v>
      </c>
      <c r="B8666" t="s">
        <v>9965</v>
      </c>
      <c r="C8666" t="s">
        <v>9966</v>
      </c>
      <c r="D8666" t="str">
        <f>HYPERLINK("http://service.sap.com/sap/support/notes/1730500","1730500")</f>
        <v>1730500</v>
      </c>
      <c r="E8666">
        <v>3</v>
      </c>
      <c r="F8666" t="s">
        <v>9967</v>
      </c>
    </row>
    <row r="8667" spans="1:6" x14ac:dyDescent="0.25">
      <c r="A8667" t="s">
        <v>10927</v>
      </c>
      <c r="B8667" t="s">
        <v>2405</v>
      </c>
      <c r="C8667" t="s">
        <v>978</v>
      </c>
      <c r="D8667" t="str">
        <f>HYPERLINK("http://service.sap.com/sap/support/notes/1805535","1805535")</f>
        <v>1805535</v>
      </c>
      <c r="E8667">
        <v>4</v>
      </c>
      <c r="F8667" t="s">
        <v>9968</v>
      </c>
    </row>
    <row r="8668" spans="1:6" x14ac:dyDescent="0.25">
      <c r="A8668" t="s">
        <v>10927</v>
      </c>
      <c r="B8668" t="s">
        <v>2405</v>
      </c>
      <c r="C8668" t="s">
        <v>978</v>
      </c>
      <c r="D8668" t="str">
        <f>HYPERLINK("http://service.sap.com/sap/support/notes/1833581","1833581")</f>
        <v>1833581</v>
      </c>
      <c r="E8668">
        <v>2</v>
      </c>
      <c r="F8668" t="s">
        <v>9969</v>
      </c>
    </row>
    <row r="8669" spans="1:6" x14ac:dyDescent="0.25">
      <c r="A8669" t="s">
        <v>10927</v>
      </c>
      <c r="B8669" t="s">
        <v>2405</v>
      </c>
      <c r="C8669" t="s">
        <v>978</v>
      </c>
      <c r="D8669" t="str">
        <f>HYPERLINK("http://service.sap.com/sap/support/notes/1840959","1840959")</f>
        <v>1840959</v>
      </c>
      <c r="E8669">
        <v>5</v>
      </c>
      <c r="F8669" t="s">
        <v>9970</v>
      </c>
    </row>
    <row r="8670" spans="1:6" x14ac:dyDescent="0.25">
      <c r="A8670" t="s">
        <v>10927</v>
      </c>
      <c r="B8670" t="s">
        <v>2405</v>
      </c>
      <c r="C8670" t="s">
        <v>978</v>
      </c>
      <c r="D8670" t="str">
        <f>HYPERLINK("http://service.sap.com/sap/support/notes/1857359","1857359")</f>
        <v>1857359</v>
      </c>
      <c r="E8670">
        <v>1</v>
      </c>
      <c r="F8670" t="s">
        <v>9971</v>
      </c>
    </row>
    <row r="8671" spans="1:6" x14ac:dyDescent="0.25">
      <c r="A8671" t="s">
        <v>10927</v>
      </c>
      <c r="B8671" t="s">
        <v>9972</v>
      </c>
      <c r="C8671" t="s">
        <v>9973</v>
      </c>
      <c r="D8671" t="str">
        <f>HYPERLINK("http://service.sap.com/sap/support/notes/1321444","1321444")</f>
        <v>1321444</v>
      </c>
      <c r="E8671">
        <v>10</v>
      </c>
      <c r="F8671" t="s">
        <v>9974</v>
      </c>
    </row>
    <row r="8672" spans="1:6" x14ac:dyDescent="0.25">
      <c r="A8672" t="s">
        <v>10927</v>
      </c>
      <c r="B8672" t="s">
        <v>2414</v>
      </c>
      <c r="C8672" t="s">
        <v>2415</v>
      </c>
      <c r="D8672" t="str">
        <f>HYPERLINK("http://service.sap.com/sap/support/notes/1826218","1826218")</f>
        <v>1826218</v>
      </c>
      <c r="E8672">
        <v>2</v>
      </c>
      <c r="F8672" t="s">
        <v>9975</v>
      </c>
    </row>
    <row r="8673" spans="1:6" x14ac:dyDescent="0.25">
      <c r="A8673" t="s">
        <v>10927</v>
      </c>
      <c r="B8673" t="s">
        <v>2414</v>
      </c>
      <c r="C8673" t="s">
        <v>2415</v>
      </c>
      <c r="D8673" t="str">
        <f>HYPERLINK("http://service.sap.com/sap/support/notes/1835798","1835798")</f>
        <v>1835798</v>
      </c>
      <c r="E8673">
        <v>4</v>
      </c>
      <c r="F8673" t="s">
        <v>9976</v>
      </c>
    </row>
    <row r="8674" spans="1:6" x14ac:dyDescent="0.25">
      <c r="A8674" t="s">
        <v>10927</v>
      </c>
      <c r="B8674" t="s">
        <v>9977</v>
      </c>
      <c r="C8674" t="s">
        <v>9978</v>
      </c>
      <c r="D8674" t="str">
        <f>HYPERLINK("http://service.sap.com/sap/support/notes/1856723","1856723")</f>
        <v>1856723</v>
      </c>
      <c r="E8674">
        <v>3</v>
      </c>
      <c r="F8674" t="s">
        <v>9979</v>
      </c>
    </row>
    <row r="8675" spans="1:6" x14ac:dyDescent="0.25">
      <c r="A8675" t="s">
        <v>10927</v>
      </c>
      <c r="B8675" t="s">
        <v>9977</v>
      </c>
      <c r="C8675" t="s">
        <v>9978</v>
      </c>
      <c r="D8675" t="str">
        <f>HYPERLINK("http://service.sap.com/sap/support/notes/1862084","1862084")</f>
        <v>1862084</v>
      </c>
      <c r="E8675">
        <v>1</v>
      </c>
      <c r="F8675" t="s">
        <v>9980</v>
      </c>
    </row>
    <row r="8676" spans="1:6" x14ac:dyDescent="0.25">
      <c r="A8676" t="s">
        <v>10927</v>
      </c>
      <c r="B8676" t="s">
        <v>2418</v>
      </c>
      <c r="C8676" t="s">
        <v>2419</v>
      </c>
      <c r="D8676" t="str">
        <f>HYPERLINK("http://service.sap.com/sap/support/notes/1682895","1682895")</f>
        <v>1682895</v>
      </c>
      <c r="E8676">
        <v>3</v>
      </c>
      <c r="F8676" t="s">
        <v>9981</v>
      </c>
    </row>
    <row r="8677" spans="1:6" x14ac:dyDescent="0.25">
      <c r="A8677" t="s">
        <v>10927</v>
      </c>
      <c r="B8677" t="s">
        <v>2418</v>
      </c>
      <c r="C8677" t="s">
        <v>2419</v>
      </c>
      <c r="D8677" t="str">
        <f>HYPERLINK("http://service.sap.com/sap/support/notes/1694860","1694860")</f>
        <v>1694860</v>
      </c>
      <c r="E8677">
        <v>1</v>
      </c>
      <c r="F8677" t="s">
        <v>9982</v>
      </c>
    </row>
    <row r="8678" spans="1:6" x14ac:dyDescent="0.25">
      <c r="A8678" t="s">
        <v>10927</v>
      </c>
      <c r="B8678" t="s">
        <v>2421</v>
      </c>
      <c r="C8678" t="s">
        <v>2422</v>
      </c>
      <c r="D8678" t="str">
        <f>HYPERLINK("http://service.sap.com/sap/support/notes/1647500","1647500")</f>
        <v>1647500</v>
      </c>
      <c r="E8678">
        <v>2</v>
      </c>
      <c r="F8678" t="s">
        <v>9983</v>
      </c>
    </row>
    <row r="8679" spans="1:6" x14ac:dyDescent="0.25">
      <c r="A8679" t="s">
        <v>10927</v>
      </c>
      <c r="B8679" t="s">
        <v>2421</v>
      </c>
      <c r="C8679" t="s">
        <v>2422</v>
      </c>
      <c r="D8679" t="str">
        <f>HYPERLINK("http://service.sap.com/sap/support/notes/1827920","1827920")</f>
        <v>1827920</v>
      </c>
      <c r="E8679">
        <v>7</v>
      </c>
      <c r="F8679" t="s">
        <v>9984</v>
      </c>
    </row>
    <row r="8680" spans="1:6" x14ac:dyDescent="0.25">
      <c r="A8680" t="s">
        <v>10927</v>
      </c>
      <c r="B8680" t="s">
        <v>2421</v>
      </c>
      <c r="C8680" t="s">
        <v>2422</v>
      </c>
      <c r="D8680" t="str">
        <f>HYPERLINK("http://service.sap.com/sap/support/notes/1836499","1836499")</f>
        <v>1836499</v>
      </c>
      <c r="E8680">
        <v>6</v>
      </c>
      <c r="F8680" t="s">
        <v>9985</v>
      </c>
    </row>
    <row r="8681" spans="1:6" x14ac:dyDescent="0.25">
      <c r="A8681" t="s">
        <v>10927</v>
      </c>
      <c r="B8681" t="s">
        <v>2421</v>
      </c>
      <c r="C8681" t="s">
        <v>2422</v>
      </c>
      <c r="D8681" t="str">
        <f>HYPERLINK("http://service.sap.com/sap/support/notes/1843560","1843560")</f>
        <v>1843560</v>
      </c>
      <c r="E8681">
        <v>2</v>
      </c>
      <c r="F8681" t="s">
        <v>9986</v>
      </c>
    </row>
    <row r="8682" spans="1:6" x14ac:dyDescent="0.25">
      <c r="A8682" t="s">
        <v>10927</v>
      </c>
      <c r="B8682" t="s">
        <v>2421</v>
      </c>
      <c r="C8682" t="s">
        <v>2422</v>
      </c>
      <c r="D8682" t="str">
        <f>HYPERLINK("http://service.sap.com/sap/support/notes/1848569","1848569")</f>
        <v>1848569</v>
      </c>
      <c r="E8682">
        <v>2</v>
      </c>
      <c r="F8682" t="s">
        <v>9987</v>
      </c>
    </row>
    <row r="8683" spans="1:6" x14ac:dyDescent="0.25">
      <c r="A8683" t="s">
        <v>10927</v>
      </c>
      <c r="B8683" t="s">
        <v>2421</v>
      </c>
      <c r="C8683" t="s">
        <v>2422</v>
      </c>
      <c r="D8683" t="str">
        <f>HYPERLINK("http://service.sap.com/sap/support/notes/1860803","1860803")</f>
        <v>1860803</v>
      </c>
      <c r="E8683">
        <v>1</v>
      </c>
      <c r="F8683" t="s">
        <v>9988</v>
      </c>
    </row>
    <row r="8684" spans="1:6" x14ac:dyDescent="0.25">
      <c r="A8684" t="s">
        <v>10927</v>
      </c>
      <c r="B8684" t="s">
        <v>2424</v>
      </c>
      <c r="C8684" t="s">
        <v>2425</v>
      </c>
      <c r="D8684" t="str">
        <f>HYPERLINK("http://service.sap.com/sap/support/notes/1833259","1833259")</f>
        <v>1833259</v>
      </c>
      <c r="E8684">
        <v>1</v>
      </c>
      <c r="F8684" t="s">
        <v>9989</v>
      </c>
    </row>
    <row r="8685" spans="1:6" x14ac:dyDescent="0.25">
      <c r="A8685" t="s">
        <v>10927</v>
      </c>
      <c r="B8685" t="s">
        <v>2424</v>
      </c>
      <c r="C8685" t="s">
        <v>2425</v>
      </c>
      <c r="D8685" t="str">
        <f>HYPERLINK("http://service.sap.com/sap/support/notes/1860456","1860456")</f>
        <v>1860456</v>
      </c>
      <c r="E8685">
        <v>3</v>
      </c>
      <c r="F8685" t="s">
        <v>9048</v>
      </c>
    </row>
    <row r="8686" spans="1:6" x14ac:dyDescent="0.25">
      <c r="A8686" t="s">
        <v>10927</v>
      </c>
      <c r="B8686" t="s">
        <v>9990</v>
      </c>
      <c r="C8686" t="s">
        <v>9991</v>
      </c>
      <c r="D8686" t="str">
        <f>HYPERLINK("http://service.sap.com/sap/support/notes/1772495","1772495")</f>
        <v>1772495</v>
      </c>
      <c r="E8686">
        <v>3</v>
      </c>
      <c r="F8686" t="s">
        <v>9992</v>
      </c>
    </row>
    <row r="8687" spans="1:6" x14ac:dyDescent="0.25">
      <c r="A8687" t="s">
        <v>10927</v>
      </c>
      <c r="B8687" t="s">
        <v>2434</v>
      </c>
      <c r="C8687" t="s">
        <v>2435</v>
      </c>
      <c r="D8687" t="str">
        <f>HYPERLINK("http://service.sap.com/sap/support/notes/1843636","1843636")</f>
        <v>1843636</v>
      </c>
      <c r="E8687">
        <v>4</v>
      </c>
      <c r="F8687" t="s">
        <v>9993</v>
      </c>
    </row>
    <row r="8688" spans="1:6" x14ac:dyDescent="0.25">
      <c r="A8688" t="s">
        <v>10927</v>
      </c>
      <c r="B8688" t="s">
        <v>9994</v>
      </c>
      <c r="C8688" t="s">
        <v>9995</v>
      </c>
      <c r="D8688" t="str">
        <f>HYPERLINK("http://service.sap.com/sap/support/notes/1749566","1749566")</f>
        <v>1749566</v>
      </c>
      <c r="E8688">
        <v>4</v>
      </c>
      <c r="F8688" t="s">
        <v>9996</v>
      </c>
    </row>
    <row r="8689" spans="1:6" x14ac:dyDescent="0.25">
      <c r="A8689" t="s">
        <v>10927</v>
      </c>
      <c r="B8689" t="s">
        <v>9994</v>
      </c>
      <c r="C8689" t="s">
        <v>9995</v>
      </c>
      <c r="D8689" t="str">
        <f>HYPERLINK("http://service.sap.com/sap/support/notes/1789323","1789323")</f>
        <v>1789323</v>
      </c>
      <c r="E8689">
        <v>1</v>
      </c>
      <c r="F8689" t="s">
        <v>9997</v>
      </c>
    </row>
    <row r="8690" spans="1:6" x14ac:dyDescent="0.25">
      <c r="A8690" t="s">
        <v>10927</v>
      </c>
      <c r="B8690" t="s">
        <v>2439</v>
      </c>
      <c r="C8690" t="s">
        <v>1743</v>
      </c>
      <c r="D8690" t="str">
        <f>HYPERLINK("http://service.sap.com/sap/support/notes/1745876","1745876")</f>
        <v>1745876</v>
      </c>
      <c r="E8690">
        <v>4</v>
      </c>
      <c r="F8690" t="s">
        <v>9998</v>
      </c>
    </row>
    <row r="8691" spans="1:6" x14ac:dyDescent="0.25">
      <c r="A8691" t="s">
        <v>10927</v>
      </c>
      <c r="B8691" t="s">
        <v>2439</v>
      </c>
      <c r="C8691" t="s">
        <v>1743</v>
      </c>
      <c r="D8691" t="str">
        <f>HYPERLINK("http://service.sap.com/sap/support/notes/1810292","1810292")</f>
        <v>1810292</v>
      </c>
      <c r="E8691">
        <v>5</v>
      </c>
      <c r="F8691" t="s">
        <v>9999</v>
      </c>
    </row>
    <row r="8692" spans="1:6" x14ac:dyDescent="0.25">
      <c r="A8692" t="s">
        <v>10927</v>
      </c>
      <c r="B8692" t="s">
        <v>2439</v>
      </c>
      <c r="C8692" t="s">
        <v>1743</v>
      </c>
      <c r="D8692" t="str">
        <f>HYPERLINK("http://service.sap.com/sap/support/notes/1811889","1811889")</f>
        <v>1811889</v>
      </c>
      <c r="E8692">
        <v>10</v>
      </c>
      <c r="F8692" t="s">
        <v>10000</v>
      </c>
    </row>
    <row r="8693" spans="1:6" x14ac:dyDescent="0.25">
      <c r="A8693" t="s">
        <v>10927</v>
      </c>
      <c r="B8693" t="s">
        <v>2439</v>
      </c>
      <c r="C8693" t="s">
        <v>1743</v>
      </c>
      <c r="D8693" t="str">
        <f>HYPERLINK("http://service.sap.com/sap/support/notes/1812669","1812669")</f>
        <v>1812669</v>
      </c>
      <c r="E8693">
        <v>5</v>
      </c>
      <c r="F8693" t="s">
        <v>2495</v>
      </c>
    </row>
    <row r="8694" spans="1:6" x14ac:dyDescent="0.25">
      <c r="A8694" t="s">
        <v>10927</v>
      </c>
      <c r="B8694" t="s">
        <v>2439</v>
      </c>
      <c r="C8694" t="s">
        <v>1743</v>
      </c>
      <c r="D8694" t="str">
        <f>HYPERLINK("http://service.sap.com/sap/support/notes/1814008","1814008")</f>
        <v>1814008</v>
      </c>
      <c r="E8694">
        <v>2</v>
      </c>
      <c r="F8694" t="s">
        <v>10001</v>
      </c>
    </row>
    <row r="8695" spans="1:6" x14ac:dyDescent="0.25">
      <c r="A8695" t="s">
        <v>10927</v>
      </c>
      <c r="B8695" t="s">
        <v>2439</v>
      </c>
      <c r="C8695" t="s">
        <v>1743</v>
      </c>
      <c r="D8695" t="str">
        <f>HYPERLINK("http://service.sap.com/sap/support/notes/1821978","1821978")</f>
        <v>1821978</v>
      </c>
      <c r="E8695">
        <v>4</v>
      </c>
      <c r="F8695" t="s">
        <v>10002</v>
      </c>
    </row>
    <row r="8696" spans="1:6" x14ac:dyDescent="0.25">
      <c r="A8696" t="s">
        <v>10927</v>
      </c>
      <c r="B8696" t="s">
        <v>2439</v>
      </c>
      <c r="C8696" t="s">
        <v>1743</v>
      </c>
      <c r="D8696" t="str">
        <f>HYPERLINK("http://service.sap.com/sap/support/notes/1831962","1831962")</f>
        <v>1831962</v>
      </c>
      <c r="E8696">
        <v>3</v>
      </c>
      <c r="F8696" t="s">
        <v>10003</v>
      </c>
    </row>
    <row r="8697" spans="1:6" x14ac:dyDescent="0.25">
      <c r="A8697" t="s">
        <v>10927</v>
      </c>
      <c r="B8697" t="s">
        <v>2439</v>
      </c>
      <c r="C8697" t="s">
        <v>1743</v>
      </c>
      <c r="D8697" t="str">
        <f>HYPERLINK("http://service.sap.com/sap/support/notes/1837518","1837518")</f>
        <v>1837518</v>
      </c>
      <c r="E8697">
        <v>1</v>
      </c>
      <c r="F8697" t="s">
        <v>10004</v>
      </c>
    </row>
    <row r="8698" spans="1:6" x14ac:dyDescent="0.25">
      <c r="A8698" t="s">
        <v>10927</v>
      </c>
      <c r="B8698" t="s">
        <v>2439</v>
      </c>
      <c r="C8698" t="s">
        <v>1743</v>
      </c>
      <c r="D8698" t="str">
        <f>HYPERLINK("http://service.sap.com/sap/support/notes/1847556","1847556")</f>
        <v>1847556</v>
      </c>
      <c r="E8698">
        <v>4</v>
      </c>
      <c r="F8698" t="s">
        <v>10005</v>
      </c>
    </row>
    <row r="8699" spans="1:6" x14ac:dyDescent="0.25">
      <c r="A8699" t="s">
        <v>10927</v>
      </c>
      <c r="B8699" t="s">
        <v>2439</v>
      </c>
      <c r="C8699" t="s">
        <v>1743</v>
      </c>
      <c r="D8699" t="str">
        <f>HYPERLINK("http://service.sap.com/sap/support/notes/1848896","1848896")</f>
        <v>1848896</v>
      </c>
      <c r="E8699">
        <v>3</v>
      </c>
      <c r="F8699" t="s">
        <v>10006</v>
      </c>
    </row>
    <row r="8700" spans="1:6" x14ac:dyDescent="0.25">
      <c r="A8700" t="s">
        <v>10927</v>
      </c>
      <c r="B8700" t="s">
        <v>2460</v>
      </c>
      <c r="C8700" t="s">
        <v>2461</v>
      </c>
      <c r="D8700" t="str">
        <f>HYPERLINK("http://service.sap.com/sap/support/notes/1824908","1824908")</f>
        <v>1824908</v>
      </c>
      <c r="E8700">
        <v>2</v>
      </c>
      <c r="F8700" t="s">
        <v>10007</v>
      </c>
    </row>
    <row r="8701" spans="1:6" x14ac:dyDescent="0.25">
      <c r="A8701" t="s">
        <v>10927</v>
      </c>
      <c r="B8701" t="s">
        <v>2460</v>
      </c>
      <c r="C8701" t="s">
        <v>2461</v>
      </c>
      <c r="D8701" t="str">
        <f>HYPERLINK("http://service.sap.com/sap/support/notes/1830078","1830078")</f>
        <v>1830078</v>
      </c>
      <c r="E8701">
        <v>1</v>
      </c>
      <c r="F8701" t="s">
        <v>10008</v>
      </c>
    </row>
    <row r="8702" spans="1:6" x14ac:dyDescent="0.25">
      <c r="A8702" t="s">
        <v>10927</v>
      </c>
      <c r="B8702" t="s">
        <v>7866</v>
      </c>
      <c r="C8702" t="s">
        <v>3242</v>
      </c>
      <c r="D8702" t="str">
        <f>HYPERLINK("http://service.sap.com/sap/support/notes/1841436","1841436")</f>
        <v>1841436</v>
      </c>
      <c r="E8702">
        <v>2</v>
      </c>
      <c r="F8702" t="s">
        <v>10009</v>
      </c>
    </row>
    <row r="8703" spans="1:6" x14ac:dyDescent="0.25">
      <c r="A8703" t="s">
        <v>10927</v>
      </c>
      <c r="B8703" t="s">
        <v>7868</v>
      </c>
      <c r="C8703" t="s">
        <v>7869</v>
      </c>
      <c r="D8703" t="str">
        <f>HYPERLINK("http://service.sap.com/sap/support/notes/1826346","1826346")</f>
        <v>1826346</v>
      </c>
      <c r="E8703">
        <v>5</v>
      </c>
      <c r="F8703" t="s">
        <v>10010</v>
      </c>
    </row>
    <row r="8704" spans="1:6" x14ac:dyDescent="0.25">
      <c r="A8704" t="s">
        <v>10927</v>
      </c>
      <c r="B8704" t="s">
        <v>2469</v>
      </c>
      <c r="C8704" t="s">
        <v>2470</v>
      </c>
      <c r="D8704" t="str">
        <f>HYPERLINK("http://service.sap.com/sap/support/notes/1804733","1804733")</f>
        <v>1804733</v>
      </c>
      <c r="E8704">
        <v>7</v>
      </c>
      <c r="F8704" t="s">
        <v>10011</v>
      </c>
    </row>
    <row r="8705" spans="1:6" x14ac:dyDescent="0.25">
      <c r="A8705" t="s">
        <v>10927</v>
      </c>
      <c r="B8705" t="s">
        <v>2469</v>
      </c>
      <c r="C8705" t="s">
        <v>2470</v>
      </c>
      <c r="D8705" t="str">
        <f>HYPERLINK("http://service.sap.com/sap/support/notes/1821878","1821878")</f>
        <v>1821878</v>
      </c>
      <c r="E8705">
        <v>3</v>
      </c>
      <c r="F8705" t="s">
        <v>10012</v>
      </c>
    </row>
    <row r="8706" spans="1:6" x14ac:dyDescent="0.25">
      <c r="A8706" t="s">
        <v>10927</v>
      </c>
      <c r="B8706" t="s">
        <v>5497</v>
      </c>
      <c r="C8706" t="s">
        <v>5498</v>
      </c>
      <c r="D8706" t="str">
        <f>HYPERLINK("http://service.sap.com/sap/support/notes/1461537","1461537")</f>
        <v>1461537</v>
      </c>
      <c r="E8706">
        <v>7</v>
      </c>
      <c r="F8706" t="s">
        <v>10013</v>
      </c>
    </row>
    <row r="8707" spans="1:6" x14ac:dyDescent="0.25">
      <c r="A8707" t="s">
        <v>10927</v>
      </c>
      <c r="B8707" t="s">
        <v>5500</v>
      </c>
      <c r="C8707" t="s">
        <v>2233</v>
      </c>
      <c r="D8707" t="str">
        <f>HYPERLINK("http://service.sap.com/sap/support/notes/1808062","1808062")</f>
        <v>1808062</v>
      </c>
      <c r="E8707">
        <v>2</v>
      </c>
      <c r="F8707" t="s">
        <v>10014</v>
      </c>
    </row>
    <row r="8708" spans="1:6" x14ac:dyDescent="0.25">
      <c r="A8708" t="s">
        <v>10927</v>
      </c>
      <c r="B8708" t="s">
        <v>2472</v>
      </c>
      <c r="C8708" t="s">
        <v>2473</v>
      </c>
      <c r="D8708" t="str">
        <f>HYPERLINK("http://service.sap.com/sap/support/notes/1647008","1647008")</f>
        <v>1647008</v>
      </c>
      <c r="E8708">
        <v>3</v>
      </c>
      <c r="F8708" t="s">
        <v>10015</v>
      </c>
    </row>
    <row r="8709" spans="1:6" x14ac:dyDescent="0.25">
      <c r="A8709" t="s">
        <v>10927</v>
      </c>
      <c r="B8709" t="s">
        <v>2472</v>
      </c>
      <c r="C8709" t="s">
        <v>2473</v>
      </c>
      <c r="D8709" t="str">
        <f>HYPERLINK("http://service.sap.com/sap/support/notes/1801291","1801291")</f>
        <v>1801291</v>
      </c>
      <c r="E8709">
        <v>3</v>
      </c>
      <c r="F8709" t="s">
        <v>10016</v>
      </c>
    </row>
    <row r="8710" spans="1:6" x14ac:dyDescent="0.25">
      <c r="A8710" t="s">
        <v>10927</v>
      </c>
      <c r="B8710" t="s">
        <v>2472</v>
      </c>
      <c r="C8710" t="s">
        <v>2473</v>
      </c>
      <c r="D8710" t="str">
        <f>HYPERLINK("http://service.sap.com/sap/support/notes/1835071","1835071")</f>
        <v>1835071</v>
      </c>
      <c r="E8710">
        <v>2</v>
      </c>
      <c r="F8710" t="s">
        <v>10017</v>
      </c>
    </row>
    <row r="8711" spans="1:6" x14ac:dyDescent="0.25">
      <c r="A8711" t="s">
        <v>10927</v>
      </c>
      <c r="B8711" t="s">
        <v>2476</v>
      </c>
      <c r="C8711" t="s">
        <v>2477</v>
      </c>
      <c r="D8711" t="str">
        <f>HYPERLINK("http://service.sap.com/sap/support/notes/1716774","1716774")</f>
        <v>1716774</v>
      </c>
      <c r="E8711">
        <v>4</v>
      </c>
      <c r="F8711" t="s">
        <v>10018</v>
      </c>
    </row>
    <row r="8712" spans="1:6" x14ac:dyDescent="0.25">
      <c r="A8712" t="s">
        <v>10927</v>
      </c>
      <c r="B8712" t="s">
        <v>2476</v>
      </c>
      <c r="C8712" t="s">
        <v>2477</v>
      </c>
      <c r="D8712" t="str">
        <f>HYPERLINK("http://service.sap.com/sap/support/notes/1827328","1827328")</f>
        <v>1827328</v>
      </c>
      <c r="E8712">
        <v>2</v>
      </c>
      <c r="F8712" t="s">
        <v>10019</v>
      </c>
    </row>
    <row r="8713" spans="1:6" x14ac:dyDescent="0.25">
      <c r="A8713" t="s">
        <v>10927</v>
      </c>
      <c r="B8713" t="s">
        <v>2476</v>
      </c>
      <c r="C8713" t="s">
        <v>2477</v>
      </c>
      <c r="D8713" t="str">
        <f>HYPERLINK("http://service.sap.com/sap/support/notes/1828584","1828584")</f>
        <v>1828584</v>
      </c>
      <c r="E8713">
        <v>2</v>
      </c>
      <c r="F8713" t="s">
        <v>10020</v>
      </c>
    </row>
    <row r="8714" spans="1:6" x14ac:dyDescent="0.25">
      <c r="A8714" t="s">
        <v>10927</v>
      </c>
      <c r="B8714" t="s">
        <v>2476</v>
      </c>
      <c r="C8714" t="s">
        <v>2477</v>
      </c>
      <c r="D8714" t="str">
        <f>HYPERLINK("http://service.sap.com/sap/support/notes/1850935","1850935")</f>
        <v>1850935</v>
      </c>
      <c r="E8714">
        <v>1</v>
      </c>
      <c r="F8714" t="s">
        <v>10021</v>
      </c>
    </row>
    <row r="8715" spans="1:6" x14ac:dyDescent="0.25">
      <c r="A8715" t="s">
        <v>10927</v>
      </c>
      <c r="B8715" t="s">
        <v>2483</v>
      </c>
      <c r="C8715" t="s">
        <v>2277</v>
      </c>
      <c r="D8715" t="str">
        <f>HYPERLINK("http://service.sap.com/sap/support/notes/1674653","1674653")</f>
        <v>1674653</v>
      </c>
      <c r="E8715">
        <v>8</v>
      </c>
      <c r="F8715" t="s">
        <v>10022</v>
      </c>
    </row>
    <row r="8716" spans="1:6" x14ac:dyDescent="0.25">
      <c r="A8716" t="s">
        <v>10927</v>
      </c>
      <c r="B8716" t="s">
        <v>2483</v>
      </c>
      <c r="C8716" t="s">
        <v>2277</v>
      </c>
      <c r="D8716" t="str">
        <f>HYPERLINK("http://service.sap.com/sap/support/notes/1735955","1735955")</f>
        <v>1735955</v>
      </c>
      <c r="E8716">
        <v>2</v>
      </c>
      <c r="F8716" t="s">
        <v>10023</v>
      </c>
    </row>
    <row r="8717" spans="1:6" x14ac:dyDescent="0.25">
      <c r="A8717" t="s">
        <v>10927</v>
      </c>
      <c r="B8717" t="s">
        <v>2486</v>
      </c>
      <c r="C8717" t="s">
        <v>2487</v>
      </c>
      <c r="D8717" t="str">
        <f>HYPERLINK("http://service.sap.com/sap/support/notes/1707926","1707926")</f>
        <v>1707926</v>
      </c>
      <c r="E8717">
        <v>6</v>
      </c>
      <c r="F8717" t="s">
        <v>10024</v>
      </c>
    </row>
    <row r="8718" spans="1:6" x14ac:dyDescent="0.25">
      <c r="A8718" t="s">
        <v>10927</v>
      </c>
      <c r="B8718" t="s">
        <v>2486</v>
      </c>
      <c r="C8718" t="s">
        <v>2487</v>
      </c>
      <c r="D8718" t="str">
        <f>HYPERLINK("http://service.sap.com/sap/support/notes/1844735","1844735")</f>
        <v>1844735</v>
      </c>
      <c r="E8718">
        <v>3</v>
      </c>
      <c r="F8718" t="s">
        <v>10025</v>
      </c>
    </row>
    <row r="8719" spans="1:6" x14ac:dyDescent="0.25">
      <c r="A8719" t="s">
        <v>10927</v>
      </c>
      <c r="B8719" t="s">
        <v>2486</v>
      </c>
      <c r="C8719" t="s">
        <v>2487</v>
      </c>
      <c r="D8719" t="str">
        <f>HYPERLINK("http://service.sap.com/sap/support/notes/1864606","1864606")</f>
        <v>1864606</v>
      </c>
      <c r="E8719">
        <v>1</v>
      </c>
      <c r="F8719" t="s">
        <v>10026</v>
      </c>
    </row>
    <row r="8720" spans="1:6" x14ac:dyDescent="0.25">
      <c r="A8720" t="s">
        <v>10927</v>
      </c>
      <c r="B8720" t="s">
        <v>7885</v>
      </c>
      <c r="C8720" t="s">
        <v>3384</v>
      </c>
      <c r="D8720" t="str">
        <f>HYPERLINK("http://service.sap.com/sap/support/notes/1796523","1796523")</f>
        <v>1796523</v>
      </c>
      <c r="E8720">
        <v>6</v>
      </c>
      <c r="F8720" t="s">
        <v>10027</v>
      </c>
    </row>
    <row r="8721" spans="1:6" x14ac:dyDescent="0.25">
      <c r="A8721" t="s">
        <v>10927</v>
      </c>
      <c r="B8721" t="s">
        <v>10028</v>
      </c>
      <c r="C8721" t="s">
        <v>10029</v>
      </c>
      <c r="D8721" t="str">
        <f>HYPERLINK("http://service.sap.com/sap/support/notes/1784803","1784803")</f>
        <v>1784803</v>
      </c>
      <c r="E8721">
        <v>2</v>
      </c>
      <c r="F8721" t="s">
        <v>10030</v>
      </c>
    </row>
    <row r="8722" spans="1:6" x14ac:dyDescent="0.25">
      <c r="A8722" t="s">
        <v>10927</v>
      </c>
      <c r="B8722" t="s">
        <v>7891</v>
      </c>
      <c r="C8722" t="s">
        <v>7892</v>
      </c>
    </row>
    <row r="8723" spans="1:6" x14ac:dyDescent="0.25">
      <c r="A8723" t="s">
        <v>10927</v>
      </c>
      <c r="B8723" t="s">
        <v>7893</v>
      </c>
      <c r="C8723" t="s">
        <v>7894</v>
      </c>
      <c r="D8723" t="str">
        <f>HYPERLINK("http://service.sap.com/sap/support/notes/1849260","1849260")</f>
        <v>1849260</v>
      </c>
      <c r="E8723">
        <v>1</v>
      </c>
      <c r="F8723" t="s">
        <v>10031</v>
      </c>
    </row>
    <row r="8724" spans="1:6" x14ac:dyDescent="0.25">
      <c r="A8724" t="s">
        <v>10927</v>
      </c>
      <c r="B8724" t="s">
        <v>10032</v>
      </c>
      <c r="C8724" t="s">
        <v>10033</v>
      </c>
      <c r="D8724" t="str">
        <f>HYPERLINK("http://service.sap.com/sap/support/notes/1843716","1843716")</f>
        <v>1843716</v>
      </c>
      <c r="E8724">
        <v>2</v>
      </c>
      <c r="F8724" t="s">
        <v>10034</v>
      </c>
    </row>
    <row r="8725" spans="1:6" x14ac:dyDescent="0.25">
      <c r="A8725" t="s">
        <v>10927</v>
      </c>
      <c r="B8725" t="s">
        <v>10035</v>
      </c>
      <c r="C8725" t="s">
        <v>10036</v>
      </c>
      <c r="D8725" t="str">
        <f>HYPERLINK("http://service.sap.com/sap/support/notes/1862409","1862409")</f>
        <v>1862409</v>
      </c>
      <c r="E8725">
        <v>1</v>
      </c>
      <c r="F8725" t="s">
        <v>10037</v>
      </c>
    </row>
    <row r="8726" spans="1:6" x14ac:dyDescent="0.25">
      <c r="A8726" t="s">
        <v>10927</v>
      </c>
      <c r="B8726" t="s">
        <v>2493</v>
      </c>
      <c r="C8726" t="s">
        <v>2494</v>
      </c>
      <c r="D8726" t="str">
        <f>HYPERLINK("http://service.sap.com/sap/support/notes/1828217","1828217")</f>
        <v>1828217</v>
      </c>
      <c r="E8726">
        <v>2</v>
      </c>
      <c r="F8726" t="s">
        <v>10038</v>
      </c>
    </row>
    <row r="8727" spans="1:6" x14ac:dyDescent="0.25">
      <c r="A8727" t="s">
        <v>10927</v>
      </c>
      <c r="B8727" t="s">
        <v>2493</v>
      </c>
      <c r="C8727" t="s">
        <v>2494</v>
      </c>
      <c r="D8727" t="str">
        <f>HYPERLINK("http://service.sap.com/sap/support/notes/1839366","1839366")</f>
        <v>1839366</v>
      </c>
      <c r="E8727">
        <v>6</v>
      </c>
      <c r="F8727" t="s">
        <v>10039</v>
      </c>
    </row>
    <row r="8728" spans="1:6" x14ac:dyDescent="0.25">
      <c r="A8728" t="s">
        <v>10927</v>
      </c>
      <c r="B8728" t="s">
        <v>2500</v>
      </c>
      <c r="C8728" t="s">
        <v>2501</v>
      </c>
      <c r="D8728" t="str">
        <f>HYPERLINK("http://service.sap.com/sap/support/notes/1751509","1751509")</f>
        <v>1751509</v>
      </c>
      <c r="E8728">
        <v>4</v>
      </c>
      <c r="F8728" t="s">
        <v>10040</v>
      </c>
    </row>
    <row r="8729" spans="1:6" x14ac:dyDescent="0.25">
      <c r="A8729" t="s">
        <v>10927</v>
      </c>
      <c r="B8729" t="s">
        <v>2500</v>
      </c>
      <c r="C8729" t="s">
        <v>2501</v>
      </c>
      <c r="D8729" t="str">
        <f>HYPERLINK("http://service.sap.com/sap/support/notes/1837482","1837482")</f>
        <v>1837482</v>
      </c>
      <c r="E8729">
        <v>3</v>
      </c>
      <c r="F8729" t="s">
        <v>10041</v>
      </c>
    </row>
    <row r="8730" spans="1:6" x14ac:dyDescent="0.25">
      <c r="A8730" t="s">
        <v>10927</v>
      </c>
      <c r="B8730" t="s">
        <v>2500</v>
      </c>
      <c r="C8730" t="s">
        <v>2501</v>
      </c>
      <c r="D8730" t="str">
        <f>HYPERLINK("http://service.sap.com/sap/support/notes/1843437","1843437")</f>
        <v>1843437</v>
      </c>
      <c r="E8730">
        <v>2</v>
      </c>
      <c r="F8730" t="s">
        <v>10042</v>
      </c>
    </row>
    <row r="8731" spans="1:6" x14ac:dyDescent="0.25">
      <c r="A8731" t="s">
        <v>10927</v>
      </c>
      <c r="B8731" t="s">
        <v>2500</v>
      </c>
      <c r="C8731" t="s">
        <v>2501</v>
      </c>
      <c r="D8731" t="str">
        <f>HYPERLINK("http://service.sap.com/sap/support/notes/1844068","1844068")</f>
        <v>1844068</v>
      </c>
      <c r="E8731">
        <v>2</v>
      </c>
      <c r="F8731" t="s">
        <v>10043</v>
      </c>
    </row>
    <row r="8732" spans="1:6" x14ac:dyDescent="0.25">
      <c r="A8732" t="s">
        <v>10927</v>
      </c>
      <c r="B8732" t="s">
        <v>2511</v>
      </c>
      <c r="C8732" t="s">
        <v>2512</v>
      </c>
      <c r="D8732" t="str">
        <f>HYPERLINK("http://service.sap.com/sap/support/notes/1830508","1830508")</f>
        <v>1830508</v>
      </c>
      <c r="E8732">
        <v>2</v>
      </c>
      <c r="F8732" t="s">
        <v>10044</v>
      </c>
    </row>
    <row r="8733" spans="1:6" x14ac:dyDescent="0.25">
      <c r="A8733" t="s">
        <v>10927</v>
      </c>
      <c r="B8733" t="s">
        <v>2515</v>
      </c>
      <c r="C8733" t="s">
        <v>2516</v>
      </c>
      <c r="D8733" t="str">
        <f>HYPERLINK("http://service.sap.com/sap/support/notes/1813320","1813320")</f>
        <v>1813320</v>
      </c>
      <c r="E8733">
        <v>3</v>
      </c>
      <c r="F8733" t="s">
        <v>10045</v>
      </c>
    </row>
    <row r="8734" spans="1:6" x14ac:dyDescent="0.25">
      <c r="A8734" t="s">
        <v>10927</v>
      </c>
      <c r="B8734" t="s">
        <v>2515</v>
      </c>
      <c r="C8734" t="s">
        <v>2516</v>
      </c>
      <c r="D8734" t="str">
        <f>HYPERLINK("http://service.sap.com/sap/support/notes/1820220","1820220")</f>
        <v>1820220</v>
      </c>
      <c r="E8734">
        <v>2</v>
      </c>
      <c r="F8734" t="s">
        <v>10046</v>
      </c>
    </row>
    <row r="8735" spans="1:6" x14ac:dyDescent="0.25">
      <c r="A8735" t="s">
        <v>10927</v>
      </c>
      <c r="B8735" t="s">
        <v>2515</v>
      </c>
      <c r="C8735" t="s">
        <v>2516</v>
      </c>
      <c r="D8735" t="str">
        <f>HYPERLINK("http://service.sap.com/sap/support/notes/1839205","1839205")</f>
        <v>1839205</v>
      </c>
      <c r="E8735">
        <v>3</v>
      </c>
      <c r="F8735" t="s">
        <v>10047</v>
      </c>
    </row>
    <row r="8736" spans="1:6" x14ac:dyDescent="0.25">
      <c r="A8736" t="s">
        <v>10927</v>
      </c>
      <c r="B8736" t="s">
        <v>2518</v>
      </c>
      <c r="C8736" t="s">
        <v>2519</v>
      </c>
      <c r="D8736" t="str">
        <f>HYPERLINK("http://service.sap.com/sap/support/notes/1815080","1815080")</f>
        <v>1815080</v>
      </c>
      <c r="E8736">
        <v>5</v>
      </c>
      <c r="F8736" t="s">
        <v>10048</v>
      </c>
    </row>
    <row r="8737" spans="1:6" x14ac:dyDescent="0.25">
      <c r="A8737" t="s">
        <v>10927</v>
      </c>
      <c r="B8737" t="s">
        <v>2518</v>
      </c>
      <c r="C8737" t="s">
        <v>2519</v>
      </c>
      <c r="D8737" t="str">
        <f>HYPERLINK("http://service.sap.com/sap/support/notes/1821463","1821463")</f>
        <v>1821463</v>
      </c>
      <c r="E8737">
        <v>2</v>
      </c>
      <c r="F8737" t="s">
        <v>10049</v>
      </c>
    </row>
    <row r="8738" spans="1:6" x14ac:dyDescent="0.25">
      <c r="A8738" t="s">
        <v>10927</v>
      </c>
      <c r="B8738" t="s">
        <v>2518</v>
      </c>
      <c r="C8738" t="s">
        <v>2519</v>
      </c>
      <c r="D8738" t="str">
        <f>HYPERLINK("http://service.sap.com/sap/support/notes/1834722","1834722")</f>
        <v>1834722</v>
      </c>
      <c r="E8738">
        <v>2</v>
      </c>
      <c r="F8738" t="s">
        <v>10050</v>
      </c>
    </row>
    <row r="8739" spans="1:6" x14ac:dyDescent="0.25">
      <c r="A8739" t="s">
        <v>10927</v>
      </c>
      <c r="B8739" t="s">
        <v>2518</v>
      </c>
      <c r="C8739" t="s">
        <v>2519</v>
      </c>
      <c r="D8739" t="str">
        <f>HYPERLINK("http://service.sap.com/sap/support/notes/1836034","1836034")</f>
        <v>1836034</v>
      </c>
      <c r="E8739">
        <v>5</v>
      </c>
      <c r="F8739" t="s">
        <v>10051</v>
      </c>
    </row>
    <row r="8740" spans="1:6" x14ac:dyDescent="0.25">
      <c r="A8740" t="s">
        <v>10927</v>
      </c>
      <c r="B8740" t="s">
        <v>2518</v>
      </c>
      <c r="C8740" t="s">
        <v>2519</v>
      </c>
      <c r="D8740" t="str">
        <f>HYPERLINK("http://service.sap.com/sap/support/notes/1847044","1847044")</f>
        <v>1847044</v>
      </c>
      <c r="E8740">
        <v>1</v>
      </c>
      <c r="F8740" t="s">
        <v>10052</v>
      </c>
    </row>
    <row r="8741" spans="1:6" x14ac:dyDescent="0.25">
      <c r="A8741" t="s">
        <v>10927</v>
      </c>
      <c r="B8741" t="s">
        <v>2518</v>
      </c>
      <c r="C8741" t="s">
        <v>2519</v>
      </c>
      <c r="D8741" t="str">
        <f>HYPERLINK("http://service.sap.com/sap/support/notes/1854472","1854472")</f>
        <v>1854472</v>
      </c>
      <c r="E8741">
        <v>1</v>
      </c>
      <c r="F8741" t="s">
        <v>10053</v>
      </c>
    </row>
    <row r="8742" spans="1:6" x14ac:dyDescent="0.25">
      <c r="A8742" t="s">
        <v>10927</v>
      </c>
      <c r="B8742" t="s">
        <v>2524</v>
      </c>
      <c r="C8742" t="s">
        <v>2525</v>
      </c>
      <c r="D8742" t="str">
        <f>HYPERLINK("http://service.sap.com/sap/support/notes/1785341","1785341")</f>
        <v>1785341</v>
      </c>
      <c r="E8742">
        <v>2</v>
      </c>
      <c r="F8742" t="s">
        <v>10054</v>
      </c>
    </row>
    <row r="8743" spans="1:6" x14ac:dyDescent="0.25">
      <c r="A8743" t="s">
        <v>10927</v>
      </c>
      <c r="B8743" t="s">
        <v>2524</v>
      </c>
      <c r="C8743" t="s">
        <v>2525</v>
      </c>
      <c r="D8743" t="str">
        <f>HYPERLINK("http://service.sap.com/sap/support/notes/1808454","1808454")</f>
        <v>1808454</v>
      </c>
      <c r="E8743">
        <v>2</v>
      </c>
      <c r="F8743" t="s">
        <v>10055</v>
      </c>
    </row>
    <row r="8744" spans="1:6" x14ac:dyDescent="0.25">
      <c r="A8744" t="s">
        <v>10927</v>
      </c>
      <c r="B8744" t="s">
        <v>2524</v>
      </c>
      <c r="C8744" t="s">
        <v>2525</v>
      </c>
      <c r="D8744" t="str">
        <f>HYPERLINK("http://service.sap.com/sap/support/notes/1813373","1813373")</f>
        <v>1813373</v>
      </c>
      <c r="E8744">
        <v>1</v>
      </c>
      <c r="F8744" t="s">
        <v>10056</v>
      </c>
    </row>
    <row r="8745" spans="1:6" x14ac:dyDescent="0.25">
      <c r="A8745" t="s">
        <v>10927</v>
      </c>
      <c r="B8745" t="s">
        <v>2524</v>
      </c>
      <c r="C8745" t="s">
        <v>2525</v>
      </c>
      <c r="D8745" t="str">
        <f>HYPERLINK("http://service.sap.com/sap/support/notes/1820862","1820862")</f>
        <v>1820862</v>
      </c>
      <c r="E8745">
        <v>2</v>
      </c>
      <c r="F8745" t="s">
        <v>10057</v>
      </c>
    </row>
    <row r="8746" spans="1:6" x14ac:dyDescent="0.25">
      <c r="A8746" t="s">
        <v>10927</v>
      </c>
      <c r="B8746" t="s">
        <v>2524</v>
      </c>
      <c r="C8746" t="s">
        <v>2525</v>
      </c>
      <c r="D8746" t="str">
        <f>HYPERLINK("http://service.sap.com/sap/support/notes/1834135","1834135")</f>
        <v>1834135</v>
      </c>
      <c r="E8746">
        <v>2</v>
      </c>
      <c r="F8746" t="s">
        <v>10058</v>
      </c>
    </row>
    <row r="8747" spans="1:6" x14ac:dyDescent="0.25">
      <c r="A8747" t="s">
        <v>10927</v>
      </c>
      <c r="B8747" t="s">
        <v>2524</v>
      </c>
      <c r="C8747" t="s">
        <v>2525</v>
      </c>
      <c r="D8747" t="str">
        <f>HYPERLINK("http://service.sap.com/sap/support/notes/1834142","1834142")</f>
        <v>1834142</v>
      </c>
      <c r="E8747">
        <v>2</v>
      </c>
      <c r="F8747" t="s">
        <v>10059</v>
      </c>
    </row>
    <row r="8748" spans="1:6" x14ac:dyDescent="0.25">
      <c r="A8748" t="s">
        <v>10927</v>
      </c>
      <c r="B8748" t="s">
        <v>2524</v>
      </c>
      <c r="C8748" t="s">
        <v>2525</v>
      </c>
      <c r="D8748" t="str">
        <f>HYPERLINK("http://service.sap.com/sap/support/notes/1834636","1834636")</f>
        <v>1834636</v>
      </c>
      <c r="E8748">
        <v>2</v>
      </c>
      <c r="F8748" t="s">
        <v>10060</v>
      </c>
    </row>
    <row r="8749" spans="1:6" x14ac:dyDescent="0.25">
      <c r="A8749" t="s">
        <v>10927</v>
      </c>
      <c r="B8749" t="s">
        <v>2545</v>
      </c>
      <c r="C8749" t="s">
        <v>2546</v>
      </c>
      <c r="D8749" t="str">
        <f>HYPERLINK("http://service.sap.com/sap/support/notes/704948","704948")</f>
        <v>704948</v>
      </c>
      <c r="E8749">
        <v>5</v>
      </c>
      <c r="F8749" t="s">
        <v>10061</v>
      </c>
    </row>
    <row r="8750" spans="1:6" x14ac:dyDescent="0.25">
      <c r="A8750" t="s">
        <v>10927</v>
      </c>
      <c r="B8750" t="s">
        <v>2545</v>
      </c>
      <c r="C8750" t="s">
        <v>2546</v>
      </c>
      <c r="D8750" t="str">
        <f>HYPERLINK("http://service.sap.com/sap/support/notes/1790295","1790295")</f>
        <v>1790295</v>
      </c>
      <c r="E8750">
        <v>3</v>
      </c>
      <c r="F8750" t="s">
        <v>10062</v>
      </c>
    </row>
    <row r="8751" spans="1:6" x14ac:dyDescent="0.25">
      <c r="A8751" t="s">
        <v>10927</v>
      </c>
      <c r="B8751" t="s">
        <v>2545</v>
      </c>
      <c r="C8751" t="s">
        <v>2546</v>
      </c>
      <c r="D8751" t="str">
        <f>HYPERLINK("http://service.sap.com/sap/support/notes/1790642","1790642")</f>
        <v>1790642</v>
      </c>
      <c r="E8751">
        <v>2</v>
      </c>
      <c r="F8751" t="s">
        <v>10063</v>
      </c>
    </row>
    <row r="8752" spans="1:6" x14ac:dyDescent="0.25">
      <c r="A8752" t="s">
        <v>10927</v>
      </c>
      <c r="B8752" t="s">
        <v>2545</v>
      </c>
      <c r="C8752" t="s">
        <v>2546</v>
      </c>
      <c r="D8752" t="str">
        <f>HYPERLINK("http://service.sap.com/sap/support/notes/1829579","1829579")</f>
        <v>1829579</v>
      </c>
      <c r="E8752">
        <v>2</v>
      </c>
      <c r="F8752" t="s">
        <v>10064</v>
      </c>
    </row>
    <row r="8753" spans="1:6" x14ac:dyDescent="0.25">
      <c r="A8753" t="s">
        <v>10927</v>
      </c>
      <c r="B8753" t="s">
        <v>2545</v>
      </c>
      <c r="C8753" t="s">
        <v>2546</v>
      </c>
      <c r="D8753" t="str">
        <f>HYPERLINK("http://service.sap.com/sap/support/notes/1849180","1849180")</f>
        <v>1849180</v>
      </c>
      <c r="E8753">
        <v>1</v>
      </c>
      <c r="F8753" t="s">
        <v>10065</v>
      </c>
    </row>
    <row r="8754" spans="1:6" x14ac:dyDescent="0.25">
      <c r="A8754" t="s">
        <v>10927</v>
      </c>
      <c r="B8754" t="s">
        <v>2553</v>
      </c>
      <c r="C8754" t="s">
        <v>5542</v>
      </c>
      <c r="D8754" t="str">
        <f>HYPERLINK("http://service.sap.com/sap/support/notes/1809692","1809692")</f>
        <v>1809692</v>
      </c>
      <c r="E8754">
        <v>2</v>
      </c>
      <c r="F8754" t="s">
        <v>10066</v>
      </c>
    </row>
    <row r="8755" spans="1:6" x14ac:dyDescent="0.25">
      <c r="A8755" t="s">
        <v>10927</v>
      </c>
      <c r="B8755" t="s">
        <v>2553</v>
      </c>
      <c r="C8755" t="s">
        <v>5542</v>
      </c>
      <c r="D8755" t="str">
        <f>HYPERLINK("http://service.sap.com/sap/support/notes/1813083","1813083")</f>
        <v>1813083</v>
      </c>
      <c r="E8755">
        <v>3</v>
      </c>
      <c r="F8755" t="s">
        <v>10067</v>
      </c>
    </row>
    <row r="8756" spans="1:6" x14ac:dyDescent="0.25">
      <c r="A8756" t="s">
        <v>10927</v>
      </c>
      <c r="B8756" t="s">
        <v>2553</v>
      </c>
      <c r="C8756" t="s">
        <v>5542</v>
      </c>
      <c r="D8756" t="str">
        <f>HYPERLINK("http://service.sap.com/sap/support/notes/1832638","1832638")</f>
        <v>1832638</v>
      </c>
      <c r="E8756">
        <v>2</v>
      </c>
      <c r="F8756" t="s">
        <v>10068</v>
      </c>
    </row>
    <row r="8757" spans="1:6" x14ac:dyDescent="0.25">
      <c r="A8757" t="s">
        <v>10927</v>
      </c>
      <c r="B8757" t="s">
        <v>2555</v>
      </c>
      <c r="C8757" t="s">
        <v>2556</v>
      </c>
      <c r="D8757" t="str">
        <f>HYPERLINK("http://service.sap.com/sap/support/notes/1676132","1676132")</f>
        <v>1676132</v>
      </c>
      <c r="E8757">
        <v>3</v>
      </c>
      <c r="F8757" t="s">
        <v>10069</v>
      </c>
    </row>
    <row r="8758" spans="1:6" x14ac:dyDescent="0.25">
      <c r="A8758" t="s">
        <v>10927</v>
      </c>
      <c r="B8758" t="s">
        <v>2555</v>
      </c>
      <c r="C8758" t="s">
        <v>2556</v>
      </c>
      <c r="D8758" t="str">
        <f>HYPERLINK("http://service.sap.com/sap/support/notes/1839927","1839927")</f>
        <v>1839927</v>
      </c>
      <c r="E8758">
        <v>8</v>
      </c>
      <c r="F8758" t="s">
        <v>10070</v>
      </c>
    </row>
    <row r="8759" spans="1:6" x14ac:dyDescent="0.25">
      <c r="A8759" t="s">
        <v>10927</v>
      </c>
      <c r="B8759" t="s">
        <v>2562</v>
      </c>
      <c r="C8759" t="s">
        <v>2563</v>
      </c>
      <c r="D8759" t="str">
        <f>HYPERLINK("http://service.sap.com/sap/support/notes/1841200","1841200")</f>
        <v>1841200</v>
      </c>
      <c r="E8759">
        <v>2</v>
      </c>
      <c r="F8759" t="s">
        <v>10071</v>
      </c>
    </row>
    <row r="8760" spans="1:6" x14ac:dyDescent="0.25">
      <c r="A8760" t="s">
        <v>10927</v>
      </c>
      <c r="B8760" t="s">
        <v>2566</v>
      </c>
      <c r="C8760" t="s">
        <v>2567</v>
      </c>
      <c r="D8760" t="str">
        <f>HYPERLINK("http://service.sap.com/sap/support/notes/1812129","1812129")</f>
        <v>1812129</v>
      </c>
      <c r="E8760">
        <v>2</v>
      </c>
      <c r="F8760" t="s">
        <v>10072</v>
      </c>
    </row>
    <row r="8761" spans="1:6" x14ac:dyDescent="0.25">
      <c r="A8761" t="s">
        <v>10927</v>
      </c>
      <c r="B8761" t="s">
        <v>5547</v>
      </c>
      <c r="C8761" t="s">
        <v>3286</v>
      </c>
      <c r="D8761" t="str">
        <f>HYPERLINK("http://service.sap.com/sap/support/notes/1597519","1597519")</f>
        <v>1597519</v>
      </c>
      <c r="E8761">
        <v>3</v>
      </c>
      <c r="F8761" t="s">
        <v>10073</v>
      </c>
    </row>
    <row r="8762" spans="1:6" x14ac:dyDescent="0.25">
      <c r="A8762" t="s">
        <v>10927</v>
      </c>
      <c r="B8762" t="s">
        <v>2573</v>
      </c>
      <c r="C8762" t="s">
        <v>2574</v>
      </c>
      <c r="D8762" t="str">
        <f>HYPERLINK("http://service.sap.com/sap/support/notes/1834266","1834266")</f>
        <v>1834266</v>
      </c>
      <c r="E8762">
        <v>4</v>
      </c>
      <c r="F8762" t="s">
        <v>10074</v>
      </c>
    </row>
    <row r="8763" spans="1:6" x14ac:dyDescent="0.25">
      <c r="A8763" t="s">
        <v>10927</v>
      </c>
      <c r="B8763" t="s">
        <v>2573</v>
      </c>
      <c r="C8763" t="s">
        <v>2574</v>
      </c>
      <c r="D8763" t="str">
        <f>HYPERLINK("http://service.sap.com/sap/support/notes/1834723","1834723")</f>
        <v>1834723</v>
      </c>
      <c r="E8763">
        <v>1</v>
      </c>
      <c r="F8763" t="s">
        <v>10075</v>
      </c>
    </row>
    <row r="8764" spans="1:6" x14ac:dyDescent="0.25">
      <c r="A8764" t="s">
        <v>10927</v>
      </c>
      <c r="B8764" t="s">
        <v>2573</v>
      </c>
      <c r="C8764" t="s">
        <v>2574</v>
      </c>
      <c r="D8764" t="str">
        <f>HYPERLINK("http://service.sap.com/sap/support/notes/1834874","1834874")</f>
        <v>1834874</v>
      </c>
      <c r="E8764">
        <v>1</v>
      </c>
      <c r="F8764" t="s">
        <v>10076</v>
      </c>
    </row>
    <row r="8765" spans="1:6" x14ac:dyDescent="0.25">
      <c r="A8765" t="s">
        <v>10927</v>
      </c>
      <c r="B8765" t="s">
        <v>2573</v>
      </c>
      <c r="C8765" t="s">
        <v>2574</v>
      </c>
      <c r="D8765" t="str">
        <f>HYPERLINK("http://service.sap.com/sap/support/notes/1835276","1835276")</f>
        <v>1835276</v>
      </c>
      <c r="E8765">
        <v>1</v>
      </c>
      <c r="F8765" t="s">
        <v>10077</v>
      </c>
    </row>
    <row r="8766" spans="1:6" x14ac:dyDescent="0.25">
      <c r="A8766" t="s">
        <v>10927</v>
      </c>
      <c r="B8766" t="s">
        <v>2573</v>
      </c>
      <c r="C8766" t="s">
        <v>2574</v>
      </c>
      <c r="D8766" t="str">
        <f>HYPERLINK("http://service.sap.com/sap/support/notes/1835833","1835833")</f>
        <v>1835833</v>
      </c>
      <c r="E8766">
        <v>2</v>
      </c>
      <c r="F8766" t="s">
        <v>10078</v>
      </c>
    </row>
    <row r="8767" spans="1:6" x14ac:dyDescent="0.25">
      <c r="A8767" t="s">
        <v>10927</v>
      </c>
      <c r="B8767" t="s">
        <v>2573</v>
      </c>
      <c r="C8767" t="s">
        <v>2574</v>
      </c>
      <c r="D8767" t="str">
        <f>HYPERLINK("http://service.sap.com/sap/support/notes/1837137","1837137")</f>
        <v>1837137</v>
      </c>
      <c r="E8767">
        <v>1</v>
      </c>
      <c r="F8767" t="s">
        <v>10079</v>
      </c>
    </row>
    <row r="8768" spans="1:6" x14ac:dyDescent="0.25">
      <c r="A8768" t="s">
        <v>10927</v>
      </c>
      <c r="B8768" t="s">
        <v>2573</v>
      </c>
      <c r="C8768" t="s">
        <v>2574</v>
      </c>
      <c r="D8768" t="str">
        <f>HYPERLINK("http://service.sap.com/sap/support/notes/1843453","1843453")</f>
        <v>1843453</v>
      </c>
      <c r="E8768">
        <v>2</v>
      </c>
      <c r="F8768" t="s">
        <v>10080</v>
      </c>
    </row>
    <row r="8769" spans="1:6" x14ac:dyDescent="0.25">
      <c r="A8769" t="s">
        <v>10927</v>
      </c>
      <c r="B8769" t="s">
        <v>2573</v>
      </c>
      <c r="C8769" t="s">
        <v>2574</v>
      </c>
      <c r="D8769" t="str">
        <f>HYPERLINK("http://service.sap.com/sap/support/notes/1862556","1862556")</f>
        <v>1862556</v>
      </c>
      <c r="E8769">
        <v>1</v>
      </c>
      <c r="F8769" t="s">
        <v>10081</v>
      </c>
    </row>
    <row r="8770" spans="1:6" x14ac:dyDescent="0.25">
      <c r="A8770" t="s">
        <v>10927</v>
      </c>
      <c r="B8770" t="s">
        <v>10082</v>
      </c>
      <c r="C8770" t="s">
        <v>10083</v>
      </c>
      <c r="D8770" t="str">
        <f>HYPERLINK("http://service.sap.com/sap/support/notes/1840740","1840740")</f>
        <v>1840740</v>
      </c>
      <c r="E8770">
        <v>1</v>
      </c>
      <c r="F8770" t="s">
        <v>10084</v>
      </c>
    </row>
    <row r="8771" spans="1:6" x14ac:dyDescent="0.25">
      <c r="A8771" t="s">
        <v>10927</v>
      </c>
      <c r="B8771" t="s">
        <v>10085</v>
      </c>
      <c r="C8771" t="s">
        <v>10086</v>
      </c>
      <c r="D8771" t="str">
        <f>HYPERLINK("http://service.sap.com/sap/support/notes/1840761","1840761")</f>
        <v>1840761</v>
      </c>
      <c r="E8771">
        <v>1</v>
      </c>
      <c r="F8771" t="s">
        <v>10087</v>
      </c>
    </row>
    <row r="8772" spans="1:6" x14ac:dyDescent="0.25">
      <c r="A8772" t="s">
        <v>10927</v>
      </c>
      <c r="B8772" t="s">
        <v>10085</v>
      </c>
      <c r="C8772" t="s">
        <v>10086</v>
      </c>
      <c r="D8772" t="str">
        <f>HYPERLINK("http://service.sap.com/sap/support/notes/1840839","1840839")</f>
        <v>1840839</v>
      </c>
      <c r="E8772">
        <v>1</v>
      </c>
      <c r="F8772" t="s">
        <v>10088</v>
      </c>
    </row>
    <row r="8773" spans="1:6" x14ac:dyDescent="0.25">
      <c r="A8773" t="s">
        <v>10927</v>
      </c>
      <c r="B8773" t="s">
        <v>2576</v>
      </c>
      <c r="C8773" t="s">
        <v>2577</v>
      </c>
    </row>
    <row r="8774" spans="1:6" x14ac:dyDescent="0.25">
      <c r="A8774" t="s">
        <v>10927</v>
      </c>
      <c r="B8774" t="s">
        <v>7959</v>
      </c>
      <c r="C8774" t="s">
        <v>7960</v>
      </c>
      <c r="D8774" t="str">
        <f>HYPERLINK("http://service.sap.com/sap/support/notes/1847098","1847098")</f>
        <v>1847098</v>
      </c>
      <c r="E8774">
        <v>1</v>
      </c>
      <c r="F8774" t="s">
        <v>10089</v>
      </c>
    </row>
    <row r="8775" spans="1:6" x14ac:dyDescent="0.25">
      <c r="A8775" t="s">
        <v>10927</v>
      </c>
      <c r="B8775" t="s">
        <v>2578</v>
      </c>
      <c r="C8775" t="s">
        <v>2579</v>
      </c>
      <c r="D8775" t="str">
        <f>HYPERLINK("http://service.sap.com/sap/support/notes/1708287","1708287")</f>
        <v>1708287</v>
      </c>
      <c r="E8775">
        <v>2</v>
      </c>
      <c r="F8775" t="s">
        <v>10090</v>
      </c>
    </row>
    <row r="8776" spans="1:6" x14ac:dyDescent="0.25">
      <c r="A8776" t="s">
        <v>10927</v>
      </c>
      <c r="B8776" t="s">
        <v>2578</v>
      </c>
      <c r="C8776" t="s">
        <v>2579</v>
      </c>
      <c r="D8776" t="str">
        <f>HYPERLINK("http://service.sap.com/sap/support/notes/1708875","1708875")</f>
        <v>1708875</v>
      </c>
      <c r="E8776">
        <v>3</v>
      </c>
      <c r="F8776" t="s">
        <v>10091</v>
      </c>
    </row>
    <row r="8777" spans="1:6" x14ac:dyDescent="0.25">
      <c r="A8777" t="s">
        <v>10927</v>
      </c>
      <c r="B8777" t="s">
        <v>2578</v>
      </c>
      <c r="C8777" t="s">
        <v>2579</v>
      </c>
      <c r="D8777" t="str">
        <f>HYPERLINK("http://service.sap.com/sap/support/notes/1828599","1828599")</f>
        <v>1828599</v>
      </c>
      <c r="E8777">
        <v>1</v>
      </c>
    </row>
    <row r="8778" spans="1:6" x14ac:dyDescent="0.25">
      <c r="A8778" t="s">
        <v>10927</v>
      </c>
      <c r="B8778" t="s">
        <v>2578</v>
      </c>
      <c r="C8778" t="s">
        <v>2579</v>
      </c>
      <c r="D8778" t="str">
        <f>HYPERLINK("http://service.sap.com/sap/support/notes/1836660","1836660")</f>
        <v>1836660</v>
      </c>
      <c r="E8778">
        <v>1</v>
      </c>
      <c r="F8778" t="s">
        <v>10092</v>
      </c>
    </row>
    <row r="8779" spans="1:6" x14ac:dyDescent="0.25">
      <c r="A8779" t="s">
        <v>10927</v>
      </c>
      <c r="B8779" t="s">
        <v>2583</v>
      </c>
      <c r="C8779" t="s">
        <v>2584</v>
      </c>
      <c r="D8779" t="str">
        <f>HYPERLINK("http://service.sap.com/sap/support/notes/1494533","1494533")</f>
        <v>1494533</v>
      </c>
      <c r="E8779">
        <v>3</v>
      </c>
      <c r="F8779" t="s">
        <v>10093</v>
      </c>
    </row>
    <row r="8780" spans="1:6" x14ac:dyDescent="0.25">
      <c r="A8780" t="s">
        <v>10927</v>
      </c>
      <c r="B8780" t="s">
        <v>2583</v>
      </c>
      <c r="C8780" t="s">
        <v>2584</v>
      </c>
      <c r="D8780" t="str">
        <f>HYPERLINK("http://service.sap.com/sap/support/notes/1715475","1715475")</f>
        <v>1715475</v>
      </c>
      <c r="E8780">
        <v>7</v>
      </c>
      <c r="F8780" t="s">
        <v>10094</v>
      </c>
    </row>
    <row r="8781" spans="1:6" x14ac:dyDescent="0.25">
      <c r="A8781" t="s">
        <v>10927</v>
      </c>
      <c r="B8781" t="s">
        <v>2583</v>
      </c>
      <c r="C8781" t="s">
        <v>2584</v>
      </c>
      <c r="D8781" t="str">
        <f>HYPERLINK("http://service.sap.com/sap/support/notes/1848208","1848208")</f>
        <v>1848208</v>
      </c>
      <c r="E8781">
        <v>1</v>
      </c>
      <c r="F8781" t="s">
        <v>10095</v>
      </c>
    </row>
    <row r="8782" spans="1:6" x14ac:dyDescent="0.25">
      <c r="A8782" t="s">
        <v>10927</v>
      </c>
      <c r="B8782" t="s">
        <v>7973</v>
      </c>
      <c r="C8782" t="s">
        <v>3389</v>
      </c>
      <c r="D8782" t="str">
        <f>HYPERLINK("http://service.sap.com/sap/support/notes/1806663","1806663")</f>
        <v>1806663</v>
      </c>
      <c r="E8782">
        <v>1</v>
      </c>
      <c r="F8782" t="s">
        <v>10096</v>
      </c>
    </row>
    <row r="8783" spans="1:6" x14ac:dyDescent="0.25">
      <c r="A8783" t="s">
        <v>10927</v>
      </c>
      <c r="B8783" t="s">
        <v>7973</v>
      </c>
      <c r="C8783" t="s">
        <v>3389</v>
      </c>
      <c r="D8783" t="str">
        <f>HYPERLINK("http://service.sap.com/sap/support/notes/1847577","1847577")</f>
        <v>1847577</v>
      </c>
      <c r="E8783">
        <v>1</v>
      </c>
      <c r="F8783" t="s">
        <v>10097</v>
      </c>
    </row>
    <row r="8784" spans="1:6" x14ac:dyDescent="0.25">
      <c r="A8784" t="s">
        <v>10927</v>
      </c>
      <c r="B8784" t="s">
        <v>2591</v>
      </c>
      <c r="C8784" t="s">
        <v>2592</v>
      </c>
      <c r="D8784" t="str">
        <f>HYPERLINK("http://service.sap.com/sap/support/notes/1684394","1684394")</f>
        <v>1684394</v>
      </c>
      <c r="E8784">
        <v>3</v>
      </c>
      <c r="F8784" t="s">
        <v>10098</v>
      </c>
    </row>
    <row r="8785" spans="1:6" x14ac:dyDescent="0.25">
      <c r="A8785" t="s">
        <v>10927</v>
      </c>
      <c r="B8785" t="s">
        <v>2591</v>
      </c>
      <c r="C8785" t="s">
        <v>2592</v>
      </c>
      <c r="D8785" t="str">
        <f>HYPERLINK("http://service.sap.com/sap/support/notes/1796665","1796665")</f>
        <v>1796665</v>
      </c>
      <c r="E8785">
        <v>2</v>
      </c>
      <c r="F8785" t="s">
        <v>10099</v>
      </c>
    </row>
    <row r="8786" spans="1:6" x14ac:dyDescent="0.25">
      <c r="A8786" t="s">
        <v>10927</v>
      </c>
      <c r="B8786" t="s">
        <v>2591</v>
      </c>
      <c r="C8786" t="s">
        <v>2592</v>
      </c>
      <c r="D8786" t="str">
        <f>HYPERLINK("http://service.sap.com/sap/support/notes/1837066","1837066")</f>
        <v>1837066</v>
      </c>
      <c r="E8786">
        <v>1</v>
      </c>
      <c r="F8786" t="s">
        <v>10059</v>
      </c>
    </row>
    <row r="8787" spans="1:6" x14ac:dyDescent="0.25">
      <c r="A8787" t="s">
        <v>10927</v>
      </c>
      <c r="B8787" t="s">
        <v>2594</v>
      </c>
      <c r="C8787" t="s">
        <v>1743</v>
      </c>
      <c r="D8787" t="str">
        <f>HYPERLINK("http://service.sap.com/sap/support/notes/1670506","1670506")</f>
        <v>1670506</v>
      </c>
      <c r="E8787">
        <v>3</v>
      </c>
      <c r="F8787" t="s">
        <v>10100</v>
      </c>
    </row>
    <row r="8788" spans="1:6" x14ac:dyDescent="0.25">
      <c r="A8788" t="s">
        <v>10927</v>
      </c>
      <c r="B8788" t="s">
        <v>2594</v>
      </c>
      <c r="C8788" t="s">
        <v>1743</v>
      </c>
      <c r="D8788" t="str">
        <f>HYPERLINK("http://service.sap.com/sap/support/notes/1847574","1847574")</f>
        <v>1847574</v>
      </c>
      <c r="E8788">
        <v>1</v>
      </c>
      <c r="F8788" t="s">
        <v>10101</v>
      </c>
    </row>
    <row r="8789" spans="1:6" x14ac:dyDescent="0.25">
      <c r="A8789" t="s">
        <v>10927</v>
      </c>
      <c r="B8789" t="s">
        <v>2594</v>
      </c>
      <c r="C8789" t="s">
        <v>1743</v>
      </c>
      <c r="D8789" t="str">
        <f>HYPERLINK("http://service.sap.com/sap/support/notes/1851316","1851316")</f>
        <v>1851316</v>
      </c>
      <c r="E8789">
        <v>1</v>
      </c>
      <c r="F8789" t="s">
        <v>10102</v>
      </c>
    </row>
    <row r="8790" spans="1:6" x14ac:dyDescent="0.25">
      <c r="A8790" t="s">
        <v>10927</v>
      </c>
      <c r="B8790" t="s">
        <v>2601</v>
      </c>
      <c r="C8790" t="s">
        <v>151</v>
      </c>
      <c r="D8790" t="str">
        <f>HYPERLINK("http://service.sap.com/sap/support/notes/1834522","1834522")</f>
        <v>1834522</v>
      </c>
      <c r="E8790">
        <v>4</v>
      </c>
      <c r="F8790" t="s">
        <v>10103</v>
      </c>
    </row>
    <row r="8791" spans="1:6" x14ac:dyDescent="0.25">
      <c r="A8791" t="s">
        <v>10927</v>
      </c>
      <c r="B8791" t="s">
        <v>7990</v>
      </c>
      <c r="C8791" t="s">
        <v>2419</v>
      </c>
      <c r="D8791" t="str">
        <f>HYPERLINK("http://service.sap.com/sap/support/notes/1844119","1844119")</f>
        <v>1844119</v>
      </c>
      <c r="E8791">
        <v>2</v>
      </c>
      <c r="F8791" t="s">
        <v>10104</v>
      </c>
    </row>
    <row r="8792" spans="1:6" x14ac:dyDescent="0.25">
      <c r="A8792" t="s">
        <v>10927</v>
      </c>
      <c r="B8792" t="s">
        <v>5569</v>
      </c>
      <c r="C8792" t="s">
        <v>5570</v>
      </c>
      <c r="D8792" t="str">
        <f>HYPERLINK("http://service.sap.com/sap/support/notes/1830736","1830736")</f>
        <v>1830736</v>
      </c>
      <c r="E8792">
        <v>4</v>
      </c>
      <c r="F8792" t="s">
        <v>10105</v>
      </c>
    </row>
    <row r="8793" spans="1:6" x14ac:dyDescent="0.25">
      <c r="A8793" t="s">
        <v>10927</v>
      </c>
      <c r="B8793" t="s">
        <v>7995</v>
      </c>
      <c r="C8793" t="s">
        <v>7996</v>
      </c>
    </row>
    <row r="8794" spans="1:6" x14ac:dyDescent="0.25">
      <c r="A8794" t="s">
        <v>10927</v>
      </c>
      <c r="B8794" t="s">
        <v>7997</v>
      </c>
      <c r="C8794" t="s">
        <v>7998</v>
      </c>
    </row>
    <row r="8795" spans="1:6" x14ac:dyDescent="0.25">
      <c r="A8795" t="s">
        <v>10927</v>
      </c>
      <c r="B8795" t="s">
        <v>7999</v>
      </c>
      <c r="C8795" t="s">
        <v>8000</v>
      </c>
      <c r="D8795" t="str">
        <f>HYPERLINK("http://service.sap.com/sap/support/notes/1614925","1614925")</f>
        <v>1614925</v>
      </c>
      <c r="E8795">
        <v>6</v>
      </c>
      <c r="F8795" t="s">
        <v>10106</v>
      </c>
    </row>
    <row r="8796" spans="1:6" x14ac:dyDescent="0.25">
      <c r="A8796" t="s">
        <v>10927</v>
      </c>
      <c r="B8796" t="s">
        <v>5579</v>
      </c>
      <c r="C8796" t="s">
        <v>5580</v>
      </c>
    </row>
    <row r="8797" spans="1:6" x14ac:dyDescent="0.25">
      <c r="A8797" t="s">
        <v>10927</v>
      </c>
      <c r="B8797" t="s">
        <v>10107</v>
      </c>
      <c r="C8797" t="s">
        <v>10108</v>
      </c>
      <c r="D8797" t="str">
        <f>HYPERLINK("http://service.sap.com/sap/support/notes/1859218","1859218")</f>
        <v>1859218</v>
      </c>
      <c r="E8797">
        <v>2</v>
      </c>
      <c r="F8797" t="s">
        <v>10109</v>
      </c>
    </row>
    <row r="8798" spans="1:6" x14ac:dyDescent="0.25">
      <c r="A8798" t="s">
        <v>10927</v>
      </c>
      <c r="B8798" t="s">
        <v>5581</v>
      </c>
      <c r="C8798" t="s">
        <v>5582</v>
      </c>
    </row>
    <row r="8799" spans="1:6" x14ac:dyDescent="0.25">
      <c r="A8799" t="s">
        <v>10927</v>
      </c>
      <c r="B8799" t="s">
        <v>10110</v>
      </c>
      <c r="C8799" t="s">
        <v>10111</v>
      </c>
    </row>
    <row r="8800" spans="1:6" x14ac:dyDescent="0.25">
      <c r="A8800" t="s">
        <v>10927</v>
      </c>
      <c r="B8800" t="s">
        <v>10112</v>
      </c>
      <c r="C8800" t="s">
        <v>10113</v>
      </c>
      <c r="D8800" t="str">
        <f>HYPERLINK("http://service.sap.com/sap/support/notes/1858705","1858705")</f>
        <v>1858705</v>
      </c>
      <c r="E8800">
        <v>1</v>
      </c>
      <c r="F8800" t="s">
        <v>10114</v>
      </c>
    </row>
    <row r="8801" spans="1:6" x14ac:dyDescent="0.25">
      <c r="A8801" t="s">
        <v>10927</v>
      </c>
      <c r="B8801" t="s">
        <v>2603</v>
      </c>
      <c r="C8801" t="s">
        <v>233</v>
      </c>
      <c r="D8801" t="str">
        <f>HYPERLINK("http://service.sap.com/sap/support/notes/706255","706255")</f>
        <v>706255</v>
      </c>
      <c r="E8801">
        <v>2</v>
      </c>
      <c r="F8801" t="s">
        <v>10115</v>
      </c>
    </row>
    <row r="8802" spans="1:6" x14ac:dyDescent="0.25">
      <c r="A8802" t="s">
        <v>10927</v>
      </c>
      <c r="B8802" t="s">
        <v>2603</v>
      </c>
      <c r="C8802" t="s">
        <v>233</v>
      </c>
      <c r="D8802" t="str">
        <f>HYPERLINK("http://service.sap.com/sap/support/notes/1694070","1694070")</f>
        <v>1694070</v>
      </c>
      <c r="E8802">
        <v>6</v>
      </c>
      <c r="F8802" t="s">
        <v>10116</v>
      </c>
    </row>
    <row r="8803" spans="1:6" x14ac:dyDescent="0.25">
      <c r="A8803" t="s">
        <v>10927</v>
      </c>
      <c r="B8803" t="s">
        <v>2603</v>
      </c>
      <c r="C8803" t="s">
        <v>233</v>
      </c>
      <c r="D8803" t="str">
        <f>HYPERLINK("http://service.sap.com/sap/support/notes/1810647","1810647")</f>
        <v>1810647</v>
      </c>
      <c r="E8803">
        <v>1</v>
      </c>
      <c r="F8803" t="s">
        <v>8004</v>
      </c>
    </row>
    <row r="8804" spans="1:6" x14ac:dyDescent="0.25">
      <c r="A8804" t="s">
        <v>10927</v>
      </c>
      <c r="B8804" t="s">
        <v>2603</v>
      </c>
      <c r="C8804" t="s">
        <v>233</v>
      </c>
      <c r="D8804" t="str">
        <f>HYPERLINK("http://service.sap.com/sap/support/notes/1828814","1828814")</f>
        <v>1828814</v>
      </c>
      <c r="E8804">
        <v>2</v>
      </c>
      <c r="F8804" t="s">
        <v>8006</v>
      </c>
    </row>
    <row r="8805" spans="1:6" x14ac:dyDescent="0.25">
      <c r="A8805" t="s">
        <v>10927</v>
      </c>
      <c r="B8805" t="s">
        <v>2603</v>
      </c>
      <c r="C8805" t="s">
        <v>233</v>
      </c>
      <c r="D8805" t="str">
        <f>HYPERLINK("http://service.sap.com/sap/support/notes/1831380","1831380")</f>
        <v>1831380</v>
      </c>
      <c r="E8805">
        <v>1</v>
      </c>
      <c r="F8805" t="s">
        <v>10117</v>
      </c>
    </row>
    <row r="8806" spans="1:6" x14ac:dyDescent="0.25">
      <c r="A8806" t="s">
        <v>10927</v>
      </c>
      <c r="B8806" t="s">
        <v>2603</v>
      </c>
      <c r="C8806" t="s">
        <v>233</v>
      </c>
      <c r="D8806" t="str">
        <f>HYPERLINK("http://service.sap.com/sap/support/notes/1831423","1831423")</f>
        <v>1831423</v>
      </c>
      <c r="E8806">
        <v>2</v>
      </c>
      <c r="F8806" t="s">
        <v>10118</v>
      </c>
    </row>
    <row r="8807" spans="1:6" x14ac:dyDescent="0.25">
      <c r="A8807" t="s">
        <v>10927</v>
      </c>
      <c r="B8807" t="s">
        <v>2603</v>
      </c>
      <c r="C8807" t="s">
        <v>233</v>
      </c>
      <c r="D8807" t="str">
        <f>HYPERLINK("http://service.sap.com/sap/support/notes/1831490","1831490")</f>
        <v>1831490</v>
      </c>
      <c r="E8807">
        <v>1</v>
      </c>
      <c r="F8807" t="s">
        <v>10119</v>
      </c>
    </row>
    <row r="8808" spans="1:6" x14ac:dyDescent="0.25">
      <c r="A8808" t="s">
        <v>10927</v>
      </c>
      <c r="B8808" t="s">
        <v>2603</v>
      </c>
      <c r="C8808" t="s">
        <v>233</v>
      </c>
      <c r="D8808" t="str">
        <f>HYPERLINK("http://service.sap.com/sap/support/notes/1831867","1831867")</f>
        <v>1831867</v>
      </c>
      <c r="E8808">
        <v>1</v>
      </c>
      <c r="F8808" t="s">
        <v>10120</v>
      </c>
    </row>
    <row r="8809" spans="1:6" x14ac:dyDescent="0.25">
      <c r="A8809" t="s">
        <v>10927</v>
      </c>
      <c r="B8809" t="s">
        <v>2603</v>
      </c>
      <c r="C8809" t="s">
        <v>233</v>
      </c>
      <c r="D8809" t="str">
        <f>HYPERLINK("http://service.sap.com/sap/support/notes/1851010","1851010")</f>
        <v>1851010</v>
      </c>
      <c r="E8809">
        <v>1</v>
      </c>
      <c r="F8809" t="s">
        <v>10121</v>
      </c>
    </row>
    <row r="8810" spans="1:6" x14ac:dyDescent="0.25">
      <c r="A8810" t="s">
        <v>10927</v>
      </c>
      <c r="B8810" t="s">
        <v>2607</v>
      </c>
      <c r="C8810" t="s">
        <v>2608</v>
      </c>
      <c r="D8810" t="str">
        <f>HYPERLINK("http://service.sap.com/sap/support/notes/1660849","1660849")</f>
        <v>1660849</v>
      </c>
      <c r="E8810">
        <v>1</v>
      </c>
      <c r="F8810" t="s">
        <v>10122</v>
      </c>
    </row>
    <row r="8811" spans="1:6" x14ac:dyDescent="0.25">
      <c r="A8811" t="s">
        <v>10927</v>
      </c>
      <c r="B8811" t="s">
        <v>2610</v>
      </c>
      <c r="C8811" t="s">
        <v>2611</v>
      </c>
      <c r="D8811" t="str">
        <f>HYPERLINK("http://service.sap.com/sap/support/notes/1507111","1507111")</f>
        <v>1507111</v>
      </c>
      <c r="E8811">
        <v>2</v>
      </c>
      <c r="F8811" t="s">
        <v>10123</v>
      </c>
    </row>
    <row r="8812" spans="1:6" x14ac:dyDescent="0.25">
      <c r="A8812" t="s">
        <v>10927</v>
      </c>
      <c r="B8812" t="s">
        <v>2610</v>
      </c>
      <c r="C8812" t="s">
        <v>2611</v>
      </c>
      <c r="D8812" t="str">
        <f>HYPERLINK("http://service.sap.com/sap/support/notes/1634112","1634112")</f>
        <v>1634112</v>
      </c>
      <c r="E8812">
        <v>4</v>
      </c>
      <c r="F8812" t="s">
        <v>10124</v>
      </c>
    </row>
    <row r="8813" spans="1:6" x14ac:dyDescent="0.25">
      <c r="A8813" t="s">
        <v>10927</v>
      </c>
      <c r="B8813" t="s">
        <v>2610</v>
      </c>
      <c r="C8813" t="s">
        <v>2611</v>
      </c>
      <c r="D8813" t="str">
        <f>HYPERLINK("http://service.sap.com/sap/support/notes/1635694","1635694")</f>
        <v>1635694</v>
      </c>
      <c r="E8813">
        <v>2</v>
      </c>
      <c r="F8813" t="s">
        <v>10125</v>
      </c>
    </row>
    <row r="8814" spans="1:6" x14ac:dyDescent="0.25">
      <c r="A8814" t="s">
        <v>10927</v>
      </c>
      <c r="B8814" t="s">
        <v>2610</v>
      </c>
      <c r="C8814" t="s">
        <v>2611</v>
      </c>
      <c r="D8814" t="str">
        <f>HYPERLINK("http://service.sap.com/sap/support/notes/1793851","1793851")</f>
        <v>1793851</v>
      </c>
      <c r="E8814">
        <v>5</v>
      </c>
      <c r="F8814" t="s">
        <v>10126</v>
      </c>
    </row>
    <row r="8815" spans="1:6" x14ac:dyDescent="0.25">
      <c r="A8815" t="s">
        <v>10927</v>
      </c>
      <c r="B8815" t="s">
        <v>2610</v>
      </c>
      <c r="C8815" t="s">
        <v>2611</v>
      </c>
      <c r="D8815" t="str">
        <f>HYPERLINK("http://service.sap.com/sap/support/notes/1800063","1800063")</f>
        <v>1800063</v>
      </c>
      <c r="E8815">
        <v>2</v>
      </c>
      <c r="F8815" t="s">
        <v>10127</v>
      </c>
    </row>
    <row r="8816" spans="1:6" x14ac:dyDescent="0.25">
      <c r="A8816" t="s">
        <v>10927</v>
      </c>
      <c r="B8816" t="s">
        <v>2610</v>
      </c>
      <c r="C8816" t="s">
        <v>2611</v>
      </c>
      <c r="D8816" t="str">
        <f>HYPERLINK("http://service.sap.com/sap/support/notes/1831517","1831517")</f>
        <v>1831517</v>
      </c>
      <c r="E8816">
        <v>2</v>
      </c>
      <c r="F8816" t="s">
        <v>10128</v>
      </c>
    </row>
    <row r="8817" spans="1:6" x14ac:dyDescent="0.25">
      <c r="A8817" t="s">
        <v>10927</v>
      </c>
      <c r="B8817" t="s">
        <v>2610</v>
      </c>
      <c r="C8817" t="s">
        <v>2611</v>
      </c>
      <c r="D8817" t="str">
        <f>HYPERLINK("http://service.sap.com/sap/support/notes/1844187","1844187")</f>
        <v>1844187</v>
      </c>
      <c r="E8817">
        <v>2</v>
      </c>
      <c r="F8817" t="s">
        <v>10129</v>
      </c>
    </row>
    <row r="8818" spans="1:6" x14ac:dyDescent="0.25">
      <c r="A8818" t="s">
        <v>10927</v>
      </c>
      <c r="B8818" t="s">
        <v>2616</v>
      </c>
      <c r="C8818" t="s">
        <v>2617</v>
      </c>
      <c r="D8818" t="str">
        <f>HYPERLINK("http://service.sap.com/sap/support/notes/1844241","1844241")</f>
        <v>1844241</v>
      </c>
      <c r="E8818">
        <v>2</v>
      </c>
      <c r="F8818" t="s">
        <v>10130</v>
      </c>
    </row>
    <row r="8819" spans="1:6" x14ac:dyDescent="0.25">
      <c r="A8819" t="s">
        <v>10927</v>
      </c>
      <c r="B8819" t="s">
        <v>2616</v>
      </c>
      <c r="C8819" t="s">
        <v>2617</v>
      </c>
      <c r="D8819" t="str">
        <f>HYPERLINK("http://service.sap.com/sap/support/notes/1862463","1862463")</f>
        <v>1862463</v>
      </c>
      <c r="E8819">
        <v>1</v>
      </c>
      <c r="F8819" t="s">
        <v>10131</v>
      </c>
    </row>
    <row r="8820" spans="1:6" x14ac:dyDescent="0.25">
      <c r="A8820" t="s">
        <v>10927</v>
      </c>
      <c r="B8820" t="s">
        <v>2622</v>
      </c>
      <c r="C8820" t="s">
        <v>2623</v>
      </c>
    </row>
    <row r="8821" spans="1:6" x14ac:dyDescent="0.25">
      <c r="A8821" t="s">
        <v>10927</v>
      </c>
      <c r="B8821" t="s">
        <v>2624</v>
      </c>
      <c r="C8821" t="s">
        <v>2625</v>
      </c>
      <c r="D8821" t="str">
        <f>HYPERLINK("http://service.sap.com/sap/support/notes/715991","715991")</f>
        <v>715991</v>
      </c>
      <c r="E8821">
        <v>4</v>
      </c>
      <c r="F8821" t="s">
        <v>10132</v>
      </c>
    </row>
    <row r="8822" spans="1:6" x14ac:dyDescent="0.25">
      <c r="A8822" t="s">
        <v>10927</v>
      </c>
      <c r="B8822" t="s">
        <v>2624</v>
      </c>
      <c r="C8822" t="s">
        <v>2625</v>
      </c>
      <c r="D8822" t="str">
        <f>HYPERLINK("http://service.sap.com/sap/support/notes/1840071","1840071")</f>
        <v>1840071</v>
      </c>
      <c r="E8822">
        <v>1</v>
      </c>
      <c r="F8822" t="s">
        <v>10133</v>
      </c>
    </row>
    <row r="8823" spans="1:6" x14ac:dyDescent="0.25">
      <c r="A8823" t="s">
        <v>10927</v>
      </c>
      <c r="B8823" t="s">
        <v>2624</v>
      </c>
      <c r="C8823" t="s">
        <v>2625</v>
      </c>
      <c r="D8823" t="str">
        <f>HYPERLINK("http://service.sap.com/sap/support/notes/1841875","1841875")</f>
        <v>1841875</v>
      </c>
      <c r="E8823">
        <v>2</v>
      </c>
      <c r="F8823" t="s">
        <v>10134</v>
      </c>
    </row>
    <row r="8824" spans="1:6" x14ac:dyDescent="0.25">
      <c r="A8824" t="s">
        <v>10927</v>
      </c>
      <c r="B8824" t="s">
        <v>2624</v>
      </c>
      <c r="C8824" t="s">
        <v>2625</v>
      </c>
      <c r="D8824" t="str">
        <f>HYPERLINK("http://service.sap.com/sap/support/notes/1858474","1858474")</f>
        <v>1858474</v>
      </c>
      <c r="E8824">
        <v>4</v>
      </c>
      <c r="F8824" t="s">
        <v>10135</v>
      </c>
    </row>
    <row r="8825" spans="1:6" x14ac:dyDescent="0.25">
      <c r="A8825" t="s">
        <v>10927</v>
      </c>
      <c r="B8825" t="s">
        <v>2627</v>
      </c>
      <c r="C8825" t="s">
        <v>2628</v>
      </c>
      <c r="D8825" t="str">
        <f>HYPERLINK("http://service.sap.com/sap/support/notes/1859146","1859146")</f>
        <v>1859146</v>
      </c>
      <c r="E8825">
        <v>2</v>
      </c>
      <c r="F8825" t="s">
        <v>10136</v>
      </c>
    </row>
    <row r="8826" spans="1:6" x14ac:dyDescent="0.25">
      <c r="A8826" t="s">
        <v>10927</v>
      </c>
      <c r="B8826" t="s">
        <v>2634</v>
      </c>
      <c r="C8826" t="s">
        <v>5598</v>
      </c>
      <c r="D8826" t="str">
        <f>HYPERLINK("http://service.sap.com/sap/support/notes/1818003","1818003")</f>
        <v>1818003</v>
      </c>
      <c r="E8826">
        <v>1</v>
      </c>
      <c r="F8826" t="s">
        <v>8017</v>
      </c>
    </row>
    <row r="8827" spans="1:6" x14ac:dyDescent="0.25">
      <c r="A8827" t="s">
        <v>10927</v>
      </c>
      <c r="B8827" t="s">
        <v>2634</v>
      </c>
      <c r="C8827" t="s">
        <v>5598</v>
      </c>
      <c r="D8827" t="str">
        <f>HYPERLINK("http://service.sap.com/sap/support/notes/1844805","1844805")</f>
        <v>1844805</v>
      </c>
      <c r="E8827">
        <v>1</v>
      </c>
      <c r="F8827" t="s">
        <v>10137</v>
      </c>
    </row>
    <row r="8828" spans="1:6" x14ac:dyDescent="0.25">
      <c r="A8828" t="s">
        <v>10927</v>
      </c>
      <c r="B8828" t="s">
        <v>2634</v>
      </c>
      <c r="C8828" t="s">
        <v>5598</v>
      </c>
      <c r="D8828" t="str">
        <f>HYPERLINK("http://service.sap.com/sap/support/notes/1861832","1861832")</f>
        <v>1861832</v>
      </c>
      <c r="E8828">
        <v>1</v>
      </c>
      <c r="F8828" t="s">
        <v>10138</v>
      </c>
    </row>
    <row r="8829" spans="1:6" x14ac:dyDescent="0.25">
      <c r="A8829" t="s">
        <v>10927</v>
      </c>
      <c r="B8829" t="s">
        <v>2634</v>
      </c>
      <c r="C8829" t="s">
        <v>5598</v>
      </c>
      <c r="D8829" t="str">
        <f>HYPERLINK("http://service.sap.com/sap/support/notes/1866096","1866096")</f>
        <v>1866096</v>
      </c>
      <c r="E8829">
        <v>1</v>
      </c>
      <c r="F8829" t="s">
        <v>10139</v>
      </c>
    </row>
    <row r="8830" spans="1:6" x14ac:dyDescent="0.25">
      <c r="A8830" t="s">
        <v>10927</v>
      </c>
      <c r="B8830" t="s">
        <v>2636</v>
      </c>
      <c r="C8830" t="s">
        <v>2637</v>
      </c>
      <c r="D8830" t="str">
        <f>HYPERLINK("http://service.sap.com/sap/support/notes/1832657","1832657")</f>
        <v>1832657</v>
      </c>
      <c r="E8830">
        <v>2</v>
      </c>
      <c r="F8830" t="s">
        <v>10140</v>
      </c>
    </row>
    <row r="8831" spans="1:6" x14ac:dyDescent="0.25">
      <c r="A8831" t="s">
        <v>10927</v>
      </c>
      <c r="B8831" t="s">
        <v>2636</v>
      </c>
      <c r="C8831" t="s">
        <v>2637</v>
      </c>
      <c r="D8831" t="str">
        <f>HYPERLINK("http://service.sap.com/sap/support/notes/1834790","1834790")</f>
        <v>1834790</v>
      </c>
      <c r="E8831">
        <v>2</v>
      </c>
      <c r="F8831" t="s">
        <v>10141</v>
      </c>
    </row>
    <row r="8832" spans="1:6" x14ac:dyDescent="0.25">
      <c r="A8832" t="s">
        <v>10927</v>
      </c>
      <c r="B8832" t="s">
        <v>2636</v>
      </c>
      <c r="C8832" t="s">
        <v>2637</v>
      </c>
      <c r="D8832" t="str">
        <f>HYPERLINK("http://service.sap.com/sap/support/notes/1835354","1835354")</f>
        <v>1835354</v>
      </c>
      <c r="E8832">
        <v>2</v>
      </c>
      <c r="F8832" t="s">
        <v>10142</v>
      </c>
    </row>
    <row r="8833" spans="1:6" x14ac:dyDescent="0.25">
      <c r="A8833" t="s">
        <v>10927</v>
      </c>
      <c r="B8833" t="s">
        <v>2636</v>
      </c>
      <c r="C8833" t="s">
        <v>2637</v>
      </c>
      <c r="D8833" t="str">
        <f>HYPERLINK("http://service.sap.com/sap/support/notes/1844379","1844379")</f>
        <v>1844379</v>
      </c>
      <c r="E8833">
        <v>3</v>
      </c>
      <c r="F8833" t="s">
        <v>5606</v>
      </c>
    </row>
    <row r="8834" spans="1:6" x14ac:dyDescent="0.25">
      <c r="A8834" t="s">
        <v>10927</v>
      </c>
      <c r="B8834" t="s">
        <v>2636</v>
      </c>
      <c r="C8834" t="s">
        <v>2637</v>
      </c>
      <c r="D8834" t="str">
        <f>HYPERLINK("http://service.sap.com/sap/support/notes/1849123","1849123")</f>
        <v>1849123</v>
      </c>
      <c r="E8834">
        <v>2</v>
      </c>
      <c r="F8834" t="s">
        <v>10143</v>
      </c>
    </row>
    <row r="8835" spans="1:6" x14ac:dyDescent="0.25">
      <c r="A8835" t="s">
        <v>10927</v>
      </c>
      <c r="B8835" t="s">
        <v>2636</v>
      </c>
      <c r="C8835" t="s">
        <v>2637</v>
      </c>
      <c r="D8835" t="str">
        <f>HYPERLINK("http://service.sap.com/sap/support/notes/1851780","1851780")</f>
        <v>1851780</v>
      </c>
      <c r="E8835">
        <v>1</v>
      </c>
      <c r="F8835" t="s">
        <v>10144</v>
      </c>
    </row>
    <row r="8836" spans="1:6" x14ac:dyDescent="0.25">
      <c r="A8836" t="s">
        <v>10927</v>
      </c>
      <c r="B8836" t="s">
        <v>2636</v>
      </c>
      <c r="C8836" t="s">
        <v>2637</v>
      </c>
      <c r="D8836" t="str">
        <f>HYPERLINK("http://service.sap.com/sap/support/notes/1853492","1853492")</f>
        <v>1853492</v>
      </c>
      <c r="E8836">
        <v>2</v>
      </c>
      <c r="F8836" t="s">
        <v>10145</v>
      </c>
    </row>
    <row r="8837" spans="1:6" x14ac:dyDescent="0.25">
      <c r="A8837" t="s">
        <v>10927</v>
      </c>
      <c r="B8837" t="s">
        <v>2643</v>
      </c>
      <c r="C8837" t="s">
        <v>2644</v>
      </c>
      <c r="D8837" t="str">
        <f>HYPERLINK("http://service.sap.com/sap/support/notes/1690405","1690405")</f>
        <v>1690405</v>
      </c>
      <c r="E8837">
        <v>3</v>
      </c>
      <c r="F8837" t="s">
        <v>10146</v>
      </c>
    </row>
    <row r="8838" spans="1:6" x14ac:dyDescent="0.25">
      <c r="A8838" t="s">
        <v>10927</v>
      </c>
      <c r="B8838" t="s">
        <v>2643</v>
      </c>
      <c r="C8838" t="s">
        <v>2644</v>
      </c>
      <c r="D8838" t="str">
        <f>HYPERLINK("http://service.sap.com/sap/support/notes/1834382","1834382")</f>
        <v>1834382</v>
      </c>
      <c r="E8838">
        <v>1</v>
      </c>
      <c r="F8838" t="s">
        <v>10147</v>
      </c>
    </row>
    <row r="8839" spans="1:6" x14ac:dyDescent="0.25">
      <c r="A8839" t="s">
        <v>10927</v>
      </c>
      <c r="B8839" t="s">
        <v>2643</v>
      </c>
      <c r="C8839" t="s">
        <v>2644</v>
      </c>
      <c r="D8839" t="str">
        <f>HYPERLINK("http://service.sap.com/sap/support/notes/1842539","1842539")</f>
        <v>1842539</v>
      </c>
      <c r="E8839">
        <v>2</v>
      </c>
      <c r="F8839" t="s">
        <v>10148</v>
      </c>
    </row>
    <row r="8840" spans="1:6" x14ac:dyDescent="0.25">
      <c r="A8840" t="s">
        <v>10927</v>
      </c>
      <c r="B8840" t="s">
        <v>2643</v>
      </c>
      <c r="C8840" t="s">
        <v>2644</v>
      </c>
      <c r="D8840" t="str">
        <f>HYPERLINK("http://service.sap.com/sap/support/notes/1851861","1851861")</f>
        <v>1851861</v>
      </c>
      <c r="E8840">
        <v>1</v>
      </c>
      <c r="F8840" t="s">
        <v>10149</v>
      </c>
    </row>
    <row r="8841" spans="1:6" x14ac:dyDescent="0.25">
      <c r="A8841" t="s">
        <v>10927</v>
      </c>
      <c r="B8841" t="s">
        <v>2643</v>
      </c>
      <c r="C8841" t="s">
        <v>2644</v>
      </c>
      <c r="D8841" t="str">
        <f>HYPERLINK("http://service.sap.com/sap/support/notes/1852361","1852361")</f>
        <v>1852361</v>
      </c>
      <c r="E8841">
        <v>1</v>
      </c>
      <c r="F8841" t="s">
        <v>10150</v>
      </c>
    </row>
    <row r="8842" spans="1:6" x14ac:dyDescent="0.25">
      <c r="A8842" t="s">
        <v>10927</v>
      </c>
      <c r="B8842" t="s">
        <v>2643</v>
      </c>
      <c r="C8842" t="s">
        <v>2644</v>
      </c>
      <c r="D8842" t="str">
        <f>HYPERLINK("http://service.sap.com/sap/support/notes/1859868","1859868")</f>
        <v>1859868</v>
      </c>
      <c r="E8842">
        <v>2</v>
      </c>
      <c r="F8842" t="s">
        <v>10151</v>
      </c>
    </row>
    <row r="8843" spans="1:6" x14ac:dyDescent="0.25">
      <c r="A8843" t="s">
        <v>10927</v>
      </c>
      <c r="B8843" t="s">
        <v>2643</v>
      </c>
      <c r="C8843" t="s">
        <v>2644</v>
      </c>
      <c r="D8843" t="str">
        <f>HYPERLINK("http://service.sap.com/sap/support/notes/1860469","1860469")</f>
        <v>1860469</v>
      </c>
      <c r="E8843">
        <v>1</v>
      </c>
      <c r="F8843" t="s">
        <v>10152</v>
      </c>
    </row>
    <row r="8844" spans="1:6" x14ac:dyDescent="0.25">
      <c r="A8844" t="s">
        <v>10927</v>
      </c>
      <c r="B8844" t="s">
        <v>2643</v>
      </c>
      <c r="C8844" t="s">
        <v>2644</v>
      </c>
      <c r="D8844" t="str">
        <f>HYPERLINK("http://service.sap.com/sap/support/notes/1862747","1862747")</f>
        <v>1862747</v>
      </c>
      <c r="E8844">
        <v>1</v>
      </c>
      <c r="F8844" t="s">
        <v>10153</v>
      </c>
    </row>
    <row r="8845" spans="1:6" x14ac:dyDescent="0.25">
      <c r="A8845" t="s">
        <v>10927</v>
      </c>
      <c r="B8845" t="s">
        <v>2647</v>
      </c>
      <c r="C8845" t="s">
        <v>2648</v>
      </c>
      <c r="D8845" t="str">
        <f>HYPERLINK("http://service.sap.com/sap/support/notes/1828072","1828072")</f>
        <v>1828072</v>
      </c>
      <c r="E8845">
        <v>1</v>
      </c>
      <c r="F8845" t="s">
        <v>10154</v>
      </c>
    </row>
    <row r="8846" spans="1:6" x14ac:dyDescent="0.25">
      <c r="A8846" t="s">
        <v>10927</v>
      </c>
      <c r="B8846" t="s">
        <v>10155</v>
      </c>
      <c r="C8846" t="s">
        <v>10156</v>
      </c>
      <c r="D8846" t="str">
        <f>HYPERLINK("http://service.sap.com/sap/support/notes/1467312","1467312")</f>
        <v>1467312</v>
      </c>
      <c r="E8846">
        <v>3</v>
      </c>
      <c r="F8846" t="s">
        <v>10157</v>
      </c>
    </row>
    <row r="8847" spans="1:6" x14ac:dyDescent="0.25">
      <c r="A8847" t="s">
        <v>10927</v>
      </c>
      <c r="B8847" t="s">
        <v>2654</v>
      </c>
      <c r="C8847" t="s">
        <v>2655</v>
      </c>
      <c r="D8847" t="str">
        <f>HYPERLINK("http://service.sap.com/sap/support/notes/1833411","1833411")</f>
        <v>1833411</v>
      </c>
      <c r="E8847">
        <v>2</v>
      </c>
      <c r="F8847" t="s">
        <v>10158</v>
      </c>
    </row>
    <row r="8848" spans="1:6" x14ac:dyDescent="0.25">
      <c r="A8848" t="s">
        <v>10927</v>
      </c>
      <c r="B8848" t="s">
        <v>2654</v>
      </c>
      <c r="C8848" t="s">
        <v>2655</v>
      </c>
      <c r="D8848" t="str">
        <f>HYPERLINK("http://service.sap.com/sap/support/notes/1856518","1856518")</f>
        <v>1856518</v>
      </c>
      <c r="E8848">
        <v>2</v>
      </c>
      <c r="F8848" t="s">
        <v>10159</v>
      </c>
    </row>
    <row r="8849" spans="1:6" x14ac:dyDescent="0.25">
      <c r="A8849" t="s">
        <v>10927</v>
      </c>
      <c r="B8849" t="s">
        <v>10160</v>
      </c>
      <c r="C8849" t="s">
        <v>10161</v>
      </c>
      <c r="D8849" t="str">
        <f>HYPERLINK("http://service.sap.com/sap/support/notes/1855981","1855981")</f>
        <v>1855981</v>
      </c>
      <c r="E8849">
        <v>1</v>
      </c>
      <c r="F8849" t="s">
        <v>10162</v>
      </c>
    </row>
    <row r="8850" spans="1:6" x14ac:dyDescent="0.25">
      <c r="A8850" t="s">
        <v>10927</v>
      </c>
      <c r="B8850" t="s">
        <v>2658</v>
      </c>
      <c r="C8850" t="s">
        <v>2659</v>
      </c>
      <c r="D8850" t="str">
        <f>HYPERLINK("http://service.sap.com/sap/support/notes/1822197","1822197")</f>
        <v>1822197</v>
      </c>
      <c r="E8850">
        <v>3</v>
      </c>
      <c r="F8850" t="s">
        <v>10163</v>
      </c>
    </row>
    <row r="8851" spans="1:6" x14ac:dyDescent="0.25">
      <c r="A8851" t="s">
        <v>10927</v>
      </c>
      <c r="B8851" t="s">
        <v>2658</v>
      </c>
      <c r="C8851" t="s">
        <v>2659</v>
      </c>
      <c r="D8851" t="str">
        <f>HYPERLINK("http://service.sap.com/sap/support/notes/1855713","1855713")</f>
        <v>1855713</v>
      </c>
      <c r="E8851">
        <v>1</v>
      </c>
      <c r="F8851" t="s">
        <v>10164</v>
      </c>
    </row>
    <row r="8852" spans="1:6" x14ac:dyDescent="0.25">
      <c r="A8852" t="s">
        <v>10927</v>
      </c>
      <c r="B8852" t="s">
        <v>2661</v>
      </c>
      <c r="C8852" t="s">
        <v>2662</v>
      </c>
      <c r="D8852" t="str">
        <f>HYPERLINK("http://service.sap.com/sap/support/notes/1850706","1850706")</f>
        <v>1850706</v>
      </c>
      <c r="E8852">
        <v>1</v>
      </c>
      <c r="F8852" t="s">
        <v>10165</v>
      </c>
    </row>
    <row r="8853" spans="1:6" x14ac:dyDescent="0.25">
      <c r="A8853" t="s">
        <v>10927</v>
      </c>
      <c r="B8853" t="s">
        <v>2661</v>
      </c>
      <c r="C8853" t="s">
        <v>2662</v>
      </c>
      <c r="D8853" t="str">
        <f>HYPERLINK("http://service.sap.com/sap/support/notes/1858280","1858280")</f>
        <v>1858280</v>
      </c>
      <c r="E8853">
        <v>1</v>
      </c>
      <c r="F8853" t="s">
        <v>10166</v>
      </c>
    </row>
    <row r="8854" spans="1:6" x14ac:dyDescent="0.25">
      <c r="A8854" t="s">
        <v>10927</v>
      </c>
      <c r="B8854" t="s">
        <v>2661</v>
      </c>
      <c r="C8854" t="s">
        <v>2662</v>
      </c>
      <c r="D8854" t="str">
        <f>HYPERLINK("http://service.sap.com/sap/support/notes/1860115","1860115")</f>
        <v>1860115</v>
      </c>
      <c r="E8854">
        <v>1</v>
      </c>
      <c r="F8854" t="s">
        <v>10167</v>
      </c>
    </row>
    <row r="8855" spans="1:6" x14ac:dyDescent="0.25">
      <c r="A8855" t="s">
        <v>10927</v>
      </c>
      <c r="B8855" t="s">
        <v>2666</v>
      </c>
      <c r="C8855" t="s">
        <v>2667</v>
      </c>
      <c r="D8855" t="str">
        <f>HYPERLINK("http://service.sap.com/sap/support/notes/1859315","1859315")</f>
        <v>1859315</v>
      </c>
      <c r="E8855">
        <v>1</v>
      </c>
      <c r="F8855" t="s">
        <v>9185</v>
      </c>
    </row>
    <row r="8856" spans="1:6" x14ac:dyDescent="0.25">
      <c r="A8856" t="s">
        <v>10927</v>
      </c>
      <c r="B8856" t="s">
        <v>2669</v>
      </c>
      <c r="C8856" t="s">
        <v>2670</v>
      </c>
      <c r="D8856" t="str">
        <f>HYPERLINK("http://service.sap.com/sap/support/notes/1846611","1846611")</f>
        <v>1846611</v>
      </c>
      <c r="E8856">
        <v>2</v>
      </c>
      <c r="F8856" t="s">
        <v>10168</v>
      </c>
    </row>
    <row r="8857" spans="1:6" x14ac:dyDescent="0.25">
      <c r="A8857" t="s">
        <v>10927</v>
      </c>
      <c r="B8857" t="s">
        <v>2669</v>
      </c>
      <c r="C8857" t="s">
        <v>2670</v>
      </c>
      <c r="D8857" t="str">
        <f>HYPERLINK("http://service.sap.com/sap/support/notes/1855384","1855384")</f>
        <v>1855384</v>
      </c>
      <c r="E8857">
        <v>1</v>
      </c>
      <c r="F8857" t="s">
        <v>10169</v>
      </c>
    </row>
    <row r="8858" spans="1:6" x14ac:dyDescent="0.25">
      <c r="A8858" t="s">
        <v>10927</v>
      </c>
      <c r="B8858" t="s">
        <v>2684</v>
      </c>
      <c r="C8858" t="s">
        <v>2685</v>
      </c>
      <c r="D8858" t="str">
        <f>HYPERLINK("http://service.sap.com/sap/support/notes/1773004","1773004")</f>
        <v>1773004</v>
      </c>
      <c r="E8858">
        <v>2</v>
      </c>
      <c r="F8858" t="s">
        <v>10170</v>
      </c>
    </row>
    <row r="8859" spans="1:6" x14ac:dyDescent="0.25">
      <c r="A8859" t="s">
        <v>10927</v>
      </c>
      <c r="B8859" t="s">
        <v>2684</v>
      </c>
      <c r="C8859" t="s">
        <v>2685</v>
      </c>
      <c r="D8859" t="str">
        <f>HYPERLINK("http://service.sap.com/sap/support/notes/1812656","1812656")</f>
        <v>1812656</v>
      </c>
      <c r="E8859">
        <v>4</v>
      </c>
      <c r="F8859" t="s">
        <v>10171</v>
      </c>
    </row>
    <row r="8860" spans="1:6" x14ac:dyDescent="0.25">
      <c r="A8860" t="s">
        <v>10927</v>
      </c>
      <c r="B8860" t="s">
        <v>2684</v>
      </c>
      <c r="C8860" t="s">
        <v>2685</v>
      </c>
      <c r="D8860" t="str">
        <f>HYPERLINK("http://service.sap.com/sap/support/notes/1828726","1828726")</f>
        <v>1828726</v>
      </c>
      <c r="E8860">
        <v>2</v>
      </c>
      <c r="F8860" t="s">
        <v>10172</v>
      </c>
    </row>
    <row r="8861" spans="1:6" x14ac:dyDescent="0.25">
      <c r="A8861" t="s">
        <v>10927</v>
      </c>
      <c r="B8861" t="s">
        <v>2684</v>
      </c>
      <c r="C8861" t="s">
        <v>2685</v>
      </c>
      <c r="D8861" t="str">
        <f>HYPERLINK("http://service.sap.com/sap/support/notes/1833678","1833678")</f>
        <v>1833678</v>
      </c>
      <c r="E8861">
        <v>2</v>
      </c>
      <c r="F8861" t="s">
        <v>10173</v>
      </c>
    </row>
    <row r="8862" spans="1:6" x14ac:dyDescent="0.25">
      <c r="A8862" t="s">
        <v>10927</v>
      </c>
      <c r="B8862" t="s">
        <v>2684</v>
      </c>
      <c r="C8862" t="s">
        <v>2685</v>
      </c>
      <c r="D8862" t="str">
        <f>HYPERLINK("http://service.sap.com/sap/support/notes/1834004","1834004")</f>
        <v>1834004</v>
      </c>
      <c r="E8862">
        <v>1</v>
      </c>
      <c r="F8862" t="s">
        <v>10174</v>
      </c>
    </row>
    <row r="8863" spans="1:6" x14ac:dyDescent="0.25">
      <c r="A8863" t="s">
        <v>10927</v>
      </c>
      <c r="B8863" t="s">
        <v>2684</v>
      </c>
      <c r="C8863" t="s">
        <v>2685</v>
      </c>
      <c r="D8863" t="str">
        <f>HYPERLINK("http://service.sap.com/sap/support/notes/1835459","1835459")</f>
        <v>1835459</v>
      </c>
      <c r="E8863">
        <v>2</v>
      </c>
      <c r="F8863" t="s">
        <v>10175</v>
      </c>
    </row>
    <row r="8864" spans="1:6" x14ac:dyDescent="0.25">
      <c r="A8864" t="s">
        <v>10927</v>
      </c>
      <c r="B8864" t="s">
        <v>2684</v>
      </c>
      <c r="C8864" t="s">
        <v>2685</v>
      </c>
      <c r="D8864" t="str">
        <f>HYPERLINK("http://service.sap.com/sap/support/notes/1843013","1843013")</f>
        <v>1843013</v>
      </c>
      <c r="E8864">
        <v>2</v>
      </c>
      <c r="F8864" t="s">
        <v>10176</v>
      </c>
    </row>
    <row r="8865" spans="1:6" x14ac:dyDescent="0.25">
      <c r="A8865" t="s">
        <v>10927</v>
      </c>
      <c r="B8865" t="s">
        <v>2684</v>
      </c>
      <c r="C8865" t="s">
        <v>2685</v>
      </c>
      <c r="D8865" t="str">
        <f>HYPERLINK("http://service.sap.com/sap/support/notes/1843705","1843705")</f>
        <v>1843705</v>
      </c>
      <c r="E8865">
        <v>3</v>
      </c>
      <c r="F8865" t="s">
        <v>10177</v>
      </c>
    </row>
    <row r="8866" spans="1:6" x14ac:dyDescent="0.25">
      <c r="A8866" t="s">
        <v>10927</v>
      </c>
      <c r="B8866" t="s">
        <v>2684</v>
      </c>
      <c r="C8866" t="s">
        <v>2685</v>
      </c>
      <c r="D8866" t="str">
        <f>HYPERLINK("http://service.sap.com/sap/support/notes/1845974","1845974")</f>
        <v>1845974</v>
      </c>
      <c r="E8866">
        <v>2</v>
      </c>
      <c r="F8866" t="s">
        <v>10178</v>
      </c>
    </row>
    <row r="8867" spans="1:6" x14ac:dyDescent="0.25">
      <c r="A8867" t="s">
        <v>10927</v>
      </c>
      <c r="B8867" t="s">
        <v>2684</v>
      </c>
      <c r="C8867" t="s">
        <v>2685</v>
      </c>
      <c r="D8867" t="str">
        <f>HYPERLINK("http://service.sap.com/sap/support/notes/1846701","1846701")</f>
        <v>1846701</v>
      </c>
      <c r="E8867">
        <v>2</v>
      </c>
      <c r="F8867" t="s">
        <v>10179</v>
      </c>
    </row>
    <row r="8868" spans="1:6" x14ac:dyDescent="0.25">
      <c r="A8868" t="s">
        <v>10927</v>
      </c>
      <c r="B8868" t="s">
        <v>2684</v>
      </c>
      <c r="C8868" t="s">
        <v>2685</v>
      </c>
      <c r="D8868" t="str">
        <f>HYPERLINK("http://service.sap.com/sap/support/notes/1852672","1852672")</f>
        <v>1852672</v>
      </c>
      <c r="E8868">
        <v>1</v>
      </c>
      <c r="F8868" t="s">
        <v>10180</v>
      </c>
    </row>
    <row r="8869" spans="1:6" x14ac:dyDescent="0.25">
      <c r="A8869" t="s">
        <v>10927</v>
      </c>
      <c r="B8869" t="s">
        <v>2684</v>
      </c>
      <c r="C8869" t="s">
        <v>2685</v>
      </c>
      <c r="D8869" t="str">
        <f>HYPERLINK("http://service.sap.com/sap/support/notes/1853340","1853340")</f>
        <v>1853340</v>
      </c>
      <c r="E8869">
        <v>3</v>
      </c>
      <c r="F8869" t="s">
        <v>10181</v>
      </c>
    </row>
    <row r="8870" spans="1:6" x14ac:dyDescent="0.25">
      <c r="A8870" t="s">
        <v>10927</v>
      </c>
      <c r="B8870" t="s">
        <v>2684</v>
      </c>
      <c r="C8870" t="s">
        <v>2685</v>
      </c>
      <c r="D8870" t="str">
        <f>HYPERLINK("http://service.sap.com/sap/support/notes/1853809","1853809")</f>
        <v>1853809</v>
      </c>
      <c r="E8870">
        <v>1</v>
      </c>
      <c r="F8870" t="s">
        <v>10182</v>
      </c>
    </row>
    <row r="8871" spans="1:6" x14ac:dyDescent="0.25">
      <c r="A8871" t="s">
        <v>10927</v>
      </c>
      <c r="B8871" t="s">
        <v>2684</v>
      </c>
      <c r="C8871" t="s">
        <v>2685</v>
      </c>
      <c r="D8871" t="str">
        <f>HYPERLINK("http://service.sap.com/sap/support/notes/1856940","1856940")</f>
        <v>1856940</v>
      </c>
      <c r="E8871">
        <v>1</v>
      </c>
      <c r="F8871" t="s">
        <v>10183</v>
      </c>
    </row>
    <row r="8872" spans="1:6" x14ac:dyDescent="0.25">
      <c r="A8872" t="s">
        <v>10927</v>
      </c>
      <c r="B8872" t="s">
        <v>2684</v>
      </c>
      <c r="C8872" t="s">
        <v>2685</v>
      </c>
      <c r="D8872" t="str">
        <f>HYPERLINK("http://service.sap.com/sap/support/notes/1859328","1859328")</f>
        <v>1859328</v>
      </c>
      <c r="E8872">
        <v>4</v>
      </c>
      <c r="F8872" t="s">
        <v>9185</v>
      </c>
    </row>
    <row r="8873" spans="1:6" x14ac:dyDescent="0.25">
      <c r="A8873" t="s">
        <v>10927</v>
      </c>
      <c r="B8873" t="s">
        <v>2684</v>
      </c>
      <c r="C8873" t="s">
        <v>2685</v>
      </c>
      <c r="D8873" t="str">
        <f>HYPERLINK("http://service.sap.com/sap/support/notes/1863292","1863292")</f>
        <v>1863292</v>
      </c>
      <c r="E8873">
        <v>1</v>
      </c>
      <c r="F8873" t="s">
        <v>10184</v>
      </c>
    </row>
    <row r="8874" spans="1:6" x14ac:dyDescent="0.25">
      <c r="A8874" t="s">
        <v>10927</v>
      </c>
      <c r="B8874" t="s">
        <v>2684</v>
      </c>
      <c r="C8874" t="s">
        <v>2685</v>
      </c>
      <c r="D8874" t="str">
        <f>HYPERLINK("http://service.sap.com/sap/support/notes/1864128","1864128")</f>
        <v>1864128</v>
      </c>
      <c r="E8874">
        <v>2</v>
      </c>
      <c r="F8874" t="s">
        <v>10185</v>
      </c>
    </row>
    <row r="8875" spans="1:6" x14ac:dyDescent="0.25">
      <c r="A8875" t="s">
        <v>10927</v>
      </c>
      <c r="B8875" t="s">
        <v>2684</v>
      </c>
      <c r="C8875" t="s">
        <v>2685</v>
      </c>
      <c r="D8875" t="str">
        <f>HYPERLINK("http://service.sap.com/sap/support/notes/1866640","1866640")</f>
        <v>1866640</v>
      </c>
      <c r="E8875">
        <v>1</v>
      </c>
      <c r="F8875" t="s">
        <v>10186</v>
      </c>
    </row>
    <row r="8876" spans="1:6" x14ac:dyDescent="0.25">
      <c r="A8876" t="s">
        <v>10927</v>
      </c>
      <c r="B8876" t="s">
        <v>2684</v>
      </c>
      <c r="C8876" t="s">
        <v>2685</v>
      </c>
      <c r="D8876" t="str">
        <f>HYPERLINK("http://service.sap.com/sap/support/notes/1867884","1867884")</f>
        <v>1867884</v>
      </c>
      <c r="E8876">
        <v>2</v>
      </c>
      <c r="F8876" t="s">
        <v>10187</v>
      </c>
    </row>
    <row r="8877" spans="1:6" x14ac:dyDescent="0.25">
      <c r="A8877" t="s">
        <v>10927</v>
      </c>
      <c r="B8877" t="s">
        <v>2716</v>
      </c>
      <c r="C8877" t="s">
        <v>183</v>
      </c>
      <c r="D8877" t="str">
        <f>HYPERLINK("http://service.sap.com/sap/support/notes/1766801","1766801")</f>
        <v>1766801</v>
      </c>
      <c r="E8877">
        <v>2</v>
      </c>
      <c r="F8877" t="s">
        <v>10188</v>
      </c>
    </row>
    <row r="8878" spans="1:6" x14ac:dyDescent="0.25">
      <c r="A8878" t="s">
        <v>10927</v>
      </c>
      <c r="B8878" t="s">
        <v>2719</v>
      </c>
      <c r="C8878" t="s">
        <v>978</v>
      </c>
      <c r="D8878" t="str">
        <f>HYPERLINK("http://service.sap.com/sap/support/notes/1843153","1843153")</f>
        <v>1843153</v>
      </c>
      <c r="E8878">
        <v>2</v>
      </c>
      <c r="F8878" t="s">
        <v>10189</v>
      </c>
    </row>
    <row r="8879" spans="1:6" x14ac:dyDescent="0.25">
      <c r="A8879" t="s">
        <v>10927</v>
      </c>
      <c r="B8879" t="s">
        <v>2725</v>
      </c>
      <c r="C8879" t="s">
        <v>2726</v>
      </c>
      <c r="D8879" t="str">
        <f>HYPERLINK("http://service.sap.com/sap/support/notes/1486064","1486064")</f>
        <v>1486064</v>
      </c>
      <c r="E8879">
        <v>3</v>
      </c>
      <c r="F8879" t="s">
        <v>10190</v>
      </c>
    </row>
    <row r="8880" spans="1:6" x14ac:dyDescent="0.25">
      <c r="A8880" t="s">
        <v>10927</v>
      </c>
      <c r="B8880" t="s">
        <v>2728</v>
      </c>
      <c r="C8880" t="s">
        <v>2729</v>
      </c>
      <c r="D8880" t="str">
        <f>HYPERLINK("http://service.sap.com/sap/support/notes/1811181","1811181")</f>
        <v>1811181</v>
      </c>
      <c r="E8880">
        <v>2</v>
      </c>
      <c r="F8880" t="s">
        <v>10191</v>
      </c>
    </row>
    <row r="8881" spans="1:6" x14ac:dyDescent="0.25">
      <c r="A8881" t="s">
        <v>10927</v>
      </c>
      <c r="B8881" t="s">
        <v>2728</v>
      </c>
      <c r="C8881" t="s">
        <v>2729</v>
      </c>
      <c r="D8881" t="str">
        <f>HYPERLINK("http://service.sap.com/sap/support/notes/1814484","1814484")</f>
        <v>1814484</v>
      </c>
      <c r="E8881">
        <v>3</v>
      </c>
      <c r="F8881" t="s">
        <v>10192</v>
      </c>
    </row>
    <row r="8882" spans="1:6" x14ac:dyDescent="0.25">
      <c r="A8882" t="s">
        <v>10927</v>
      </c>
      <c r="B8882" t="s">
        <v>2728</v>
      </c>
      <c r="C8882" t="s">
        <v>2729</v>
      </c>
      <c r="D8882" t="str">
        <f>HYPERLINK("http://service.sap.com/sap/support/notes/1835898","1835898")</f>
        <v>1835898</v>
      </c>
      <c r="E8882">
        <v>4</v>
      </c>
      <c r="F8882" t="s">
        <v>10193</v>
      </c>
    </row>
    <row r="8883" spans="1:6" x14ac:dyDescent="0.25">
      <c r="A8883" t="s">
        <v>10927</v>
      </c>
      <c r="B8883" t="s">
        <v>2728</v>
      </c>
      <c r="C8883" t="s">
        <v>2729</v>
      </c>
      <c r="D8883" t="str">
        <f>HYPERLINK("http://service.sap.com/sap/support/notes/1841758","1841758")</f>
        <v>1841758</v>
      </c>
      <c r="E8883">
        <v>3</v>
      </c>
      <c r="F8883" t="s">
        <v>10194</v>
      </c>
    </row>
    <row r="8884" spans="1:6" x14ac:dyDescent="0.25">
      <c r="A8884" t="s">
        <v>10927</v>
      </c>
      <c r="B8884" t="s">
        <v>2728</v>
      </c>
      <c r="C8884" t="s">
        <v>2729</v>
      </c>
      <c r="D8884" t="str">
        <f>HYPERLINK("http://service.sap.com/sap/support/notes/1842300","1842300")</f>
        <v>1842300</v>
      </c>
      <c r="E8884">
        <v>2</v>
      </c>
      <c r="F8884" t="s">
        <v>10195</v>
      </c>
    </row>
    <row r="8885" spans="1:6" x14ac:dyDescent="0.25">
      <c r="A8885" t="s">
        <v>10927</v>
      </c>
      <c r="B8885" t="s">
        <v>2728</v>
      </c>
      <c r="C8885" t="s">
        <v>2729</v>
      </c>
      <c r="D8885" t="str">
        <f>HYPERLINK("http://service.sap.com/sap/support/notes/1855567","1855567")</f>
        <v>1855567</v>
      </c>
      <c r="E8885">
        <v>1</v>
      </c>
      <c r="F8885" t="s">
        <v>10196</v>
      </c>
    </row>
    <row r="8886" spans="1:6" x14ac:dyDescent="0.25">
      <c r="A8886" t="s">
        <v>10927</v>
      </c>
      <c r="B8886" t="s">
        <v>10197</v>
      </c>
      <c r="C8886" t="s">
        <v>1638</v>
      </c>
      <c r="D8886" t="str">
        <f>HYPERLINK("http://service.sap.com/sap/support/notes/1844399","1844399")</f>
        <v>1844399</v>
      </c>
      <c r="E8886">
        <v>2</v>
      </c>
      <c r="F8886" t="s">
        <v>10198</v>
      </c>
    </row>
    <row r="8887" spans="1:6" x14ac:dyDescent="0.25">
      <c r="A8887" t="s">
        <v>10927</v>
      </c>
      <c r="B8887" t="s">
        <v>2748</v>
      </c>
      <c r="C8887" t="s">
        <v>238</v>
      </c>
    </row>
    <row r="8888" spans="1:6" x14ac:dyDescent="0.25">
      <c r="A8888" t="s">
        <v>10927</v>
      </c>
      <c r="B8888" t="s">
        <v>2749</v>
      </c>
      <c r="C8888" t="s">
        <v>1588</v>
      </c>
    </row>
    <row r="8889" spans="1:6" x14ac:dyDescent="0.25">
      <c r="A8889" t="s">
        <v>10927</v>
      </c>
      <c r="B8889" t="s">
        <v>2750</v>
      </c>
      <c r="C8889" t="s">
        <v>2751</v>
      </c>
      <c r="D8889" t="str">
        <f>HYPERLINK("http://service.sap.com/sap/support/notes/1478782","1478782")</f>
        <v>1478782</v>
      </c>
      <c r="E8889">
        <v>2</v>
      </c>
      <c r="F8889" t="s">
        <v>10199</v>
      </c>
    </row>
    <row r="8890" spans="1:6" x14ac:dyDescent="0.25">
      <c r="A8890" t="s">
        <v>10927</v>
      </c>
      <c r="B8890" t="s">
        <v>2750</v>
      </c>
      <c r="C8890" t="s">
        <v>2751</v>
      </c>
      <c r="D8890" t="str">
        <f>HYPERLINK("http://service.sap.com/sap/support/notes/1532034","1532034")</f>
        <v>1532034</v>
      </c>
      <c r="E8890">
        <v>3</v>
      </c>
      <c r="F8890" t="s">
        <v>10200</v>
      </c>
    </row>
    <row r="8891" spans="1:6" x14ac:dyDescent="0.25">
      <c r="A8891" t="s">
        <v>10927</v>
      </c>
      <c r="B8891" t="s">
        <v>2750</v>
      </c>
      <c r="C8891" t="s">
        <v>2751</v>
      </c>
      <c r="D8891" t="str">
        <f>HYPERLINK("http://service.sap.com/sap/support/notes/1548083","1548083")</f>
        <v>1548083</v>
      </c>
      <c r="E8891">
        <v>4</v>
      </c>
      <c r="F8891" t="s">
        <v>10201</v>
      </c>
    </row>
    <row r="8892" spans="1:6" x14ac:dyDescent="0.25">
      <c r="A8892" t="s">
        <v>10927</v>
      </c>
      <c r="B8892" t="s">
        <v>2750</v>
      </c>
      <c r="C8892" t="s">
        <v>2751</v>
      </c>
      <c r="D8892" t="str">
        <f>HYPERLINK("http://service.sap.com/sap/support/notes/1575151","1575151")</f>
        <v>1575151</v>
      </c>
      <c r="E8892">
        <v>3</v>
      </c>
      <c r="F8892" t="s">
        <v>10202</v>
      </c>
    </row>
    <row r="8893" spans="1:6" x14ac:dyDescent="0.25">
      <c r="A8893" t="s">
        <v>10927</v>
      </c>
      <c r="B8893" t="s">
        <v>2750</v>
      </c>
      <c r="C8893" t="s">
        <v>2751</v>
      </c>
      <c r="D8893" t="str">
        <f>HYPERLINK("http://service.sap.com/sap/support/notes/1610089","1610089")</f>
        <v>1610089</v>
      </c>
      <c r="E8893">
        <v>2</v>
      </c>
      <c r="F8893" t="s">
        <v>10203</v>
      </c>
    </row>
    <row r="8894" spans="1:6" x14ac:dyDescent="0.25">
      <c r="A8894" t="s">
        <v>10927</v>
      </c>
      <c r="B8894" t="s">
        <v>2750</v>
      </c>
      <c r="C8894" t="s">
        <v>2751</v>
      </c>
      <c r="D8894" t="str">
        <f>HYPERLINK("http://service.sap.com/sap/support/notes/1749909","1749909")</f>
        <v>1749909</v>
      </c>
      <c r="E8894">
        <v>3</v>
      </c>
      <c r="F8894" t="s">
        <v>10204</v>
      </c>
    </row>
    <row r="8895" spans="1:6" x14ac:dyDescent="0.25">
      <c r="A8895" t="s">
        <v>10927</v>
      </c>
      <c r="B8895" t="s">
        <v>2750</v>
      </c>
      <c r="C8895" t="s">
        <v>2751</v>
      </c>
      <c r="D8895" t="str">
        <f>HYPERLINK("http://service.sap.com/sap/support/notes/1845574","1845574")</f>
        <v>1845574</v>
      </c>
      <c r="E8895">
        <v>2</v>
      </c>
      <c r="F8895" t="s">
        <v>10205</v>
      </c>
    </row>
    <row r="8896" spans="1:6" x14ac:dyDescent="0.25">
      <c r="A8896" t="s">
        <v>10927</v>
      </c>
      <c r="B8896" t="s">
        <v>2750</v>
      </c>
      <c r="C8896" t="s">
        <v>2751</v>
      </c>
      <c r="D8896" t="str">
        <f>HYPERLINK("http://service.sap.com/sap/support/notes/1852955","1852955")</f>
        <v>1852955</v>
      </c>
      <c r="E8896">
        <v>2</v>
      </c>
      <c r="F8896" t="s">
        <v>10206</v>
      </c>
    </row>
    <row r="8897" spans="1:6" x14ac:dyDescent="0.25">
      <c r="A8897" t="s">
        <v>10927</v>
      </c>
      <c r="B8897" t="s">
        <v>2755</v>
      </c>
      <c r="C8897" t="s">
        <v>2756</v>
      </c>
      <c r="D8897" t="str">
        <f>HYPERLINK("http://service.sap.com/sap/support/notes/1835993","1835993")</f>
        <v>1835993</v>
      </c>
      <c r="E8897">
        <v>2</v>
      </c>
      <c r="F8897" t="s">
        <v>10207</v>
      </c>
    </row>
    <row r="8898" spans="1:6" x14ac:dyDescent="0.25">
      <c r="A8898" t="s">
        <v>10927</v>
      </c>
      <c r="B8898" t="s">
        <v>2758</v>
      </c>
      <c r="C8898" t="s">
        <v>2759</v>
      </c>
      <c r="D8898" t="str">
        <f>HYPERLINK("http://service.sap.com/sap/support/notes/1815463","1815463")</f>
        <v>1815463</v>
      </c>
      <c r="E8898">
        <v>4</v>
      </c>
      <c r="F8898" t="s">
        <v>10208</v>
      </c>
    </row>
    <row r="8899" spans="1:6" x14ac:dyDescent="0.25">
      <c r="A8899" t="s">
        <v>10927</v>
      </c>
      <c r="B8899" t="s">
        <v>10209</v>
      </c>
      <c r="C8899" t="s">
        <v>10210</v>
      </c>
      <c r="D8899" t="str">
        <f>HYPERLINK("http://service.sap.com/sap/support/notes/1808775","1808775")</f>
        <v>1808775</v>
      </c>
      <c r="E8899">
        <v>2</v>
      </c>
      <c r="F8899" t="s">
        <v>10211</v>
      </c>
    </row>
    <row r="8900" spans="1:6" x14ac:dyDescent="0.25">
      <c r="A8900" t="s">
        <v>10927</v>
      </c>
      <c r="B8900" t="s">
        <v>2760</v>
      </c>
      <c r="C8900" t="s">
        <v>2761</v>
      </c>
      <c r="D8900" t="str">
        <f>HYPERLINK("http://service.sap.com/sap/support/notes/1787812","1787812")</f>
        <v>1787812</v>
      </c>
      <c r="E8900">
        <v>2</v>
      </c>
      <c r="F8900" t="s">
        <v>10212</v>
      </c>
    </row>
    <row r="8901" spans="1:6" x14ac:dyDescent="0.25">
      <c r="A8901" t="s">
        <v>10927</v>
      </c>
      <c r="B8901" t="s">
        <v>2767</v>
      </c>
      <c r="C8901" t="s">
        <v>2768</v>
      </c>
      <c r="D8901" t="str">
        <f>HYPERLINK("http://service.sap.com/sap/support/notes/1844133","1844133")</f>
        <v>1844133</v>
      </c>
      <c r="E8901">
        <v>2</v>
      </c>
    </row>
    <row r="8902" spans="1:6" x14ac:dyDescent="0.25">
      <c r="A8902" t="s">
        <v>10927</v>
      </c>
      <c r="B8902" t="s">
        <v>2767</v>
      </c>
      <c r="C8902" t="s">
        <v>2768</v>
      </c>
      <c r="D8902" t="str">
        <f>HYPERLINK("http://service.sap.com/sap/support/notes/1848977","1848977")</f>
        <v>1848977</v>
      </c>
      <c r="E8902">
        <v>2</v>
      </c>
    </row>
    <row r="8903" spans="1:6" x14ac:dyDescent="0.25">
      <c r="A8903" t="s">
        <v>10927</v>
      </c>
      <c r="B8903" t="s">
        <v>2773</v>
      </c>
      <c r="C8903" t="s">
        <v>2774</v>
      </c>
      <c r="D8903" t="str">
        <f>HYPERLINK("http://service.sap.com/sap/support/notes/1754538","1754538")</f>
        <v>1754538</v>
      </c>
      <c r="E8903">
        <v>2</v>
      </c>
      <c r="F8903" t="s">
        <v>10213</v>
      </c>
    </row>
    <row r="8904" spans="1:6" x14ac:dyDescent="0.25">
      <c r="A8904" t="s">
        <v>10927</v>
      </c>
      <c r="B8904" t="s">
        <v>2773</v>
      </c>
      <c r="C8904" t="s">
        <v>2774</v>
      </c>
      <c r="D8904" t="str">
        <f>HYPERLINK("http://service.sap.com/sap/support/notes/1823667","1823667")</f>
        <v>1823667</v>
      </c>
      <c r="E8904">
        <v>2</v>
      </c>
    </row>
    <row r="8905" spans="1:6" x14ac:dyDescent="0.25">
      <c r="A8905" t="s">
        <v>10927</v>
      </c>
      <c r="B8905" t="s">
        <v>2773</v>
      </c>
      <c r="C8905" t="s">
        <v>2774</v>
      </c>
      <c r="D8905" t="str">
        <f>HYPERLINK("http://service.sap.com/sap/support/notes/1835494","1835494")</f>
        <v>1835494</v>
      </c>
      <c r="E8905">
        <v>1</v>
      </c>
      <c r="F8905" t="s">
        <v>10214</v>
      </c>
    </row>
    <row r="8906" spans="1:6" x14ac:dyDescent="0.25">
      <c r="A8906" t="s">
        <v>10927</v>
      </c>
      <c r="B8906" t="s">
        <v>2779</v>
      </c>
      <c r="C8906" t="s">
        <v>2780</v>
      </c>
      <c r="D8906" t="str">
        <f>HYPERLINK("http://service.sap.com/sap/support/notes/1832441","1832441")</f>
        <v>1832441</v>
      </c>
      <c r="E8906">
        <v>2</v>
      </c>
      <c r="F8906" t="s">
        <v>10215</v>
      </c>
    </row>
    <row r="8907" spans="1:6" x14ac:dyDescent="0.25">
      <c r="A8907" t="s">
        <v>10927</v>
      </c>
      <c r="B8907" t="s">
        <v>2779</v>
      </c>
      <c r="C8907" t="s">
        <v>2780</v>
      </c>
      <c r="D8907" t="str">
        <f>HYPERLINK("http://service.sap.com/sap/support/notes/1843781","1843781")</f>
        <v>1843781</v>
      </c>
      <c r="E8907">
        <v>3</v>
      </c>
      <c r="F8907" t="s">
        <v>10216</v>
      </c>
    </row>
    <row r="8908" spans="1:6" x14ac:dyDescent="0.25">
      <c r="A8908" t="s">
        <v>10927</v>
      </c>
      <c r="B8908" t="s">
        <v>2779</v>
      </c>
      <c r="C8908" t="s">
        <v>2780</v>
      </c>
      <c r="D8908" t="str">
        <f>HYPERLINK("http://service.sap.com/sap/support/notes/1844756","1844756")</f>
        <v>1844756</v>
      </c>
      <c r="E8908">
        <v>1</v>
      </c>
      <c r="F8908" t="s">
        <v>10217</v>
      </c>
    </row>
    <row r="8909" spans="1:6" x14ac:dyDescent="0.25">
      <c r="A8909" t="s">
        <v>10927</v>
      </c>
      <c r="B8909" t="s">
        <v>2779</v>
      </c>
      <c r="C8909" t="s">
        <v>2780</v>
      </c>
      <c r="D8909" t="str">
        <f>HYPERLINK("http://service.sap.com/sap/support/notes/1844759","1844759")</f>
        <v>1844759</v>
      </c>
      <c r="E8909">
        <v>1</v>
      </c>
      <c r="F8909" t="s">
        <v>10218</v>
      </c>
    </row>
    <row r="8910" spans="1:6" x14ac:dyDescent="0.25">
      <c r="A8910" t="s">
        <v>10927</v>
      </c>
      <c r="B8910" t="s">
        <v>2779</v>
      </c>
      <c r="C8910" t="s">
        <v>2780</v>
      </c>
      <c r="D8910" t="str">
        <f>HYPERLINK("http://service.sap.com/sap/support/notes/1851330","1851330")</f>
        <v>1851330</v>
      </c>
      <c r="E8910">
        <v>1</v>
      </c>
      <c r="F8910" t="s">
        <v>10219</v>
      </c>
    </row>
    <row r="8911" spans="1:6" x14ac:dyDescent="0.25">
      <c r="A8911" t="s">
        <v>10927</v>
      </c>
      <c r="B8911" t="s">
        <v>2779</v>
      </c>
      <c r="C8911" t="s">
        <v>2780</v>
      </c>
      <c r="D8911" t="str">
        <f>HYPERLINK("http://service.sap.com/sap/support/notes/1851800","1851800")</f>
        <v>1851800</v>
      </c>
      <c r="E8911">
        <v>2</v>
      </c>
      <c r="F8911" t="s">
        <v>10220</v>
      </c>
    </row>
    <row r="8912" spans="1:6" x14ac:dyDescent="0.25">
      <c r="A8912" t="s">
        <v>10927</v>
      </c>
      <c r="B8912" t="s">
        <v>2779</v>
      </c>
      <c r="C8912" t="s">
        <v>2780</v>
      </c>
      <c r="D8912" t="str">
        <f>HYPERLINK("http://service.sap.com/sap/support/notes/1859157","1859157")</f>
        <v>1859157</v>
      </c>
      <c r="E8912">
        <v>3</v>
      </c>
      <c r="F8912" t="s">
        <v>10221</v>
      </c>
    </row>
    <row r="8913" spans="1:6" x14ac:dyDescent="0.25">
      <c r="A8913" t="s">
        <v>10927</v>
      </c>
      <c r="B8913" t="s">
        <v>2800</v>
      </c>
      <c r="C8913" t="s">
        <v>2801</v>
      </c>
      <c r="D8913" t="str">
        <f>HYPERLINK("http://service.sap.com/sap/support/notes/924773","924773")</f>
        <v>924773</v>
      </c>
      <c r="E8913">
        <v>9</v>
      </c>
      <c r="F8913" t="s">
        <v>10222</v>
      </c>
    </row>
    <row r="8914" spans="1:6" x14ac:dyDescent="0.25">
      <c r="A8914" t="s">
        <v>10927</v>
      </c>
      <c r="B8914" t="s">
        <v>2800</v>
      </c>
      <c r="C8914" t="s">
        <v>2801</v>
      </c>
      <c r="D8914" t="str">
        <f>HYPERLINK("http://service.sap.com/sap/support/notes/1835335","1835335")</f>
        <v>1835335</v>
      </c>
      <c r="E8914">
        <v>2</v>
      </c>
      <c r="F8914" t="s">
        <v>10223</v>
      </c>
    </row>
    <row r="8915" spans="1:6" x14ac:dyDescent="0.25">
      <c r="A8915" t="s">
        <v>10927</v>
      </c>
      <c r="B8915" t="s">
        <v>2800</v>
      </c>
      <c r="C8915" t="s">
        <v>2801</v>
      </c>
      <c r="D8915" t="str">
        <f>HYPERLINK("http://service.sap.com/sap/support/notes/1846069","1846069")</f>
        <v>1846069</v>
      </c>
      <c r="E8915">
        <v>1</v>
      </c>
      <c r="F8915" t="s">
        <v>10224</v>
      </c>
    </row>
    <row r="8916" spans="1:6" x14ac:dyDescent="0.25">
      <c r="A8916" t="s">
        <v>10927</v>
      </c>
      <c r="B8916" t="s">
        <v>2800</v>
      </c>
      <c r="C8916" t="s">
        <v>2801</v>
      </c>
      <c r="D8916" t="str">
        <f>HYPERLINK("http://service.sap.com/sap/support/notes/1847128","1847128")</f>
        <v>1847128</v>
      </c>
      <c r="E8916">
        <v>1</v>
      </c>
      <c r="F8916" t="s">
        <v>10225</v>
      </c>
    </row>
    <row r="8917" spans="1:6" x14ac:dyDescent="0.25">
      <c r="A8917" t="s">
        <v>10927</v>
      </c>
      <c r="B8917" t="s">
        <v>2806</v>
      </c>
      <c r="C8917" t="s">
        <v>1588</v>
      </c>
      <c r="D8917" t="str">
        <f>HYPERLINK("http://service.sap.com/sap/support/notes/1800319","1800319")</f>
        <v>1800319</v>
      </c>
      <c r="E8917">
        <v>4</v>
      </c>
      <c r="F8917" t="s">
        <v>10226</v>
      </c>
    </row>
    <row r="8918" spans="1:6" x14ac:dyDescent="0.25">
      <c r="A8918" t="s">
        <v>10927</v>
      </c>
      <c r="B8918" t="s">
        <v>2806</v>
      </c>
      <c r="C8918" t="s">
        <v>1588</v>
      </c>
      <c r="D8918" t="str">
        <f>HYPERLINK("http://service.sap.com/sap/support/notes/1826851","1826851")</f>
        <v>1826851</v>
      </c>
      <c r="E8918">
        <v>2</v>
      </c>
      <c r="F8918" t="s">
        <v>10227</v>
      </c>
    </row>
    <row r="8919" spans="1:6" x14ac:dyDescent="0.25">
      <c r="A8919" t="s">
        <v>10927</v>
      </c>
      <c r="B8919" t="s">
        <v>2810</v>
      </c>
      <c r="C8919" t="s">
        <v>2811</v>
      </c>
      <c r="D8919" t="str">
        <f>HYPERLINK("http://service.sap.com/sap/support/notes/1166651","1166651")</f>
        <v>1166651</v>
      </c>
      <c r="E8919">
        <v>5</v>
      </c>
      <c r="F8919" t="s">
        <v>10228</v>
      </c>
    </row>
    <row r="8920" spans="1:6" x14ac:dyDescent="0.25">
      <c r="A8920" t="s">
        <v>10927</v>
      </c>
      <c r="B8920" t="s">
        <v>2810</v>
      </c>
      <c r="C8920" t="s">
        <v>2811</v>
      </c>
      <c r="D8920" t="str">
        <f>HYPERLINK("http://service.sap.com/sap/support/notes/1801696","1801696")</f>
        <v>1801696</v>
      </c>
      <c r="E8920">
        <v>2</v>
      </c>
      <c r="F8920" t="s">
        <v>10229</v>
      </c>
    </row>
    <row r="8921" spans="1:6" x14ac:dyDescent="0.25">
      <c r="A8921" t="s">
        <v>10927</v>
      </c>
      <c r="B8921" t="s">
        <v>2810</v>
      </c>
      <c r="C8921" t="s">
        <v>2811</v>
      </c>
      <c r="D8921" t="str">
        <f>HYPERLINK("http://service.sap.com/sap/support/notes/1806762","1806762")</f>
        <v>1806762</v>
      </c>
      <c r="E8921">
        <v>2</v>
      </c>
      <c r="F8921" t="s">
        <v>10230</v>
      </c>
    </row>
    <row r="8922" spans="1:6" x14ac:dyDescent="0.25">
      <c r="A8922" t="s">
        <v>10927</v>
      </c>
      <c r="B8922" t="s">
        <v>2810</v>
      </c>
      <c r="C8922" t="s">
        <v>2811</v>
      </c>
      <c r="D8922" t="str">
        <f>HYPERLINK("http://service.sap.com/sap/support/notes/1817265","1817265")</f>
        <v>1817265</v>
      </c>
      <c r="E8922">
        <v>3</v>
      </c>
      <c r="F8922" t="s">
        <v>10231</v>
      </c>
    </row>
    <row r="8923" spans="1:6" x14ac:dyDescent="0.25">
      <c r="A8923" t="s">
        <v>10927</v>
      </c>
      <c r="B8923" t="s">
        <v>2810</v>
      </c>
      <c r="C8923" t="s">
        <v>2811</v>
      </c>
      <c r="D8923" t="str">
        <f>HYPERLINK("http://service.sap.com/sap/support/notes/1822803","1822803")</f>
        <v>1822803</v>
      </c>
      <c r="E8923">
        <v>1</v>
      </c>
      <c r="F8923" t="s">
        <v>10232</v>
      </c>
    </row>
    <row r="8924" spans="1:6" x14ac:dyDescent="0.25">
      <c r="A8924" t="s">
        <v>10927</v>
      </c>
      <c r="B8924" t="s">
        <v>2810</v>
      </c>
      <c r="C8924" t="s">
        <v>2811</v>
      </c>
      <c r="D8924" t="str">
        <f>HYPERLINK("http://service.sap.com/sap/support/notes/1830145","1830145")</f>
        <v>1830145</v>
      </c>
      <c r="E8924">
        <v>1</v>
      </c>
      <c r="F8924" t="s">
        <v>10233</v>
      </c>
    </row>
    <row r="8925" spans="1:6" x14ac:dyDescent="0.25">
      <c r="A8925" t="s">
        <v>10927</v>
      </c>
      <c r="B8925" t="s">
        <v>2810</v>
      </c>
      <c r="C8925" t="s">
        <v>2811</v>
      </c>
      <c r="D8925" t="str">
        <f>HYPERLINK("http://service.sap.com/sap/support/notes/1832669","1832669")</f>
        <v>1832669</v>
      </c>
      <c r="E8925">
        <v>1</v>
      </c>
      <c r="F8925" t="s">
        <v>10234</v>
      </c>
    </row>
    <row r="8926" spans="1:6" x14ac:dyDescent="0.25">
      <c r="A8926" t="s">
        <v>10927</v>
      </c>
      <c r="B8926" t="s">
        <v>2810</v>
      </c>
      <c r="C8926" t="s">
        <v>2811</v>
      </c>
      <c r="D8926" t="str">
        <f>HYPERLINK("http://service.sap.com/sap/support/notes/1843779","1843779")</f>
        <v>1843779</v>
      </c>
      <c r="E8926">
        <v>2</v>
      </c>
      <c r="F8926" t="s">
        <v>10235</v>
      </c>
    </row>
    <row r="8927" spans="1:6" x14ac:dyDescent="0.25">
      <c r="A8927" t="s">
        <v>10927</v>
      </c>
      <c r="B8927" t="s">
        <v>2810</v>
      </c>
      <c r="C8927" t="s">
        <v>2811</v>
      </c>
      <c r="D8927" t="str">
        <f>HYPERLINK("http://service.sap.com/sap/support/notes/1844847","1844847")</f>
        <v>1844847</v>
      </c>
      <c r="E8927">
        <v>1</v>
      </c>
      <c r="F8927" t="s">
        <v>10236</v>
      </c>
    </row>
    <row r="8928" spans="1:6" x14ac:dyDescent="0.25">
      <c r="A8928" t="s">
        <v>10927</v>
      </c>
      <c r="B8928" t="s">
        <v>2810</v>
      </c>
      <c r="C8928" t="s">
        <v>2811</v>
      </c>
      <c r="D8928" t="str">
        <f>HYPERLINK("http://service.sap.com/sap/support/notes/1850462","1850462")</f>
        <v>1850462</v>
      </c>
      <c r="E8928">
        <v>1</v>
      </c>
      <c r="F8928" t="s">
        <v>10237</v>
      </c>
    </row>
    <row r="8929" spans="1:6" x14ac:dyDescent="0.25">
      <c r="A8929" t="s">
        <v>10927</v>
      </c>
      <c r="B8929" t="s">
        <v>2818</v>
      </c>
      <c r="C8929" t="s">
        <v>2819</v>
      </c>
      <c r="D8929" t="str">
        <f>HYPERLINK("http://service.sap.com/sap/support/notes/1504027","1504027")</f>
        <v>1504027</v>
      </c>
      <c r="E8929">
        <v>4</v>
      </c>
      <c r="F8929" t="s">
        <v>10238</v>
      </c>
    </row>
    <row r="8930" spans="1:6" x14ac:dyDescent="0.25">
      <c r="A8930" t="s">
        <v>10927</v>
      </c>
      <c r="B8930" t="s">
        <v>2818</v>
      </c>
      <c r="C8930" t="s">
        <v>2819</v>
      </c>
      <c r="D8930" t="str">
        <f>HYPERLINK("http://service.sap.com/sap/support/notes/1846514","1846514")</f>
        <v>1846514</v>
      </c>
      <c r="E8930">
        <v>1</v>
      </c>
      <c r="F8930" t="s">
        <v>10239</v>
      </c>
    </row>
    <row r="8931" spans="1:6" x14ac:dyDescent="0.25">
      <c r="A8931" t="s">
        <v>10927</v>
      </c>
      <c r="B8931" t="s">
        <v>2818</v>
      </c>
      <c r="C8931" t="s">
        <v>2819</v>
      </c>
      <c r="D8931" t="str">
        <f>HYPERLINK("http://service.sap.com/sap/support/notes/1858581","1858581")</f>
        <v>1858581</v>
      </c>
      <c r="E8931">
        <v>1</v>
      </c>
      <c r="F8931" t="s">
        <v>10240</v>
      </c>
    </row>
    <row r="8932" spans="1:6" x14ac:dyDescent="0.25">
      <c r="A8932" t="s">
        <v>10927</v>
      </c>
      <c r="B8932" t="s">
        <v>2821</v>
      </c>
      <c r="C8932" t="s">
        <v>2822</v>
      </c>
      <c r="D8932" t="str">
        <f>HYPERLINK("http://service.sap.com/sap/support/notes/1813139","1813139")</f>
        <v>1813139</v>
      </c>
      <c r="E8932">
        <v>1</v>
      </c>
      <c r="F8932" t="s">
        <v>10241</v>
      </c>
    </row>
    <row r="8933" spans="1:6" x14ac:dyDescent="0.25">
      <c r="A8933" t="s">
        <v>10927</v>
      </c>
      <c r="B8933" t="s">
        <v>2824</v>
      </c>
      <c r="C8933" t="s">
        <v>2825</v>
      </c>
    </row>
    <row r="8934" spans="1:6" x14ac:dyDescent="0.25">
      <c r="A8934" t="s">
        <v>10927</v>
      </c>
      <c r="B8934" t="s">
        <v>2832</v>
      </c>
      <c r="C8934" t="s">
        <v>1588</v>
      </c>
    </row>
    <row r="8935" spans="1:6" x14ac:dyDescent="0.25">
      <c r="A8935" t="s">
        <v>10927</v>
      </c>
      <c r="B8935" t="s">
        <v>2833</v>
      </c>
      <c r="C8935" t="s">
        <v>2834</v>
      </c>
      <c r="D8935" t="str">
        <f>HYPERLINK("http://service.sap.com/sap/support/notes/1833274","1833274")</f>
        <v>1833274</v>
      </c>
      <c r="E8935">
        <v>2</v>
      </c>
      <c r="F8935" t="s">
        <v>10242</v>
      </c>
    </row>
    <row r="8936" spans="1:6" x14ac:dyDescent="0.25">
      <c r="A8936" t="s">
        <v>10927</v>
      </c>
      <c r="B8936" t="s">
        <v>2833</v>
      </c>
      <c r="C8936" t="s">
        <v>2834</v>
      </c>
      <c r="D8936" t="str">
        <f>HYPERLINK("http://service.sap.com/sap/support/notes/1841172","1841172")</f>
        <v>1841172</v>
      </c>
      <c r="E8936">
        <v>2</v>
      </c>
      <c r="F8936" t="s">
        <v>10243</v>
      </c>
    </row>
    <row r="8937" spans="1:6" x14ac:dyDescent="0.25">
      <c r="A8937" t="s">
        <v>10927</v>
      </c>
      <c r="B8937" t="s">
        <v>2838</v>
      </c>
      <c r="C8937" t="s">
        <v>2839</v>
      </c>
      <c r="D8937" t="str">
        <f>HYPERLINK("http://service.sap.com/sap/support/notes/1864397","1864397")</f>
        <v>1864397</v>
      </c>
      <c r="E8937">
        <v>2</v>
      </c>
      <c r="F8937" t="s">
        <v>10244</v>
      </c>
    </row>
    <row r="8938" spans="1:6" x14ac:dyDescent="0.25">
      <c r="A8938" t="s">
        <v>10927</v>
      </c>
      <c r="B8938" t="s">
        <v>2840</v>
      </c>
      <c r="C8938" t="s">
        <v>2841</v>
      </c>
      <c r="D8938" t="str">
        <f>HYPERLINK("http://service.sap.com/sap/support/notes/1692772","1692772")</f>
        <v>1692772</v>
      </c>
      <c r="E8938">
        <v>5</v>
      </c>
      <c r="F8938" t="s">
        <v>10245</v>
      </c>
    </row>
    <row r="8939" spans="1:6" x14ac:dyDescent="0.25">
      <c r="A8939" t="s">
        <v>10927</v>
      </c>
      <c r="B8939" t="s">
        <v>2843</v>
      </c>
      <c r="C8939" t="s">
        <v>2844</v>
      </c>
      <c r="D8939" t="str">
        <f>HYPERLINK("http://service.sap.com/sap/support/notes/1837309","1837309")</f>
        <v>1837309</v>
      </c>
      <c r="E8939">
        <v>3</v>
      </c>
      <c r="F8939" t="s">
        <v>10246</v>
      </c>
    </row>
    <row r="8940" spans="1:6" x14ac:dyDescent="0.25">
      <c r="A8940" t="s">
        <v>10927</v>
      </c>
      <c r="B8940" t="s">
        <v>2843</v>
      </c>
      <c r="C8940" t="s">
        <v>2844</v>
      </c>
      <c r="D8940" t="str">
        <f>HYPERLINK("http://service.sap.com/sap/support/notes/1845314","1845314")</f>
        <v>1845314</v>
      </c>
      <c r="E8940">
        <v>1</v>
      </c>
      <c r="F8940" t="s">
        <v>10247</v>
      </c>
    </row>
    <row r="8941" spans="1:6" x14ac:dyDescent="0.25">
      <c r="A8941" t="s">
        <v>10927</v>
      </c>
      <c r="B8941" t="s">
        <v>2843</v>
      </c>
      <c r="C8941" t="s">
        <v>2844</v>
      </c>
      <c r="D8941" t="str">
        <f>HYPERLINK("http://service.sap.com/sap/support/notes/1847303","1847303")</f>
        <v>1847303</v>
      </c>
      <c r="E8941">
        <v>1</v>
      </c>
      <c r="F8941" t="s">
        <v>10248</v>
      </c>
    </row>
    <row r="8942" spans="1:6" x14ac:dyDescent="0.25">
      <c r="A8942" t="s">
        <v>10927</v>
      </c>
      <c r="B8942" t="s">
        <v>2847</v>
      </c>
      <c r="C8942" t="s">
        <v>2848</v>
      </c>
      <c r="D8942" t="str">
        <f>HYPERLINK("http://service.sap.com/sap/support/notes/1844206","1844206")</f>
        <v>1844206</v>
      </c>
      <c r="E8942">
        <v>2</v>
      </c>
      <c r="F8942" t="s">
        <v>10249</v>
      </c>
    </row>
    <row r="8943" spans="1:6" x14ac:dyDescent="0.25">
      <c r="A8943" t="s">
        <v>10927</v>
      </c>
      <c r="B8943" t="s">
        <v>2847</v>
      </c>
      <c r="C8943" t="s">
        <v>2848</v>
      </c>
      <c r="D8943" t="str">
        <f>HYPERLINK("http://service.sap.com/sap/support/notes/1859808","1859808")</f>
        <v>1859808</v>
      </c>
      <c r="E8943">
        <v>1</v>
      </c>
      <c r="F8943" t="s">
        <v>10250</v>
      </c>
    </row>
    <row r="8944" spans="1:6" x14ac:dyDescent="0.25">
      <c r="A8944" t="s">
        <v>10927</v>
      </c>
      <c r="B8944" t="s">
        <v>2850</v>
      </c>
      <c r="C8944" t="s">
        <v>2851</v>
      </c>
      <c r="D8944" t="str">
        <f>HYPERLINK("http://service.sap.com/sap/support/notes/1841719","1841719")</f>
        <v>1841719</v>
      </c>
      <c r="E8944">
        <v>1</v>
      </c>
      <c r="F8944" t="s">
        <v>10251</v>
      </c>
    </row>
    <row r="8945" spans="1:6" x14ac:dyDescent="0.25">
      <c r="A8945" t="s">
        <v>10927</v>
      </c>
      <c r="B8945" t="s">
        <v>2850</v>
      </c>
      <c r="C8945" t="s">
        <v>2851</v>
      </c>
      <c r="D8945" t="str">
        <f>HYPERLINK("http://service.sap.com/sap/support/notes/1842132","1842132")</f>
        <v>1842132</v>
      </c>
      <c r="E8945">
        <v>1</v>
      </c>
      <c r="F8945" t="s">
        <v>10252</v>
      </c>
    </row>
    <row r="8946" spans="1:6" x14ac:dyDescent="0.25">
      <c r="A8946" t="s">
        <v>10927</v>
      </c>
      <c r="B8946" t="s">
        <v>2865</v>
      </c>
      <c r="C8946" t="s">
        <v>10253</v>
      </c>
    </row>
    <row r="8947" spans="1:6" x14ac:dyDescent="0.25">
      <c r="A8947" t="s">
        <v>10927</v>
      </c>
      <c r="B8947" t="s">
        <v>2869</v>
      </c>
      <c r="C8947" t="s">
        <v>2870</v>
      </c>
      <c r="D8947" t="str">
        <f>HYPERLINK("http://service.sap.com/sap/support/notes/1827162","1827162")</f>
        <v>1827162</v>
      </c>
      <c r="E8947">
        <v>2</v>
      </c>
      <c r="F8947" t="s">
        <v>10254</v>
      </c>
    </row>
    <row r="8948" spans="1:6" x14ac:dyDescent="0.25">
      <c r="A8948" t="s">
        <v>10927</v>
      </c>
      <c r="B8948" t="s">
        <v>2869</v>
      </c>
      <c r="C8948" t="s">
        <v>2870</v>
      </c>
      <c r="D8948" t="str">
        <f>HYPERLINK("http://service.sap.com/sap/support/notes/1833990","1833990")</f>
        <v>1833990</v>
      </c>
      <c r="E8948">
        <v>1</v>
      </c>
      <c r="F8948" t="s">
        <v>10255</v>
      </c>
    </row>
    <row r="8949" spans="1:6" x14ac:dyDescent="0.25">
      <c r="A8949" t="s">
        <v>10927</v>
      </c>
      <c r="B8949" t="s">
        <v>2869</v>
      </c>
      <c r="C8949" t="s">
        <v>2870</v>
      </c>
      <c r="D8949" t="str">
        <f>HYPERLINK("http://service.sap.com/sap/support/notes/1857060","1857060")</f>
        <v>1857060</v>
      </c>
      <c r="E8949">
        <v>1</v>
      </c>
      <c r="F8949" t="s">
        <v>10256</v>
      </c>
    </row>
    <row r="8950" spans="1:6" x14ac:dyDescent="0.25">
      <c r="A8950" t="s">
        <v>10927</v>
      </c>
      <c r="B8950" t="s">
        <v>10257</v>
      </c>
      <c r="C8950" t="s">
        <v>10258</v>
      </c>
      <c r="D8950" t="str">
        <f>HYPERLINK("http://service.sap.com/sap/support/notes/1832175","1832175")</f>
        <v>1832175</v>
      </c>
      <c r="E8950">
        <v>1</v>
      </c>
      <c r="F8950" t="s">
        <v>10259</v>
      </c>
    </row>
    <row r="8951" spans="1:6" x14ac:dyDescent="0.25">
      <c r="A8951" t="s">
        <v>10927</v>
      </c>
      <c r="B8951" t="s">
        <v>10257</v>
      </c>
      <c r="C8951" t="s">
        <v>10258</v>
      </c>
      <c r="D8951" t="str">
        <f>HYPERLINK("http://service.sap.com/sap/support/notes/1849708","1849708")</f>
        <v>1849708</v>
      </c>
      <c r="E8951">
        <v>1</v>
      </c>
      <c r="F8951" t="s">
        <v>10260</v>
      </c>
    </row>
    <row r="8952" spans="1:6" x14ac:dyDescent="0.25">
      <c r="A8952" t="s">
        <v>10927</v>
      </c>
      <c r="B8952" t="s">
        <v>5700</v>
      </c>
      <c r="C8952" t="s">
        <v>5701</v>
      </c>
      <c r="D8952" t="str">
        <f>HYPERLINK("http://service.sap.com/sap/support/notes/1819909","1819909")</f>
        <v>1819909</v>
      </c>
      <c r="E8952">
        <v>1</v>
      </c>
      <c r="F8952" t="s">
        <v>10261</v>
      </c>
    </row>
    <row r="8953" spans="1:6" x14ac:dyDescent="0.25">
      <c r="A8953" t="s">
        <v>10927</v>
      </c>
      <c r="B8953" t="s">
        <v>2872</v>
      </c>
      <c r="C8953" t="s">
        <v>2873</v>
      </c>
      <c r="D8953" t="str">
        <f>HYPERLINK("http://service.sap.com/sap/support/notes/1439800","1439800")</f>
        <v>1439800</v>
      </c>
      <c r="E8953">
        <v>5</v>
      </c>
      <c r="F8953" t="s">
        <v>10262</v>
      </c>
    </row>
    <row r="8954" spans="1:6" x14ac:dyDescent="0.25">
      <c r="A8954" t="s">
        <v>10927</v>
      </c>
      <c r="B8954" t="s">
        <v>2872</v>
      </c>
      <c r="C8954" t="s">
        <v>2873</v>
      </c>
      <c r="D8954" t="str">
        <f>HYPERLINK("http://service.sap.com/sap/support/notes/1733455","1733455")</f>
        <v>1733455</v>
      </c>
      <c r="E8954">
        <v>5</v>
      </c>
      <c r="F8954" t="s">
        <v>10263</v>
      </c>
    </row>
    <row r="8955" spans="1:6" x14ac:dyDescent="0.25">
      <c r="A8955" t="s">
        <v>10927</v>
      </c>
      <c r="B8955" t="s">
        <v>2872</v>
      </c>
      <c r="C8955" t="s">
        <v>2873</v>
      </c>
      <c r="D8955" t="str">
        <f>HYPERLINK("http://service.sap.com/sap/support/notes/1859555","1859555")</f>
        <v>1859555</v>
      </c>
      <c r="E8955">
        <v>1</v>
      </c>
      <c r="F8955" t="s">
        <v>10264</v>
      </c>
    </row>
    <row r="8956" spans="1:6" x14ac:dyDescent="0.25">
      <c r="A8956" t="s">
        <v>10927</v>
      </c>
      <c r="B8956" t="s">
        <v>2874</v>
      </c>
      <c r="C8956" t="s">
        <v>2875</v>
      </c>
      <c r="D8956" t="str">
        <f>HYPERLINK("http://service.sap.com/sap/support/notes/1833116","1833116")</f>
        <v>1833116</v>
      </c>
      <c r="E8956">
        <v>2</v>
      </c>
      <c r="F8956" t="s">
        <v>10265</v>
      </c>
    </row>
    <row r="8957" spans="1:6" x14ac:dyDescent="0.25">
      <c r="A8957" t="s">
        <v>10927</v>
      </c>
      <c r="B8957" t="s">
        <v>2877</v>
      </c>
      <c r="C8957" t="s">
        <v>2878</v>
      </c>
      <c r="D8957" t="str">
        <f>HYPERLINK("http://service.sap.com/sap/support/notes/1777294","1777294")</f>
        <v>1777294</v>
      </c>
      <c r="E8957">
        <v>1</v>
      </c>
      <c r="F8957" t="s">
        <v>10266</v>
      </c>
    </row>
    <row r="8958" spans="1:6" x14ac:dyDescent="0.25">
      <c r="A8958" t="s">
        <v>10927</v>
      </c>
      <c r="B8958" t="s">
        <v>2877</v>
      </c>
      <c r="C8958" t="s">
        <v>2878</v>
      </c>
      <c r="D8958" t="str">
        <f>HYPERLINK("http://service.sap.com/sap/support/notes/1784865","1784865")</f>
        <v>1784865</v>
      </c>
      <c r="E8958">
        <v>1</v>
      </c>
      <c r="F8958" t="s">
        <v>10267</v>
      </c>
    </row>
    <row r="8959" spans="1:6" x14ac:dyDescent="0.25">
      <c r="A8959" t="s">
        <v>10927</v>
      </c>
      <c r="B8959" t="s">
        <v>2877</v>
      </c>
      <c r="C8959" t="s">
        <v>2878</v>
      </c>
      <c r="D8959" t="str">
        <f>HYPERLINK("http://service.sap.com/sap/support/notes/1812349","1812349")</f>
        <v>1812349</v>
      </c>
      <c r="E8959">
        <v>3</v>
      </c>
      <c r="F8959" t="s">
        <v>10268</v>
      </c>
    </row>
    <row r="8960" spans="1:6" x14ac:dyDescent="0.25">
      <c r="A8960" t="s">
        <v>10927</v>
      </c>
      <c r="B8960" t="s">
        <v>2877</v>
      </c>
      <c r="C8960" t="s">
        <v>2878</v>
      </c>
      <c r="D8960" t="str">
        <f>HYPERLINK("http://service.sap.com/sap/support/notes/1844944","1844944")</f>
        <v>1844944</v>
      </c>
      <c r="E8960">
        <v>2</v>
      </c>
      <c r="F8960" t="s">
        <v>10269</v>
      </c>
    </row>
    <row r="8961" spans="1:6" x14ac:dyDescent="0.25">
      <c r="A8961" t="s">
        <v>10927</v>
      </c>
      <c r="B8961" t="s">
        <v>2877</v>
      </c>
      <c r="C8961" t="s">
        <v>2878</v>
      </c>
      <c r="D8961" t="str">
        <f>HYPERLINK("http://service.sap.com/sap/support/notes/1855458","1855458")</f>
        <v>1855458</v>
      </c>
      <c r="E8961">
        <v>1</v>
      </c>
      <c r="F8961" t="s">
        <v>10270</v>
      </c>
    </row>
    <row r="8962" spans="1:6" x14ac:dyDescent="0.25">
      <c r="A8962" t="s">
        <v>10927</v>
      </c>
      <c r="B8962" t="s">
        <v>2883</v>
      </c>
      <c r="C8962" t="s">
        <v>2884</v>
      </c>
      <c r="D8962" t="str">
        <f>HYPERLINK("http://service.sap.com/sap/support/notes/1840087","1840087")</f>
        <v>1840087</v>
      </c>
      <c r="E8962">
        <v>2</v>
      </c>
      <c r="F8962" t="s">
        <v>10271</v>
      </c>
    </row>
    <row r="8963" spans="1:6" x14ac:dyDescent="0.25">
      <c r="A8963" t="s">
        <v>10927</v>
      </c>
      <c r="B8963" t="s">
        <v>2883</v>
      </c>
      <c r="C8963" t="s">
        <v>2884</v>
      </c>
      <c r="D8963" t="str">
        <f>HYPERLINK("http://service.sap.com/sap/support/notes/1841605","1841605")</f>
        <v>1841605</v>
      </c>
      <c r="E8963">
        <v>2</v>
      </c>
      <c r="F8963" t="s">
        <v>10272</v>
      </c>
    </row>
    <row r="8964" spans="1:6" x14ac:dyDescent="0.25">
      <c r="A8964" t="s">
        <v>10927</v>
      </c>
      <c r="B8964" t="s">
        <v>2886</v>
      </c>
      <c r="C8964" t="s">
        <v>2887</v>
      </c>
      <c r="D8964" t="str">
        <f>HYPERLINK("http://service.sap.com/sap/support/notes/1830017","1830017")</f>
        <v>1830017</v>
      </c>
      <c r="E8964">
        <v>1</v>
      </c>
      <c r="F8964" t="s">
        <v>10273</v>
      </c>
    </row>
    <row r="8965" spans="1:6" x14ac:dyDescent="0.25">
      <c r="A8965" t="s">
        <v>10927</v>
      </c>
      <c r="B8965" t="s">
        <v>2886</v>
      </c>
      <c r="C8965" t="s">
        <v>2887</v>
      </c>
      <c r="D8965" t="str">
        <f>HYPERLINK("http://service.sap.com/sap/support/notes/1856070","1856070")</f>
        <v>1856070</v>
      </c>
      <c r="E8965">
        <v>1</v>
      </c>
      <c r="F8965" t="s">
        <v>10274</v>
      </c>
    </row>
    <row r="8966" spans="1:6" x14ac:dyDescent="0.25">
      <c r="A8966" t="s">
        <v>10927</v>
      </c>
      <c r="B8966" t="s">
        <v>2903</v>
      </c>
      <c r="C8966" t="s">
        <v>2904</v>
      </c>
      <c r="D8966" t="str">
        <f>HYPERLINK("http://service.sap.com/sap/support/notes/1307347","1307347")</f>
        <v>1307347</v>
      </c>
      <c r="E8966">
        <v>7</v>
      </c>
      <c r="F8966" t="s">
        <v>10275</v>
      </c>
    </row>
    <row r="8967" spans="1:6" x14ac:dyDescent="0.25">
      <c r="A8967" t="s">
        <v>10927</v>
      </c>
      <c r="B8967" t="s">
        <v>2903</v>
      </c>
      <c r="C8967" t="s">
        <v>2904</v>
      </c>
      <c r="D8967" t="str">
        <f>HYPERLINK("http://service.sap.com/sap/support/notes/1846962","1846962")</f>
        <v>1846962</v>
      </c>
      <c r="E8967">
        <v>2</v>
      </c>
      <c r="F8967" t="s">
        <v>10276</v>
      </c>
    </row>
    <row r="8968" spans="1:6" x14ac:dyDescent="0.25">
      <c r="A8968" t="s">
        <v>10927</v>
      </c>
      <c r="B8968" t="s">
        <v>2903</v>
      </c>
      <c r="C8968" t="s">
        <v>2904</v>
      </c>
      <c r="D8968" t="str">
        <f>HYPERLINK("http://service.sap.com/sap/support/notes/1848608","1848608")</f>
        <v>1848608</v>
      </c>
      <c r="E8968">
        <v>1</v>
      </c>
      <c r="F8968" t="s">
        <v>10277</v>
      </c>
    </row>
    <row r="8969" spans="1:6" x14ac:dyDescent="0.25">
      <c r="A8969" t="s">
        <v>10927</v>
      </c>
      <c r="B8969" t="s">
        <v>10278</v>
      </c>
      <c r="C8969" t="s">
        <v>10279</v>
      </c>
      <c r="D8969" t="str">
        <f>HYPERLINK("http://service.sap.com/sap/support/notes/1684535","1684535")</f>
        <v>1684535</v>
      </c>
      <c r="E8969">
        <v>6</v>
      </c>
      <c r="F8969" t="s">
        <v>10280</v>
      </c>
    </row>
    <row r="8970" spans="1:6" x14ac:dyDescent="0.25">
      <c r="A8970" t="s">
        <v>10927</v>
      </c>
      <c r="B8970" t="s">
        <v>8135</v>
      </c>
      <c r="C8970" t="s">
        <v>8136</v>
      </c>
      <c r="D8970" t="str">
        <f>HYPERLINK("http://service.sap.com/sap/support/notes/1854244","1854244")</f>
        <v>1854244</v>
      </c>
      <c r="E8970">
        <v>1</v>
      </c>
      <c r="F8970" t="s">
        <v>10281</v>
      </c>
    </row>
    <row r="8971" spans="1:6" x14ac:dyDescent="0.25">
      <c r="A8971" t="s">
        <v>10927</v>
      </c>
      <c r="B8971" t="s">
        <v>2907</v>
      </c>
      <c r="C8971" t="s">
        <v>824</v>
      </c>
      <c r="D8971" t="str">
        <f>HYPERLINK("http://service.sap.com/sap/support/notes/1716259","1716259")</f>
        <v>1716259</v>
      </c>
      <c r="E8971">
        <v>3</v>
      </c>
      <c r="F8971" t="s">
        <v>10282</v>
      </c>
    </row>
    <row r="8972" spans="1:6" x14ac:dyDescent="0.25">
      <c r="A8972" t="s">
        <v>10927</v>
      </c>
      <c r="B8972" t="s">
        <v>2907</v>
      </c>
      <c r="C8972" t="s">
        <v>824</v>
      </c>
      <c r="D8972" t="str">
        <f>HYPERLINK("http://service.sap.com/sap/support/notes/1842578","1842578")</f>
        <v>1842578</v>
      </c>
      <c r="E8972">
        <v>2</v>
      </c>
      <c r="F8972" t="s">
        <v>10283</v>
      </c>
    </row>
    <row r="8973" spans="1:6" x14ac:dyDescent="0.25">
      <c r="A8973" t="s">
        <v>10927</v>
      </c>
      <c r="B8973" t="s">
        <v>2909</v>
      </c>
      <c r="C8973" t="s">
        <v>2910</v>
      </c>
      <c r="D8973" t="str">
        <f>HYPERLINK("http://service.sap.com/sap/support/notes/1746485","1746485")</f>
        <v>1746485</v>
      </c>
      <c r="E8973">
        <v>3</v>
      </c>
      <c r="F8973" t="s">
        <v>10284</v>
      </c>
    </row>
    <row r="8974" spans="1:6" x14ac:dyDescent="0.25">
      <c r="A8974" t="s">
        <v>10927</v>
      </c>
      <c r="B8974" t="s">
        <v>2909</v>
      </c>
      <c r="C8974" t="s">
        <v>2910</v>
      </c>
      <c r="D8974" t="str">
        <f>HYPERLINK("http://service.sap.com/sap/support/notes/1828853","1828853")</f>
        <v>1828853</v>
      </c>
      <c r="E8974">
        <v>2</v>
      </c>
      <c r="F8974" t="s">
        <v>10285</v>
      </c>
    </row>
    <row r="8975" spans="1:6" x14ac:dyDescent="0.25">
      <c r="A8975" t="s">
        <v>10927</v>
      </c>
      <c r="B8975" t="s">
        <v>2909</v>
      </c>
      <c r="C8975" t="s">
        <v>2910</v>
      </c>
      <c r="D8975" t="str">
        <f>HYPERLINK("http://service.sap.com/sap/support/notes/1856205","1856205")</f>
        <v>1856205</v>
      </c>
      <c r="E8975">
        <v>1</v>
      </c>
      <c r="F8975" t="s">
        <v>10286</v>
      </c>
    </row>
    <row r="8976" spans="1:6" x14ac:dyDescent="0.25">
      <c r="A8976" t="s">
        <v>10927</v>
      </c>
      <c r="B8976" t="s">
        <v>2912</v>
      </c>
      <c r="C8976" t="s">
        <v>2913</v>
      </c>
      <c r="D8976" t="str">
        <f>HYPERLINK("http://service.sap.com/sap/support/notes/1848831","1848831")</f>
        <v>1848831</v>
      </c>
      <c r="E8976">
        <v>1</v>
      </c>
      <c r="F8976" t="s">
        <v>10287</v>
      </c>
    </row>
    <row r="8977" spans="1:6" x14ac:dyDescent="0.25">
      <c r="A8977" t="s">
        <v>10927</v>
      </c>
      <c r="B8977" t="s">
        <v>2918</v>
      </c>
      <c r="C8977" t="s">
        <v>2919</v>
      </c>
      <c r="D8977" t="str">
        <f>HYPERLINK("http://service.sap.com/sap/support/notes/1855781","1855781")</f>
        <v>1855781</v>
      </c>
      <c r="E8977">
        <v>1</v>
      </c>
      <c r="F8977" t="s">
        <v>10288</v>
      </c>
    </row>
    <row r="8978" spans="1:6" x14ac:dyDescent="0.25">
      <c r="A8978" t="s">
        <v>10927</v>
      </c>
      <c r="B8978" t="s">
        <v>2947</v>
      </c>
      <c r="C8978" t="s">
        <v>2948</v>
      </c>
      <c r="D8978" t="str">
        <f>HYPERLINK("http://service.sap.com/sap/support/notes/1834429","1834429")</f>
        <v>1834429</v>
      </c>
      <c r="E8978">
        <v>1</v>
      </c>
      <c r="F8978" t="s">
        <v>10289</v>
      </c>
    </row>
    <row r="8979" spans="1:6" x14ac:dyDescent="0.25">
      <c r="A8979" t="s">
        <v>10927</v>
      </c>
      <c r="B8979" t="s">
        <v>2947</v>
      </c>
      <c r="C8979" t="s">
        <v>2948</v>
      </c>
      <c r="D8979" t="str">
        <f>HYPERLINK("http://service.sap.com/sap/support/notes/1842218","1842218")</f>
        <v>1842218</v>
      </c>
      <c r="E8979">
        <v>2</v>
      </c>
      <c r="F8979" t="s">
        <v>10289</v>
      </c>
    </row>
    <row r="8980" spans="1:6" x14ac:dyDescent="0.25">
      <c r="A8980" t="s">
        <v>10927</v>
      </c>
      <c r="B8980" t="s">
        <v>2949</v>
      </c>
      <c r="C8980" t="s">
        <v>2950</v>
      </c>
    </row>
    <row r="8981" spans="1:6" x14ac:dyDescent="0.25">
      <c r="A8981" t="s">
        <v>10927</v>
      </c>
      <c r="B8981" t="s">
        <v>2951</v>
      </c>
      <c r="C8981" t="s">
        <v>2952</v>
      </c>
      <c r="D8981" t="str">
        <f>HYPERLINK("http://service.sap.com/sap/support/notes/1826780","1826780")</f>
        <v>1826780</v>
      </c>
      <c r="E8981">
        <v>2</v>
      </c>
      <c r="F8981" t="s">
        <v>10290</v>
      </c>
    </row>
    <row r="8982" spans="1:6" x14ac:dyDescent="0.25">
      <c r="A8982" t="s">
        <v>10927</v>
      </c>
      <c r="B8982" t="s">
        <v>10291</v>
      </c>
      <c r="C8982" t="s">
        <v>10292</v>
      </c>
      <c r="D8982" t="str">
        <f>HYPERLINK("http://service.sap.com/sap/support/notes/1836826","1836826")</f>
        <v>1836826</v>
      </c>
      <c r="E8982">
        <v>3</v>
      </c>
      <c r="F8982" t="s">
        <v>10293</v>
      </c>
    </row>
    <row r="8983" spans="1:6" x14ac:dyDescent="0.25">
      <c r="A8983" t="s">
        <v>10927</v>
      </c>
      <c r="B8983" t="s">
        <v>2958</v>
      </c>
      <c r="C8983" t="s">
        <v>2959</v>
      </c>
    </row>
    <row r="8984" spans="1:6" x14ac:dyDescent="0.25">
      <c r="A8984" t="s">
        <v>10927</v>
      </c>
      <c r="B8984" t="s">
        <v>2960</v>
      </c>
      <c r="C8984" t="s">
        <v>2961</v>
      </c>
      <c r="D8984" t="str">
        <f>HYPERLINK("http://service.sap.com/sap/support/notes/1838351","1838351")</f>
        <v>1838351</v>
      </c>
      <c r="E8984">
        <v>2</v>
      </c>
      <c r="F8984" t="s">
        <v>10294</v>
      </c>
    </row>
    <row r="8985" spans="1:6" x14ac:dyDescent="0.25">
      <c r="A8985" t="s">
        <v>10927</v>
      </c>
      <c r="B8985" t="s">
        <v>5730</v>
      </c>
      <c r="C8985" t="s">
        <v>5731</v>
      </c>
      <c r="D8985" t="str">
        <f>HYPERLINK("http://service.sap.com/sap/support/notes/1831852","1831852")</f>
        <v>1831852</v>
      </c>
      <c r="E8985">
        <v>4</v>
      </c>
      <c r="F8985" t="s">
        <v>10295</v>
      </c>
    </row>
    <row r="8986" spans="1:6" x14ac:dyDescent="0.25">
      <c r="A8986" t="s">
        <v>10927</v>
      </c>
      <c r="B8986" t="s">
        <v>10296</v>
      </c>
      <c r="C8986" t="s">
        <v>1134</v>
      </c>
      <c r="D8986" t="str">
        <f>HYPERLINK("http://service.sap.com/sap/support/notes/1834501","1834501")</f>
        <v>1834501</v>
      </c>
      <c r="E8986">
        <v>1</v>
      </c>
      <c r="F8986" t="s">
        <v>10297</v>
      </c>
    </row>
    <row r="8987" spans="1:6" x14ac:dyDescent="0.25">
      <c r="A8987" t="s">
        <v>10927</v>
      </c>
      <c r="B8987" t="s">
        <v>10296</v>
      </c>
      <c r="C8987" t="s">
        <v>1134</v>
      </c>
      <c r="D8987" t="str">
        <f>HYPERLINK("http://service.sap.com/sap/support/notes/1837615","1837615")</f>
        <v>1837615</v>
      </c>
      <c r="E8987">
        <v>2</v>
      </c>
      <c r="F8987" t="s">
        <v>10298</v>
      </c>
    </row>
    <row r="8988" spans="1:6" x14ac:dyDescent="0.25">
      <c r="A8988" t="s">
        <v>10927</v>
      </c>
      <c r="B8988" t="s">
        <v>2964</v>
      </c>
      <c r="C8988" t="s">
        <v>2959</v>
      </c>
      <c r="D8988" t="str">
        <f>HYPERLINK("http://service.sap.com/sap/support/notes/1849584","1849584")</f>
        <v>1849584</v>
      </c>
      <c r="E8988">
        <v>2</v>
      </c>
      <c r="F8988" t="s">
        <v>10299</v>
      </c>
    </row>
    <row r="8989" spans="1:6" x14ac:dyDescent="0.25">
      <c r="A8989" t="s">
        <v>10927</v>
      </c>
      <c r="B8989" t="s">
        <v>10300</v>
      </c>
      <c r="C8989" t="s">
        <v>10301</v>
      </c>
      <c r="D8989" t="str">
        <f>HYPERLINK("http://service.sap.com/sap/support/notes/1826287","1826287")</f>
        <v>1826287</v>
      </c>
      <c r="E8989">
        <v>2</v>
      </c>
      <c r="F8989" t="s">
        <v>10302</v>
      </c>
    </row>
    <row r="8990" spans="1:6" x14ac:dyDescent="0.25">
      <c r="A8990" t="s">
        <v>10927</v>
      </c>
      <c r="B8990" t="s">
        <v>2965</v>
      </c>
      <c r="C8990" t="s">
        <v>2966</v>
      </c>
      <c r="D8990" t="str">
        <f>HYPERLINK("http://service.sap.com/sap/support/notes/1820863","1820863")</f>
        <v>1820863</v>
      </c>
      <c r="E8990">
        <v>2</v>
      </c>
      <c r="F8990" t="s">
        <v>10303</v>
      </c>
    </row>
    <row r="8991" spans="1:6" x14ac:dyDescent="0.25">
      <c r="A8991" t="s">
        <v>10927</v>
      </c>
      <c r="B8991" t="s">
        <v>5735</v>
      </c>
      <c r="C8991" t="s">
        <v>5736</v>
      </c>
      <c r="D8991" t="str">
        <f>HYPERLINK("http://service.sap.com/sap/support/notes/1858570","1858570")</f>
        <v>1858570</v>
      </c>
      <c r="E8991">
        <v>1</v>
      </c>
      <c r="F8991" t="s">
        <v>10304</v>
      </c>
    </row>
    <row r="8992" spans="1:6" x14ac:dyDescent="0.25">
      <c r="A8992" t="s">
        <v>10927</v>
      </c>
      <c r="B8992" t="s">
        <v>8167</v>
      </c>
      <c r="C8992" t="s">
        <v>2945</v>
      </c>
    </row>
    <row r="8993" spans="1:6" x14ac:dyDescent="0.25">
      <c r="A8993" t="s">
        <v>10927</v>
      </c>
      <c r="B8993" t="s">
        <v>10305</v>
      </c>
      <c r="C8993" t="s">
        <v>10306</v>
      </c>
      <c r="D8993" t="str">
        <f>HYPERLINK("http://service.sap.com/sap/support/notes/1829562","1829562")</f>
        <v>1829562</v>
      </c>
      <c r="E8993">
        <v>2</v>
      </c>
      <c r="F8993" t="s">
        <v>10307</v>
      </c>
    </row>
    <row r="8994" spans="1:6" x14ac:dyDescent="0.25">
      <c r="A8994" t="s">
        <v>10927</v>
      </c>
      <c r="B8994" t="s">
        <v>2975</v>
      </c>
      <c r="C8994" t="s">
        <v>824</v>
      </c>
      <c r="D8994" t="str">
        <f>HYPERLINK("http://service.sap.com/sap/support/notes/1818783","1818783")</f>
        <v>1818783</v>
      </c>
      <c r="E8994">
        <v>3</v>
      </c>
      <c r="F8994" t="s">
        <v>10308</v>
      </c>
    </row>
    <row r="8995" spans="1:6" x14ac:dyDescent="0.25">
      <c r="A8995" t="s">
        <v>10927</v>
      </c>
      <c r="B8995" t="s">
        <v>2975</v>
      </c>
      <c r="C8995" t="s">
        <v>824</v>
      </c>
      <c r="D8995" t="str">
        <f>HYPERLINK("http://service.sap.com/sap/support/notes/1842991","1842991")</f>
        <v>1842991</v>
      </c>
      <c r="E8995">
        <v>2</v>
      </c>
      <c r="F8995" t="s">
        <v>10309</v>
      </c>
    </row>
    <row r="8996" spans="1:6" x14ac:dyDescent="0.25">
      <c r="A8996" t="s">
        <v>10927</v>
      </c>
      <c r="B8996" t="s">
        <v>2975</v>
      </c>
      <c r="C8996" t="s">
        <v>824</v>
      </c>
      <c r="D8996" t="str">
        <f>HYPERLINK("http://service.sap.com/sap/support/notes/1844179","1844179")</f>
        <v>1844179</v>
      </c>
      <c r="E8996">
        <v>2</v>
      </c>
      <c r="F8996" t="s">
        <v>10310</v>
      </c>
    </row>
    <row r="8997" spans="1:6" x14ac:dyDescent="0.25">
      <c r="A8997" t="s">
        <v>10927</v>
      </c>
      <c r="B8997" t="s">
        <v>2989</v>
      </c>
      <c r="C8997" t="s">
        <v>2990</v>
      </c>
      <c r="D8997" t="str">
        <f>HYPERLINK("http://service.sap.com/sap/support/notes/1808584","1808584")</f>
        <v>1808584</v>
      </c>
      <c r="E8997">
        <v>2</v>
      </c>
      <c r="F8997" t="s">
        <v>10311</v>
      </c>
    </row>
    <row r="8998" spans="1:6" x14ac:dyDescent="0.25">
      <c r="A8998" t="s">
        <v>10927</v>
      </c>
      <c r="B8998" t="s">
        <v>2989</v>
      </c>
      <c r="C8998" t="s">
        <v>2990</v>
      </c>
      <c r="D8998" t="str">
        <f>HYPERLINK("http://service.sap.com/sap/support/notes/1847808","1847808")</f>
        <v>1847808</v>
      </c>
      <c r="E8998">
        <v>2</v>
      </c>
      <c r="F8998" t="s">
        <v>10312</v>
      </c>
    </row>
    <row r="8999" spans="1:6" x14ac:dyDescent="0.25">
      <c r="A8999" t="s">
        <v>10927</v>
      </c>
      <c r="B8999" t="s">
        <v>2989</v>
      </c>
      <c r="C8999" t="s">
        <v>2990</v>
      </c>
      <c r="D8999" t="str">
        <f>HYPERLINK("http://service.sap.com/sap/support/notes/1850473","1850473")</f>
        <v>1850473</v>
      </c>
      <c r="E8999">
        <v>2</v>
      </c>
      <c r="F8999" t="s">
        <v>10313</v>
      </c>
    </row>
    <row r="9000" spans="1:6" x14ac:dyDescent="0.25">
      <c r="A9000" t="s">
        <v>10927</v>
      </c>
      <c r="B9000" t="s">
        <v>2998</v>
      </c>
      <c r="C9000" t="s">
        <v>2999</v>
      </c>
      <c r="D9000" t="str">
        <f>HYPERLINK("http://service.sap.com/sap/support/notes/1825097","1825097")</f>
        <v>1825097</v>
      </c>
      <c r="E9000">
        <v>2</v>
      </c>
      <c r="F9000" t="s">
        <v>10314</v>
      </c>
    </row>
    <row r="9001" spans="1:6" x14ac:dyDescent="0.25">
      <c r="A9001" t="s">
        <v>10927</v>
      </c>
      <c r="B9001" t="s">
        <v>3001</v>
      </c>
      <c r="C9001" t="s">
        <v>3002</v>
      </c>
      <c r="D9001" t="str">
        <f>HYPERLINK("http://service.sap.com/sap/support/notes/697622","697622")</f>
        <v>697622</v>
      </c>
      <c r="E9001">
        <v>5</v>
      </c>
      <c r="F9001" t="s">
        <v>10315</v>
      </c>
    </row>
    <row r="9002" spans="1:6" x14ac:dyDescent="0.25">
      <c r="A9002" t="s">
        <v>10927</v>
      </c>
      <c r="B9002" t="s">
        <v>3001</v>
      </c>
      <c r="C9002" t="s">
        <v>3002</v>
      </c>
      <c r="D9002" t="str">
        <f>HYPERLINK("http://service.sap.com/sap/support/notes/1834774","1834774")</f>
        <v>1834774</v>
      </c>
      <c r="E9002">
        <v>2</v>
      </c>
      <c r="F9002" t="s">
        <v>10316</v>
      </c>
    </row>
    <row r="9003" spans="1:6" x14ac:dyDescent="0.25">
      <c r="A9003" t="s">
        <v>10927</v>
      </c>
      <c r="B9003" t="s">
        <v>3008</v>
      </c>
      <c r="C9003" t="s">
        <v>3009</v>
      </c>
      <c r="D9003" t="str">
        <f>HYPERLINK("http://service.sap.com/sap/support/notes/1819888","1819888")</f>
        <v>1819888</v>
      </c>
      <c r="E9003">
        <v>2</v>
      </c>
      <c r="F9003" t="s">
        <v>10317</v>
      </c>
    </row>
    <row r="9004" spans="1:6" x14ac:dyDescent="0.25">
      <c r="A9004" t="s">
        <v>10927</v>
      </c>
      <c r="B9004" t="s">
        <v>3008</v>
      </c>
      <c r="C9004" t="s">
        <v>3009</v>
      </c>
      <c r="D9004" t="str">
        <f>HYPERLINK("http://service.sap.com/sap/support/notes/1838971","1838971")</f>
        <v>1838971</v>
      </c>
      <c r="E9004">
        <v>3</v>
      </c>
      <c r="F9004" t="s">
        <v>10318</v>
      </c>
    </row>
    <row r="9005" spans="1:6" x14ac:dyDescent="0.25">
      <c r="A9005" t="s">
        <v>10927</v>
      </c>
      <c r="B9005" t="s">
        <v>3008</v>
      </c>
      <c r="C9005" t="s">
        <v>3009</v>
      </c>
      <c r="D9005" t="str">
        <f>HYPERLINK("http://service.sap.com/sap/support/notes/1839769","1839769")</f>
        <v>1839769</v>
      </c>
      <c r="E9005">
        <v>3</v>
      </c>
      <c r="F9005" t="s">
        <v>10319</v>
      </c>
    </row>
    <row r="9006" spans="1:6" x14ac:dyDescent="0.25">
      <c r="A9006" t="s">
        <v>10927</v>
      </c>
      <c r="B9006" t="s">
        <v>3008</v>
      </c>
      <c r="C9006" t="s">
        <v>3009</v>
      </c>
      <c r="D9006" t="str">
        <f>HYPERLINK("http://service.sap.com/sap/support/notes/1843810","1843810")</f>
        <v>1843810</v>
      </c>
      <c r="E9006">
        <v>3</v>
      </c>
      <c r="F9006" t="s">
        <v>10320</v>
      </c>
    </row>
    <row r="9007" spans="1:6" x14ac:dyDescent="0.25">
      <c r="A9007" t="s">
        <v>10927</v>
      </c>
      <c r="B9007" t="s">
        <v>3008</v>
      </c>
      <c r="C9007" t="s">
        <v>3009</v>
      </c>
      <c r="D9007" t="str">
        <f>HYPERLINK("http://service.sap.com/sap/support/notes/1845517","1845517")</f>
        <v>1845517</v>
      </c>
      <c r="E9007">
        <v>2</v>
      </c>
      <c r="F9007" t="s">
        <v>10321</v>
      </c>
    </row>
    <row r="9008" spans="1:6" x14ac:dyDescent="0.25">
      <c r="A9008" t="s">
        <v>10927</v>
      </c>
      <c r="B9008" t="s">
        <v>3016</v>
      </c>
      <c r="C9008" t="s">
        <v>3017</v>
      </c>
      <c r="D9008" t="str">
        <f>HYPERLINK("http://service.sap.com/sap/support/notes/1684220","1684220")</f>
        <v>1684220</v>
      </c>
      <c r="E9008">
        <v>3</v>
      </c>
      <c r="F9008" t="s">
        <v>10322</v>
      </c>
    </row>
    <row r="9009" spans="1:6" x14ac:dyDescent="0.25">
      <c r="A9009" t="s">
        <v>10927</v>
      </c>
      <c r="B9009" t="s">
        <v>3016</v>
      </c>
      <c r="C9009" t="s">
        <v>3017</v>
      </c>
      <c r="D9009" t="str">
        <f>HYPERLINK("http://service.sap.com/sap/support/notes/1789994","1789994")</f>
        <v>1789994</v>
      </c>
      <c r="E9009">
        <v>3</v>
      </c>
      <c r="F9009" t="s">
        <v>10323</v>
      </c>
    </row>
    <row r="9010" spans="1:6" x14ac:dyDescent="0.25">
      <c r="A9010" t="s">
        <v>10927</v>
      </c>
      <c r="B9010" t="s">
        <v>3016</v>
      </c>
      <c r="C9010" t="s">
        <v>3017</v>
      </c>
      <c r="D9010" t="str">
        <f>HYPERLINK("http://service.sap.com/sap/support/notes/1842159","1842159")</f>
        <v>1842159</v>
      </c>
      <c r="E9010">
        <v>2</v>
      </c>
      <c r="F9010" t="s">
        <v>10324</v>
      </c>
    </row>
    <row r="9011" spans="1:6" x14ac:dyDescent="0.25">
      <c r="A9011" t="s">
        <v>10927</v>
      </c>
      <c r="B9011" t="s">
        <v>3016</v>
      </c>
      <c r="C9011" t="s">
        <v>3017</v>
      </c>
      <c r="D9011" t="str">
        <f>HYPERLINK("http://service.sap.com/sap/support/notes/1844192","1844192")</f>
        <v>1844192</v>
      </c>
      <c r="E9011">
        <v>2</v>
      </c>
      <c r="F9011" t="s">
        <v>10325</v>
      </c>
    </row>
    <row r="9012" spans="1:6" x14ac:dyDescent="0.25">
      <c r="A9012" t="s">
        <v>10927</v>
      </c>
      <c r="B9012" t="s">
        <v>10326</v>
      </c>
      <c r="C9012" t="s">
        <v>10327</v>
      </c>
      <c r="D9012" t="str">
        <f>HYPERLINK("http://service.sap.com/sap/support/notes/1860613","1860613")</f>
        <v>1860613</v>
      </c>
      <c r="E9012">
        <v>2</v>
      </c>
      <c r="F9012" t="s">
        <v>10328</v>
      </c>
    </row>
    <row r="9013" spans="1:6" x14ac:dyDescent="0.25">
      <c r="A9013" t="s">
        <v>10927</v>
      </c>
      <c r="B9013" t="s">
        <v>3025</v>
      </c>
      <c r="C9013" t="s">
        <v>3026</v>
      </c>
      <c r="D9013" t="str">
        <f>HYPERLINK("http://service.sap.com/sap/support/notes/1843193","1843193")</f>
        <v>1843193</v>
      </c>
      <c r="E9013">
        <v>4</v>
      </c>
      <c r="F9013" t="s">
        <v>10329</v>
      </c>
    </row>
    <row r="9014" spans="1:6" x14ac:dyDescent="0.25">
      <c r="A9014" t="s">
        <v>10927</v>
      </c>
      <c r="B9014" t="s">
        <v>3027</v>
      </c>
      <c r="C9014" t="s">
        <v>3028</v>
      </c>
      <c r="D9014" t="str">
        <f>HYPERLINK("http://service.sap.com/sap/support/notes/1834809","1834809")</f>
        <v>1834809</v>
      </c>
      <c r="E9014">
        <v>3</v>
      </c>
      <c r="F9014" t="s">
        <v>10330</v>
      </c>
    </row>
    <row r="9015" spans="1:6" x14ac:dyDescent="0.25">
      <c r="A9015" t="s">
        <v>10927</v>
      </c>
      <c r="B9015" t="s">
        <v>3027</v>
      </c>
      <c r="C9015" t="s">
        <v>3028</v>
      </c>
      <c r="D9015" t="str">
        <f>HYPERLINK("http://service.sap.com/sap/support/notes/1841700","1841700")</f>
        <v>1841700</v>
      </c>
      <c r="E9015">
        <v>2</v>
      </c>
      <c r="F9015" t="s">
        <v>10331</v>
      </c>
    </row>
    <row r="9016" spans="1:6" x14ac:dyDescent="0.25">
      <c r="A9016" t="s">
        <v>10927</v>
      </c>
      <c r="B9016" t="s">
        <v>10332</v>
      </c>
      <c r="C9016" t="s">
        <v>10333</v>
      </c>
      <c r="D9016" t="str">
        <f>HYPERLINK("http://service.sap.com/sap/support/notes/1857916","1857916")</f>
        <v>1857916</v>
      </c>
      <c r="E9016">
        <v>2</v>
      </c>
      <c r="F9016" t="s">
        <v>10334</v>
      </c>
    </row>
    <row r="9017" spans="1:6" x14ac:dyDescent="0.25">
      <c r="A9017" t="s">
        <v>10927</v>
      </c>
      <c r="B9017" t="s">
        <v>3037</v>
      </c>
      <c r="C9017" t="s">
        <v>3038</v>
      </c>
      <c r="D9017" t="str">
        <f>HYPERLINK("http://service.sap.com/sap/support/notes/1761685","1761685")</f>
        <v>1761685</v>
      </c>
      <c r="E9017">
        <v>3</v>
      </c>
      <c r="F9017" t="s">
        <v>10335</v>
      </c>
    </row>
    <row r="9018" spans="1:6" x14ac:dyDescent="0.25">
      <c r="A9018" t="s">
        <v>10927</v>
      </c>
      <c r="B9018" t="s">
        <v>3040</v>
      </c>
      <c r="C9018" t="s">
        <v>3041</v>
      </c>
      <c r="D9018" t="str">
        <f>HYPERLINK("http://service.sap.com/sap/support/notes/1611130","1611130")</f>
        <v>1611130</v>
      </c>
      <c r="E9018">
        <v>1</v>
      </c>
      <c r="F9018" t="s">
        <v>10336</v>
      </c>
    </row>
    <row r="9019" spans="1:6" x14ac:dyDescent="0.25">
      <c r="A9019" t="s">
        <v>10927</v>
      </c>
      <c r="B9019" t="s">
        <v>3040</v>
      </c>
      <c r="C9019" t="s">
        <v>3041</v>
      </c>
      <c r="D9019" t="str">
        <f>HYPERLINK("http://service.sap.com/sap/support/notes/1739370","1739370")</f>
        <v>1739370</v>
      </c>
      <c r="E9019">
        <v>1</v>
      </c>
      <c r="F9019" t="s">
        <v>10337</v>
      </c>
    </row>
    <row r="9020" spans="1:6" x14ac:dyDescent="0.25">
      <c r="A9020" t="s">
        <v>10927</v>
      </c>
      <c r="B9020" t="s">
        <v>3040</v>
      </c>
      <c r="C9020" t="s">
        <v>3041</v>
      </c>
      <c r="D9020" t="str">
        <f>HYPERLINK("http://service.sap.com/sap/support/notes/1788945","1788945")</f>
        <v>1788945</v>
      </c>
      <c r="E9020">
        <v>2</v>
      </c>
      <c r="F9020" t="s">
        <v>10338</v>
      </c>
    </row>
    <row r="9021" spans="1:6" x14ac:dyDescent="0.25">
      <c r="A9021" t="s">
        <v>10927</v>
      </c>
      <c r="B9021" t="s">
        <v>3040</v>
      </c>
      <c r="C9021" t="s">
        <v>3041</v>
      </c>
      <c r="D9021" t="str">
        <f>HYPERLINK("http://service.sap.com/sap/support/notes/1808790","1808790")</f>
        <v>1808790</v>
      </c>
      <c r="E9021">
        <v>2</v>
      </c>
      <c r="F9021" t="s">
        <v>10339</v>
      </c>
    </row>
    <row r="9022" spans="1:6" x14ac:dyDescent="0.25">
      <c r="A9022" t="s">
        <v>10927</v>
      </c>
      <c r="B9022" t="s">
        <v>3040</v>
      </c>
      <c r="C9022" t="s">
        <v>3041</v>
      </c>
      <c r="D9022" t="str">
        <f>HYPERLINK("http://service.sap.com/sap/support/notes/1808964","1808964")</f>
        <v>1808964</v>
      </c>
      <c r="E9022">
        <v>2</v>
      </c>
      <c r="F9022" t="s">
        <v>10340</v>
      </c>
    </row>
    <row r="9023" spans="1:6" x14ac:dyDescent="0.25">
      <c r="A9023" t="s">
        <v>10927</v>
      </c>
      <c r="B9023" t="s">
        <v>3040</v>
      </c>
      <c r="C9023" t="s">
        <v>3041</v>
      </c>
      <c r="D9023" t="str">
        <f>HYPERLINK("http://service.sap.com/sap/support/notes/1821099","1821099")</f>
        <v>1821099</v>
      </c>
      <c r="E9023">
        <v>2</v>
      </c>
      <c r="F9023" t="s">
        <v>10341</v>
      </c>
    </row>
    <row r="9024" spans="1:6" x14ac:dyDescent="0.25">
      <c r="A9024" t="s">
        <v>10927</v>
      </c>
      <c r="B9024" t="s">
        <v>3040</v>
      </c>
      <c r="C9024" t="s">
        <v>3041</v>
      </c>
      <c r="D9024" t="str">
        <f>HYPERLINK("http://service.sap.com/sap/support/notes/1829301","1829301")</f>
        <v>1829301</v>
      </c>
      <c r="E9024">
        <v>1</v>
      </c>
      <c r="F9024" t="s">
        <v>8194</v>
      </c>
    </row>
    <row r="9025" spans="1:6" x14ac:dyDescent="0.25">
      <c r="A9025" t="s">
        <v>10927</v>
      </c>
      <c r="B9025" t="s">
        <v>3040</v>
      </c>
      <c r="C9025" t="s">
        <v>3041</v>
      </c>
      <c r="D9025" t="str">
        <f>HYPERLINK("http://service.sap.com/sap/support/notes/1842107","1842107")</f>
        <v>1842107</v>
      </c>
      <c r="E9025">
        <v>2</v>
      </c>
    </row>
    <row r="9026" spans="1:6" x14ac:dyDescent="0.25">
      <c r="A9026" t="s">
        <v>10927</v>
      </c>
      <c r="B9026" t="s">
        <v>3040</v>
      </c>
      <c r="C9026" t="s">
        <v>3041</v>
      </c>
      <c r="D9026" t="str">
        <f>HYPERLINK("http://service.sap.com/sap/support/notes/1845804","1845804")</f>
        <v>1845804</v>
      </c>
      <c r="E9026">
        <v>2</v>
      </c>
      <c r="F9026" t="s">
        <v>10342</v>
      </c>
    </row>
    <row r="9027" spans="1:6" x14ac:dyDescent="0.25">
      <c r="A9027" t="s">
        <v>10927</v>
      </c>
      <c r="B9027" t="s">
        <v>3040</v>
      </c>
      <c r="C9027" t="s">
        <v>3041</v>
      </c>
      <c r="D9027" t="str">
        <f>HYPERLINK("http://service.sap.com/sap/support/notes/1847546","1847546")</f>
        <v>1847546</v>
      </c>
      <c r="E9027">
        <v>2</v>
      </c>
    </row>
    <row r="9028" spans="1:6" x14ac:dyDescent="0.25">
      <c r="A9028" t="s">
        <v>10927</v>
      </c>
      <c r="B9028" t="s">
        <v>3040</v>
      </c>
      <c r="C9028" t="s">
        <v>3041</v>
      </c>
      <c r="D9028" t="str">
        <f>HYPERLINK("http://service.sap.com/sap/support/notes/1851331","1851331")</f>
        <v>1851331</v>
      </c>
      <c r="E9028">
        <v>1</v>
      </c>
      <c r="F9028" t="s">
        <v>10343</v>
      </c>
    </row>
    <row r="9029" spans="1:6" x14ac:dyDescent="0.25">
      <c r="A9029" t="s">
        <v>10927</v>
      </c>
      <c r="B9029" t="s">
        <v>3040</v>
      </c>
      <c r="C9029" t="s">
        <v>3041</v>
      </c>
      <c r="D9029" t="str">
        <f>HYPERLINK("http://service.sap.com/sap/support/notes/1852706","1852706")</f>
        <v>1852706</v>
      </c>
      <c r="E9029">
        <v>1</v>
      </c>
      <c r="F9029" t="s">
        <v>10344</v>
      </c>
    </row>
    <row r="9030" spans="1:6" x14ac:dyDescent="0.25">
      <c r="A9030" t="s">
        <v>10927</v>
      </c>
      <c r="B9030" t="s">
        <v>3040</v>
      </c>
      <c r="C9030" t="s">
        <v>3041</v>
      </c>
      <c r="D9030" t="str">
        <f>HYPERLINK("http://service.sap.com/sap/support/notes/1853307","1853307")</f>
        <v>1853307</v>
      </c>
      <c r="E9030">
        <v>1</v>
      </c>
      <c r="F9030" t="s">
        <v>10345</v>
      </c>
    </row>
    <row r="9031" spans="1:6" x14ac:dyDescent="0.25">
      <c r="A9031" t="s">
        <v>10927</v>
      </c>
      <c r="B9031" t="s">
        <v>10346</v>
      </c>
      <c r="C9031" t="s">
        <v>10347</v>
      </c>
      <c r="D9031" t="str">
        <f>HYPERLINK("http://service.sap.com/sap/support/notes/1842314","1842314")</f>
        <v>1842314</v>
      </c>
      <c r="E9031">
        <v>2</v>
      </c>
      <c r="F9031" t="s">
        <v>10348</v>
      </c>
    </row>
    <row r="9032" spans="1:6" x14ac:dyDescent="0.25">
      <c r="A9032" t="s">
        <v>10927</v>
      </c>
      <c r="B9032" t="s">
        <v>3048</v>
      </c>
      <c r="C9032" t="s">
        <v>3049</v>
      </c>
    </row>
    <row r="9033" spans="1:6" x14ac:dyDescent="0.25">
      <c r="A9033" t="s">
        <v>10927</v>
      </c>
      <c r="B9033" t="s">
        <v>3050</v>
      </c>
      <c r="C9033" t="s">
        <v>3051</v>
      </c>
      <c r="D9033" t="str">
        <f>HYPERLINK("http://service.sap.com/sap/support/notes/1840749","1840749")</f>
        <v>1840749</v>
      </c>
      <c r="E9033">
        <v>3</v>
      </c>
      <c r="F9033" t="s">
        <v>10349</v>
      </c>
    </row>
    <row r="9034" spans="1:6" x14ac:dyDescent="0.25">
      <c r="A9034" t="s">
        <v>10927</v>
      </c>
      <c r="B9034" t="s">
        <v>3055</v>
      </c>
      <c r="C9034" t="s">
        <v>3056</v>
      </c>
      <c r="D9034" t="str">
        <f>HYPERLINK("http://service.sap.com/sap/support/notes/1810922","1810922")</f>
        <v>1810922</v>
      </c>
      <c r="E9034">
        <v>2</v>
      </c>
      <c r="F9034" t="s">
        <v>10350</v>
      </c>
    </row>
    <row r="9035" spans="1:6" x14ac:dyDescent="0.25">
      <c r="A9035" t="s">
        <v>10927</v>
      </c>
      <c r="B9035" t="s">
        <v>3055</v>
      </c>
      <c r="C9035" t="s">
        <v>3056</v>
      </c>
      <c r="D9035" t="str">
        <f>HYPERLINK("http://service.sap.com/sap/support/notes/1825085","1825085")</f>
        <v>1825085</v>
      </c>
      <c r="E9035">
        <v>3</v>
      </c>
      <c r="F9035" t="s">
        <v>10351</v>
      </c>
    </row>
    <row r="9036" spans="1:6" x14ac:dyDescent="0.25">
      <c r="A9036" t="s">
        <v>10927</v>
      </c>
      <c r="B9036" t="s">
        <v>3055</v>
      </c>
      <c r="C9036" t="s">
        <v>3056</v>
      </c>
      <c r="D9036" t="str">
        <f>HYPERLINK("http://service.sap.com/sap/support/notes/1833619","1833619")</f>
        <v>1833619</v>
      </c>
      <c r="E9036">
        <v>2</v>
      </c>
      <c r="F9036" t="s">
        <v>10352</v>
      </c>
    </row>
    <row r="9037" spans="1:6" x14ac:dyDescent="0.25">
      <c r="A9037" t="s">
        <v>10927</v>
      </c>
      <c r="B9037" t="s">
        <v>3055</v>
      </c>
      <c r="C9037" t="s">
        <v>3056</v>
      </c>
      <c r="D9037" t="str">
        <f>HYPERLINK("http://service.sap.com/sap/support/notes/1836466","1836466")</f>
        <v>1836466</v>
      </c>
      <c r="E9037">
        <v>2</v>
      </c>
      <c r="F9037" t="s">
        <v>8216</v>
      </c>
    </row>
    <row r="9038" spans="1:6" x14ac:dyDescent="0.25">
      <c r="A9038" t="s">
        <v>10927</v>
      </c>
      <c r="B9038" t="s">
        <v>3055</v>
      </c>
      <c r="C9038" t="s">
        <v>3056</v>
      </c>
      <c r="D9038" t="str">
        <f>HYPERLINK("http://service.sap.com/sap/support/notes/1837575","1837575")</f>
        <v>1837575</v>
      </c>
      <c r="E9038">
        <v>4</v>
      </c>
      <c r="F9038" t="s">
        <v>10353</v>
      </c>
    </row>
    <row r="9039" spans="1:6" x14ac:dyDescent="0.25">
      <c r="A9039" t="s">
        <v>10927</v>
      </c>
      <c r="B9039" t="s">
        <v>3055</v>
      </c>
      <c r="C9039" t="s">
        <v>3056</v>
      </c>
      <c r="D9039" t="str">
        <f>HYPERLINK("http://service.sap.com/sap/support/notes/1837697","1837697")</f>
        <v>1837697</v>
      </c>
      <c r="E9039">
        <v>3</v>
      </c>
      <c r="F9039" t="s">
        <v>10354</v>
      </c>
    </row>
    <row r="9040" spans="1:6" x14ac:dyDescent="0.25">
      <c r="A9040" t="s">
        <v>10927</v>
      </c>
      <c r="B9040" t="s">
        <v>3055</v>
      </c>
      <c r="C9040" t="s">
        <v>3056</v>
      </c>
      <c r="D9040" t="str">
        <f>HYPERLINK("http://service.sap.com/sap/support/notes/1846040","1846040")</f>
        <v>1846040</v>
      </c>
      <c r="E9040">
        <v>3</v>
      </c>
      <c r="F9040" t="s">
        <v>10355</v>
      </c>
    </row>
    <row r="9041" spans="1:6" x14ac:dyDescent="0.25">
      <c r="A9041" t="s">
        <v>10927</v>
      </c>
      <c r="B9041" t="s">
        <v>3055</v>
      </c>
      <c r="C9041" t="s">
        <v>3056</v>
      </c>
      <c r="D9041" t="str">
        <f>HYPERLINK("http://service.sap.com/sap/support/notes/1847698","1847698")</f>
        <v>1847698</v>
      </c>
      <c r="E9041">
        <v>1</v>
      </c>
      <c r="F9041" t="s">
        <v>10356</v>
      </c>
    </row>
    <row r="9042" spans="1:6" x14ac:dyDescent="0.25">
      <c r="A9042" t="s">
        <v>10927</v>
      </c>
      <c r="B9042" t="s">
        <v>3055</v>
      </c>
      <c r="C9042" t="s">
        <v>3056</v>
      </c>
      <c r="D9042" t="str">
        <f>HYPERLINK("http://service.sap.com/sap/support/notes/1855389","1855389")</f>
        <v>1855389</v>
      </c>
      <c r="E9042">
        <v>1</v>
      </c>
      <c r="F9042" t="s">
        <v>10357</v>
      </c>
    </row>
    <row r="9043" spans="1:6" x14ac:dyDescent="0.25">
      <c r="A9043" t="s">
        <v>10927</v>
      </c>
      <c r="B9043" t="s">
        <v>3055</v>
      </c>
      <c r="C9043" t="s">
        <v>3056</v>
      </c>
      <c r="D9043" t="str">
        <f>HYPERLINK("http://service.sap.com/sap/support/notes/1856859","1856859")</f>
        <v>1856859</v>
      </c>
      <c r="E9043">
        <v>1</v>
      </c>
      <c r="F9043" t="s">
        <v>10358</v>
      </c>
    </row>
    <row r="9044" spans="1:6" x14ac:dyDescent="0.25">
      <c r="A9044" t="s">
        <v>10927</v>
      </c>
      <c r="B9044" t="s">
        <v>3055</v>
      </c>
      <c r="C9044" t="s">
        <v>3056</v>
      </c>
      <c r="D9044" t="str">
        <f>HYPERLINK("http://service.sap.com/sap/support/notes/1862411","1862411")</f>
        <v>1862411</v>
      </c>
      <c r="E9044">
        <v>1</v>
      </c>
      <c r="F9044" t="s">
        <v>10359</v>
      </c>
    </row>
    <row r="9045" spans="1:6" x14ac:dyDescent="0.25">
      <c r="A9045" t="s">
        <v>10927</v>
      </c>
      <c r="B9045" t="s">
        <v>8217</v>
      </c>
      <c r="C9045" t="s">
        <v>8218</v>
      </c>
      <c r="D9045" t="str">
        <f>HYPERLINK("http://service.sap.com/sap/support/notes/1820761","1820761")</f>
        <v>1820761</v>
      </c>
      <c r="E9045">
        <v>4</v>
      </c>
      <c r="F9045" t="s">
        <v>10360</v>
      </c>
    </row>
    <row r="9046" spans="1:6" x14ac:dyDescent="0.25">
      <c r="A9046" t="s">
        <v>10927</v>
      </c>
      <c r="B9046" t="s">
        <v>8217</v>
      </c>
      <c r="C9046" t="s">
        <v>8218</v>
      </c>
      <c r="D9046" t="str">
        <f>HYPERLINK("http://service.sap.com/sap/support/notes/1858246","1858246")</f>
        <v>1858246</v>
      </c>
      <c r="E9046">
        <v>2</v>
      </c>
    </row>
    <row r="9047" spans="1:6" x14ac:dyDescent="0.25">
      <c r="A9047" t="s">
        <v>10927</v>
      </c>
      <c r="B9047" t="s">
        <v>3064</v>
      </c>
      <c r="C9047" t="s">
        <v>3065</v>
      </c>
      <c r="D9047" t="str">
        <f>HYPERLINK("http://service.sap.com/sap/support/notes/1719424","1719424")</f>
        <v>1719424</v>
      </c>
      <c r="E9047">
        <v>4</v>
      </c>
      <c r="F9047" t="s">
        <v>10361</v>
      </c>
    </row>
    <row r="9048" spans="1:6" x14ac:dyDescent="0.25">
      <c r="A9048" t="s">
        <v>10927</v>
      </c>
      <c r="B9048" t="s">
        <v>3064</v>
      </c>
      <c r="C9048" t="s">
        <v>3065</v>
      </c>
      <c r="D9048" t="str">
        <f>HYPERLINK("http://service.sap.com/sap/support/notes/1791803","1791803")</f>
        <v>1791803</v>
      </c>
      <c r="E9048">
        <v>4</v>
      </c>
      <c r="F9048" t="s">
        <v>10362</v>
      </c>
    </row>
    <row r="9049" spans="1:6" x14ac:dyDescent="0.25">
      <c r="A9049" t="s">
        <v>10927</v>
      </c>
      <c r="B9049" t="s">
        <v>3064</v>
      </c>
      <c r="C9049" t="s">
        <v>3065</v>
      </c>
      <c r="D9049" t="str">
        <f>HYPERLINK("http://service.sap.com/sap/support/notes/1831801","1831801")</f>
        <v>1831801</v>
      </c>
      <c r="E9049">
        <v>2</v>
      </c>
      <c r="F9049" t="s">
        <v>10363</v>
      </c>
    </row>
    <row r="9050" spans="1:6" x14ac:dyDescent="0.25">
      <c r="A9050" t="s">
        <v>10927</v>
      </c>
      <c r="B9050" t="s">
        <v>3064</v>
      </c>
      <c r="C9050" t="s">
        <v>3065</v>
      </c>
      <c r="D9050" t="str">
        <f>HYPERLINK("http://service.sap.com/sap/support/notes/1835282","1835282")</f>
        <v>1835282</v>
      </c>
      <c r="E9050">
        <v>2</v>
      </c>
      <c r="F9050" t="s">
        <v>10364</v>
      </c>
    </row>
    <row r="9051" spans="1:6" x14ac:dyDescent="0.25">
      <c r="A9051" t="s">
        <v>10927</v>
      </c>
      <c r="B9051" t="s">
        <v>3064</v>
      </c>
      <c r="C9051" t="s">
        <v>3065</v>
      </c>
      <c r="D9051" t="str">
        <f>HYPERLINK("http://service.sap.com/sap/support/notes/1837717","1837717")</f>
        <v>1837717</v>
      </c>
      <c r="E9051">
        <v>3</v>
      </c>
      <c r="F9051" t="s">
        <v>10365</v>
      </c>
    </row>
    <row r="9052" spans="1:6" x14ac:dyDescent="0.25">
      <c r="A9052" t="s">
        <v>10927</v>
      </c>
      <c r="B9052" t="s">
        <v>3064</v>
      </c>
      <c r="C9052" t="s">
        <v>3065</v>
      </c>
      <c r="D9052" t="str">
        <f>HYPERLINK("http://service.sap.com/sap/support/notes/1847668","1847668")</f>
        <v>1847668</v>
      </c>
      <c r="E9052">
        <v>1</v>
      </c>
      <c r="F9052" t="s">
        <v>10366</v>
      </c>
    </row>
    <row r="9053" spans="1:6" x14ac:dyDescent="0.25">
      <c r="A9053" t="s">
        <v>10927</v>
      </c>
      <c r="B9053" t="s">
        <v>3064</v>
      </c>
      <c r="C9053" t="s">
        <v>3065</v>
      </c>
      <c r="D9053" t="str">
        <f>HYPERLINK("http://service.sap.com/sap/support/notes/1850918","1850918")</f>
        <v>1850918</v>
      </c>
      <c r="E9053">
        <v>2</v>
      </c>
      <c r="F9053" t="s">
        <v>10367</v>
      </c>
    </row>
    <row r="9054" spans="1:6" x14ac:dyDescent="0.25">
      <c r="A9054" t="s">
        <v>10927</v>
      </c>
      <c r="B9054" t="s">
        <v>3064</v>
      </c>
      <c r="C9054" t="s">
        <v>3065</v>
      </c>
      <c r="D9054" t="str">
        <f>HYPERLINK("http://service.sap.com/sap/support/notes/1854865","1854865")</f>
        <v>1854865</v>
      </c>
      <c r="E9054">
        <v>2</v>
      </c>
      <c r="F9054" t="s">
        <v>10368</v>
      </c>
    </row>
    <row r="9055" spans="1:6" x14ac:dyDescent="0.25">
      <c r="A9055" t="s">
        <v>10927</v>
      </c>
      <c r="B9055" t="s">
        <v>3075</v>
      </c>
      <c r="C9055" t="s">
        <v>3076</v>
      </c>
      <c r="D9055" t="str">
        <f>HYPERLINK("http://service.sap.com/sap/support/notes/1691472","1691472")</f>
        <v>1691472</v>
      </c>
      <c r="E9055">
        <v>4</v>
      </c>
      <c r="F9055" t="s">
        <v>10369</v>
      </c>
    </row>
    <row r="9056" spans="1:6" x14ac:dyDescent="0.25">
      <c r="A9056" t="s">
        <v>10927</v>
      </c>
      <c r="B9056" t="s">
        <v>3075</v>
      </c>
      <c r="C9056" t="s">
        <v>3076</v>
      </c>
      <c r="D9056" t="str">
        <f>HYPERLINK("http://service.sap.com/sap/support/notes/1852349","1852349")</f>
        <v>1852349</v>
      </c>
      <c r="E9056">
        <v>2</v>
      </c>
      <c r="F9056" t="s">
        <v>10370</v>
      </c>
    </row>
    <row r="9057" spans="1:6" x14ac:dyDescent="0.25">
      <c r="A9057" t="s">
        <v>10927</v>
      </c>
      <c r="B9057" t="s">
        <v>3078</v>
      </c>
      <c r="C9057" t="s">
        <v>3079</v>
      </c>
      <c r="D9057" t="str">
        <f>HYPERLINK("http://service.sap.com/sap/support/notes/1752606","1752606")</f>
        <v>1752606</v>
      </c>
      <c r="E9057">
        <v>4</v>
      </c>
      <c r="F9057" t="s">
        <v>10371</v>
      </c>
    </row>
    <row r="9058" spans="1:6" x14ac:dyDescent="0.25">
      <c r="A9058" t="s">
        <v>10927</v>
      </c>
      <c r="B9058" t="s">
        <v>3078</v>
      </c>
      <c r="C9058" t="s">
        <v>3079</v>
      </c>
      <c r="D9058" t="str">
        <f>HYPERLINK("http://service.sap.com/sap/support/notes/1845543","1845543")</f>
        <v>1845543</v>
      </c>
      <c r="E9058">
        <v>2</v>
      </c>
      <c r="F9058" t="s">
        <v>10372</v>
      </c>
    </row>
    <row r="9059" spans="1:6" x14ac:dyDescent="0.25">
      <c r="A9059" t="s">
        <v>10927</v>
      </c>
      <c r="B9059" t="s">
        <v>3078</v>
      </c>
      <c r="C9059" t="s">
        <v>3079</v>
      </c>
      <c r="D9059" t="str">
        <f>HYPERLINK("http://service.sap.com/sap/support/notes/1857505","1857505")</f>
        <v>1857505</v>
      </c>
      <c r="E9059">
        <v>3</v>
      </c>
      <c r="F9059" t="s">
        <v>10373</v>
      </c>
    </row>
    <row r="9060" spans="1:6" x14ac:dyDescent="0.25">
      <c r="A9060" t="s">
        <v>10927</v>
      </c>
      <c r="B9060" t="s">
        <v>3084</v>
      </c>
      <c r="C9060" t="s">
        <v>3085</v>
      </c>
    </row>
    <row r="9061" spans="1:6" x14ac:dyDescent="0.25">
      <c r="A9061" t="s">
        <v>10927</v>
      </c>
      <c r="B9061" t="s">
        <v>3086</v>
      </c>
      <c r="C9061" t="s">
        <v>3087</v>
      </c>
      <c r="D9061" t="str">
        <f>HYPERLINK("http://service.sap.com/sap/support/notes/1808522","1808522")</f>
        <v>1808522</v>
      </c>
      <c r="E9061">
        <v>2</v>
      </c>
      <c r="F9061" t="s">
        <v>10374</v>
      </c>
    </row>
    <row r="9062" spans="1:6" x14ac:dyDescent="0.25">
      <c r="A9062" t="s">
        <v>10927</v>
      </c>
      <c r="B9062" t="s">
        <v>3086</v>
      </c>
      <c r="C9062" t="s">
        <v>3087</v>
      </c>
      <c r="D9062" t="str">
        <f>HYPERLINK("http://service.sap.com/sap/support/notes/1815673","1815673")</f>
        <v>1815673</v>
      </c>
      <c r="E9062">
        <v>3</v>
      </c>
      <c r="F9062" t="s">
        <v>10375</v>
      </c>
    </row>
    <row r="9063" spans="1:6" x14ac:dyDescent="0.25">
      <c r="A9063" t="s">
        <v>10927</v>
      </c>
      <c r="B9063" t="s">
        <v>3086</v>
      </c>
      <c r="C9063" t="s">
        <v>3087</v>
      </c>
      <c r="D9063" t="str">
        <f>HYPERLINK("http://service.sap.com/sap/support/notes/1818785","1818785")</f>
        <v>1818785</v>
      </c>
      <c r="E9063">
        <v>2</v>
      </c>
      <c r="F9063" t="s">
        <v>10376</v>
      </c>
    </row>
    <row r="9064" spans="1:6" x14ac:dyDescent="0.25">
      <c r="A9064" t="s">
        <v>10927</v>
      </c>
      <c r="B9064" t="s">
        <v>3097</v>
      </c>
      <c r="C9064" t="s">
        <v>1066</v>
      </c>
      <c r="D9064" t="str">
        <f>HYPERLINK("http://service.sap.com/sap/support/notes/1856555","1856555")</f>
        <v>1856555</v>
      </c>
      <c r="E9064">
        <v>1</v>
      </c>
      <c r="F9064" t="s">
        <v>10377</v>
      </c>
    </row>
    <row r="9065" spans="1:6" x14ac:dyDescent="0.25">
      <c r="A9065" t="s">
        <v>10927</v>
      </c>
      <c r="B9065" t="s">
        <v>3103</v>
      </c>
      <c r="C9065" t="s">
        <v>824</v>
      </c>
      <c r="D9065" t="str">
        <f>HYPERLINK("http://service.sap.com/sap/support/notes/1762755","1762755")</f>
        <v>1762755</v>
      </c>
      <c r="E9065">
        <v>1</v>
      </c>
      <c r="F9065" t="s">
        <v>10378</v>
      </c>
    </row>
    <row r="9066" spans="1:6" x14ac:dyDescent="0.25">
      <c r="A9066" t="s">
        <v>10927</v>
      </c>
      <c r="B9066" t="s">
        <v>3106</v>
      </c>
      <c r="C9066" t="s">
        <v>29</v>
      </c>
      <c r="D9066" t="str">
        <f>HYPERLINK("http://service.sap.com/sap/support/notes/1836990","1836990")</f>
        <v>1836990</v>
      </c>
      <c r="E9066">
        <v>2</v>
      </c>
      <c r="F9066" t="s">
        <v>10379</v>
      </c>
    </row>
    <row r="9067" spans="1:6" x14ac:dyDescent="0.25">
      <c r="A9067" t="s">
        <v>10927</v>
      </c>
      <c r="B9067" t="s">
        <v>3108</v>
      </c>
      <c r="C9067" t="s">
        <v>3109</v>
      </c>
    </row>
    <row r="9068" spans="1:6" x14ac:dyDescent="0.25">
      <c r="A9068" t="s">
        <v>10927</v>
      </c>
      <c r="B9068" t="s">
        <v>3116</v>
      </c>
      <c r="C9068" t="s">
        <v>3117</v>
      </c>
      <c r="D9068" t="str">
        <f>HYPERLINK("http://service.sap.com/sap/support/notes/1851724","1851724")</f>
        <v>1851724</v>
      </c>
      <c r="E9068">
        <v>4</v>
      </c>
      <c r="F9068" t="s">
        <v>10380</v>
      </c>
    </row>
    <row r="9069" spans="1:6" x14ac:dyDescent="0.25">
      <c r="A9069" t="s">
        <v>10927</v>
      </c>
      <c r="B9069" t="s">
        <v>3116</v>
      </c>
      <c r="C9069" t="s">
        <v>3117</v>
      </c>
      <c r="D9069" t="str">
        <f>HYPERLINK("http://service.sap.com/sap/support/notes/1853092","1853092")</f>
        <v>1853092</v>
      </c>
      <c r="E9069">
        <v>2</v>
      </c>
      <c r="F9069" t="s">
        <v>10381</v>
      </c>
    </row>
    <row r="9070" spans="1:6" x14ac:dyDescent="0.25">
      <c r="A9070" t="s">
        <v>10927</v>
      </c>
      <c r="B9070" t="s">
        <v>3116</v>
      </c>
      <c r="C9070" t="s">
        <v>3117</v>
      </c>
      <c r="D9070" t="str">
        <f>HYPERLINK("http://service.sap.com/sap/support/notes/1856871","1856871")</f>
        <v>1856871</v>
      </c>
      <c r="E9070">
        <v>2</v>
      </c>
      <c r="F9070" t="s">
        <v>10382</v>
      </c>
    </row>
    <row r="9071" spans="1:6" x14ac:dyDescent="0.25">
      <c r="A9071" t="s">
        <v>10927</v>
      </c>
      <c r="B9071" t="s">
        <v>3116</v>
      </c>
      <c r="C9071" t="s">
        <v>3117</v>
      </c>
      <c r="D9071" t="str">
        <f>HYPERLINK("http://service.sap.com/sap/support/notes/1858086","1858086")</f>
        <v>1858086</v>
      </c>
      <c r="E9071">
        <v>1</v>
      </c>
      <c r="F9071" t="s">
        <v>10383</v>
      </c>
    </row>
    <row r="9072" spans="1:6" x14ac:dyDescent="0.25">
      <c r="A9072" t="s">
        <v>10927</v>
      </c>
      <c r="B9072" t="s">
        <v>3116</v>
      </c>
      <c r="C9072" t="s">
        <v>3117</v>
      </c>
      <c r="D9072" t="str">
        <f>HYPERLINK("http://service.sap.com/sap/support/notes/1859196","1859196")</f>
        <v>1859196</v>
      </c>
      <c r="E9072">
        <v>2</v>
      </c>
      <c r="F9072" t="s">
        <v>10384</v>
      </c>
    </row>
    <row r="9073" spans="1:6" x14ac:dyDescent="0.25">
      <c r="A9073" t="s">
        <v>10927</v>
      </c>
      <c r="B9073" t="s">
        <v>3116</v>
      </c>
      <c r="C9073" t="s">
        <v>3117</v>
      </c>
      <c r="D9073" t="str">
        <f>HYPERLINK("http://service.sap.com/sap/support/notes/1862966","1862966")</f>
        <v>1862966</v>
      </c>
      <c r="E9073">
        <v>3</v>
      </c>
      <c r="F9073" t="s">
        <v>10385</v>
      </c>
    </row>
    <row r="9074" spans="1:6" x14ac:dyDescent="0.25">
      <c r="A9074" t="s">
        <v>10927</v>
      </c>
      <c r="B9074" t="s">
        <v>3124</v>
      </c>
      <c r="C9074" t="s">
        <v>10386</v>
      </c>
      <c r="D9074" t="str">
        <f>HYPERLINK("http://service.sap.com/sap/support/notes/1858362","1858362")</f>
        <v>1858362</v>
      </c>
      <c r="E9074">
        <v>1</v>
      </c>
      <c r="F9074" t="s">
        <v>10387</v>
      </c>
    </row>
    <row r="9075" spans="1:6" x14ac:dyDescent="0.25">
      <c r="A9075" t="s">
        <v>10927</v>
      </c>
      <c r="B9075" t="s">
        <v>3126</v>
      </c>
      <c r="C9075" t="s">
        <v>2400</v>
      </c>
      <c r="D9075" t="str">
        <f>HYPERLINK("http://service.sap.com/sap/support/notes/1801897","1801897")</f>
        <v>1801897</v>
      </c>
      <c r="E9075">
        <v>3</v>
      </c>
      <c r="F9075" t="s">
        <v>10388</v>
      </c>
    </row>
    <row r="9076" spans="1:6" x14ac:dyDescent="0.25">
      <c r="A9076" t="s">
        <v>10927</v>
      </c>
      <c r="B9076" t="s">
        <v>3126</v>
      </c>
      <c r="C9076" t="s">
        <v>2400</v>
      </c>
      <c r="D9076" t="str">
        <f>HYPERLINK("http://service.sap.com/sap/support/notes/1802998","1802998")</f>
        <v>1802998</v>
      </c>
      <c r="E9076">
        <v>5</v>
      </c>
      <c r="F9076" t="s">
        <v>10389</v>
      </c>
    </row>
    <row r="9077" spans="1:6" x14ac:dyDescent="0.25">
      <c r="A9077" t="s">
        <v>10927</v>
      </c>
      <c r="B9077" t="s">
        <v>3126</v>
      </c>
      <c r="C9077" t="s">
        <v>2400</v>
      </c>
      <c r="D9077" t="str">
        <f>HYPERLINK("http://service.sap.com/sap/support/notes/1836906","1836906")</f>
        <v>1836906</v>
      </c>
      <c r="E9077">
        <v>4</v>
      </c>
      <c r="F9077" t="s">
        <v>10390</v>
      </c>
    </row>
    <row r="9078" spans="1:6" x14ac:dyDescent="0.25">
      <c r="A9078" t="s">
        <v>10927</v>
      </c>
      <c r="B9078" t="s">
        <v>3130</v>
      </c>
      <c r="C9078" t="s">
        <v>3131</v>
      </c>
      <c r="D9078" t="str">
        <f>HYPERLINK("http://service.sap.com/sap/support/notes/1828317","1828317")</f>
        <v>1828317</v>
      </c>
      <c r="E9078">
        <v>1</v>
      </c>
      <c r="F9078" t="s">
        <v>10391</v>
      </c>
    </row>
    <row r="9079" spans="1:6" x14ac:dyDescent="0.25">
      <c r="A9079" t="s">
        <v>10927</v>
      </c>
      <c r="B9079" t="s">
        <v>3130</v>
      </c>
      <c r="C9079" t="s">
        <v>3131</v>
      </c>
      <c r="D9079" t="str">
        <f>HYPERLINK("http://service.sap.com/sap/support/notes/1853064","1853064")</f>
        <v>1853064</v>
      </c>
      <c r="E9079">
        <v>2</v>
      </c>
      <c r="F9079" t="s">
        <v>10392</v>
      </c>
    </row>
    <row r="9080" spans="1:6" x14ac:dyDescent="0.25">
      <c r="A9080" t="s">
        <v>10927</v>
      </c>
      <c r="B9080" t="s">
        <v>10393</v>
      </c>
      <c r="C9080" t="s">
        <v>10394</v>
      </c>
      <c r="D9080" t="str">
        <f>HYPERLINK("http://service.sap.com/sap/support/notes/1844697","1844697")</f>
        <v>1844697</v>
      </c>
      <c r="E9080">
        <v>3</v>
      </c>
      <c r="F9080" t="s">
        <v>10395</v>
      </c>
    </row>
    <row r="9081" spans="1:6" x14ac:dyDescent="0.25">
      <c r="A9081" t="s">
        <v>10927</v>
      </c>
      <c r="B9081" t="s">
        <v>3134</v>
      </c>
      <c r="C9081" t="s">
        <v>3135</v>
      </c>
    </row>
    <row r="9082" spans="1:6" x14ac:dyDescent="0.25">
      <c r="A9082" t="s">
        <v>10927</v>
      </c>
      <c r="B9082" t="s">
        <v>10396</v>
      </c>
      <c r="C9082" t="s">
        <v>10397</v>
      </c>
      <c r="D9082" t="str">
        <f>HYPERLINK("http://service.sap.com/sap/support/notes/1816689","1816689")</f>
        <v>1816689</v>
      </c>
      <c r="E9082">
        <v>2</v>
      </c>
    </row>
    <row r="9083" spans="1:6" x14ac:dyDescent="0.25">
      <c r="A9083" t="s">
        <v>10927</v>
      </c>
      <c r="B9083" t="s">
        <v>3142</v>
      </c>
      <c r="C9083" t="s">
        <v>3143</v>
      </c>
    </row>
    <row r="9084" spans="1:6" x14ac:dyDescent="0.25">
      <c r="A9084" t="s">
        <v>10927</v>
      </c>
      <c r="B9084" t="s">
        <v>3144</v>
      </c>
      <c r="C9084" t="s">
        <v>3145</v>
      </c>
      <c r="D9084" t="str">
        <f>HYPERLINK("http://service.sap.com/sap/support/notes/1830083","1830083")</f>
        <v>1830083</v>
      </c>
      <c r="E9084">
        <v>2</v>
      </c>
      <c r="F9084" t="s">
        <v>10398</v>
      </c>
    </row>
    <row r="9085" spans="1:6" x14ac:dyDescent="0.25">
      <c r="A9085" t="s">
        <v>10927</v>
      </c>
      <c r="B9085" t="s">
        <v>3144</v>
      </c>
      <c r="C9085" t="s">
        <v>3145</v>
      </c>
      <c r="D9085" t="str">
        <f>HYPERLINK("http://service.sap.com/sap/support/notes/1853063","1853063")</f>
        <v>1853063</v>
      </c>
      <c r="E9085">
        <v>1</v>
      </c>
      <c r="F9085" t="s">
        <v>10399</v>
      </c>
    </row>
    <row r="9086" spans="1:6" x14ac:dyDescent="0.25">
      <c r="A9086" t="s">
        <v>10927</v>
      </c>
      <c r="B9086" t="s">
        <v>3144</v>
      </c>
      <c r="C9086" t="s">
        <v>3145</v>
      </c>
      <c r="D9086" t="str">
        <f>HYPERLINK("http://service.sap.com/sap/support/notes/1853681","1853681")</f>
        <v>1853681</v>
      </c>
      <c r="E9086">
        <v>1</v>
      </c>
      <c r="F9086" t="s">
        <v>10400</v>
      </c>
    </row>
    <row r="9087" spans="1:6" x14ac:dyDescent="0.25">
      <c r="A9087" t="s">
        <v>10927</v>
      </c>
      <c r="B9087" t="s">
        <v>3150</v>
      </c>
      <c r="C9087" t="s">
        <v>3151</v>
      </c>
    </row>
    <row r="9088" spans="1:6" x14ac:dyDescent="0.25">
      <c r="A9088" t="s">
        <v>10927</v>
      </c>
      <c r="B9088" t="s">
        <v>3153</v>
      </c>
      <c r="C9088" t="s">
        <v>3154</v>
      </c>
      <c r="D9088" t="str">
        <f>HYPERLINK("http://service.sap.com/sap/support/notes/1841474","1841474")</f>
        <v>1841474</v>
      </c>
      <c r="E9088">
        <v>2</v>
      </c>
      <c r="F9088" t="s">
        <v>10401</v>
      </c>
    </row>
    <row r="9089" spans="1:6" x14ac:dyDescent="0.25">
      <c r="A9089" t="s">
        <v>10927</v>
      </c>
      <c r="B9089" t="s">
        <v>3153</v>
      </c>
      <c r="C9089" t="s">
        <v>3154</v>
      </c>
      <c r="D9089" t="str">
        <f>HYPERLINK("http://service.sap.com/sap/support/notes/1849549","1849549")</f>
        <v>1849549</v>
      </c>
      <c r="E9089">
        <v>2</v>
      </c>
      <c r="F9089" t="s">
        <v>10402</v>
      </c>
    </row>
    <row r="9090" spans="1:6" x14ac:dyDescent="0.25">
      <c r="A9090" t="s">
        <v>10927</v>
      </c>
      <c r="B9090" t="s">
        <v>3153</v>
      </c>
      <c r="C9090" t="s">
        <v>3154</v>
      </c>
      <c r="D9090" t="str">
        <f>HYPERLINK("http://service.sap.com/sap/support/notes/1849848","1849848")</f>
        <v>1849848</v>
      </c>
      <c r="E9090">
        <v>2</v>
      </c>
      <c r="F9090" t="s">
        <v>10403</v>
      </c>
    </row>
    <row r="9091" spans="1:6" x14ac:dyDescent="0.25">
      <c r="A9091" t="s">
        <v>10927</v>
      </c>
      <c r="B9091" t="s">
        <v>3153</v>
      </c>
      <c r="C9091" t="s">
        <v>3154</v>
      </c>
      <c r="D9091" t="str">
        <f>HYPERLINK("http://service.sap.com/sap/support/notes/1862788","1862788")</f>
        <v>1862788</v>
      </c>
      <c r="E9091">
        <v>1</v>
      </c>
      <c r="F9091" t="s">
        <v>10404</v>
      </c>
    </row>
    <row r="9092" spans="1:6" x14ac:dyDescent="0.25">
      <c r="A9092" t="s">
        <v>10927</v>
      </c>
      <c r="B9092" t="s">
        <v>3156</v>
      </c>
      <c r="C9092" t="s">
        <v>3157</v>
      </c>
      <c r="D9092" t="str">
        <f>HYPERLINK("http://service.sap.com/sap/support/notes/1818455","1818455")</f>
        <v>1818455</v>
      </c>
      <c r="E9092">
        <v>3</v>
      </c>
      <c r="F9092" t="s">
        <v>10405</v>
      </c>
    </row>
    <row r="9093" spans="1:6" x14ac:dyDescent="0.25">
      <c r="A9093" t="s">
        <v>10927</v>
      </c>
      <c r="B9093" t="s">
        <v>3156</v>
      </c>
      <c r="C9093" t="s">
        <v>3157</v>
      </c>
      <c r="D9093" t="str">
        <f>HYPERLINK("http://service.sap.com/sap/support/notes/1830942","1830942")</f>
        <v>1830942</v>
      </c>
      <c r="E9093">
        <v>2</v>
      </c>
      <c r="F9093" t="s">
        <v>8294</v>
      </c>
    </row>
    <row r="9094" spans="1:6" x14ac:dyDescent="0.25">
      <c r="A9094" t="s">
        <v>10927</v>
      </c>
      <c r="B9094" t="s">
        <v>3156</v>
      </c>
      <c r="C9094" t="s">
        <v>3157</v>
      </c>
      <c r="D9094" t="str">
        <f>HYPERLINK("http://service.sap.com/sap/support/notes/1842576","1842576")</f>
        <v>1842576</v>
      </c>
      <c r="E9094">
        <v>2</v>
      </c>
      <c r="F9094" t="s">
        <v>10406</v>
      </c>
    </row>
    <row r="9095" spans="1:6" x14ac:dyDescent="0.25">
      <c r="A9095" t="s">
        <v>10927</v>
      </c>
      <c r="B9095" t="s">
        <v>3156</v>
      </c>
      <c r="C9095" t="s">
        <v>3157</v>
      </c>
      <c r="D9095" t="str">
        <f>HYPERLINK("http://service.sap.com/sap/support/notes/1845444","1845444")</f>
        <v>1845444</v>
      </c>
      <c r="E9095">
        <v>2</v>
      </c>
      <c r="F9095" t="s">
        <v>10407</v>
      </c>
    </row>
    <row r="9096" spans="1:6" x14ac:dyDescent="0.25">
      <c r="A9096" t="s">
        <v>10927</v>
      </c>
      <c r="B9096" t="s">
        <v>5815</v>
      </c>
      <c r="C9096" t="s">
        <v>5816</v>
      </c>
      <c r="D9096" t="str">
        <f>HYPERLINK("http://service.sap.com/sap/support/notes/1821734","1821734")</f>
        <v>1821734</v>
      </c>
      <c r="E9096">
        <v>3</v>
      </c>
      <c r="F9096" t="s">
        <v>10408</v>
      </c>
    </row>
    <row r="9097" spans="1:6" x14ac:dyDescent="0.25">
      <c r="A9097" t="s">
        <v>10927</v>
      </c>
      <c r="B9097" t="s">
        <v>5819</v>
      </c>
      <c r="C9097" t="s">
        <v>5820</v>
      </c>
      <c r="D9097" t="str">
        <f>HYPERLINK("http://service.sap.com/sap/support/notes/1853494","1853494")</f>
        <v>1853494</v>
      </c>
      <c r="E9097">
        <v>1</v>
      </c>
      <c r="F9097" t="s">
        <v>10409</v>
      </c>
    </row>
    <row r="9098" spans="1:6" x14ac:dyDescent="0.25">
      <c r="A9098" t="s">
        <v>10927</v>
      </c>
      <c r="B9098" t="s">
        <v>3163</v>
      </c>
      <c r="C9098" t="s">
        <v>3164</v>
      </c>
      <c r="D9098" t="str">
        <f>HYPERLINK("http://service.sap.com/sap/support/notes/1656126","1656126")</f>
        <v>1656126</v>
      </c>
      <c r="E9098">
        <v>2</v>
      </c>
      <c r="F9098" t="s">
        <v>10410</v>
      </c>
    </row>
    <row r="9099" spans="1:6" x14ac:dyDescent="0.25">
      <c r="A9099" t="s">
        <v>10927</v>
      </c>
      <c r="B9099" t="s">
        <v>3163</v>
      </c>
      <c r="C9099" t="s">
        <v>3164</v>
      </c>
      <c r="D9099" t="str">
        <f>HYPERLINK("http://service.sap.com/sap/support/notes/1831535","1831535")</f>
        <v>1831535</v>
      </c>
      <c r="E9099">
        <v>2</v>
      </c>
      <c r="F9099" t="s">
        <v>10411</v>
      </c>
    </row>
    <row r="9100" spans="1:6" x14ac:dyDescent="0.25">
      <c r="A9100" t="s">
        <v>10927</v>
      </c>
      <c r="B9100" t="s">
        <v>3163</v>
      </c>
      <c r="C9100" t="s">
        <v>3164</v>
      </c>
      <c r="D9100" t="str">
        <f>HYPERLINK("http://service.sap.com/sap/support/notes/1833772","1833772")</f>
        <v>1833772</v>
      </c>
      <c r="E9100">
        <v>2</v>
      </c>
      <c r="F9100" t="s">
        <v>10412</v>
      </c>
    </row>
    <row r="9101" spans="1:6" x14ac:dyDescent="0.25">
      <c r="A9101" t="s">
        <v>10927</v>
      </c>
      <c r="B9101" t="s">
        <v>3171</v>
      </c>
      <c r="C9101" t="s">
        <v>3172</v>
      </c>
    </row>
    <row r="9102" spans="1:6" x14ac:dyDescent="0.25">
      <c r="A9102" t="s">
        <v>10927</v>
      </c>
      <c r="B9102" t="s">
        <v>3174</v>
      </c>
      <c r="C9102" t="s">
        <v>1588</v>
      </c>
    </row>
    <row r="9103" spans="1:6" x14ac:dyDescent="0.25">
      <c r="A9103" t="s">
        <v>10927</v>
      </c>
      <c r="B9103" t="s">
        <v>5826</v>
      </c>
      <c r="C9103" t="s">
        <v>5827</v>
      </c>
      <c r="D9103" t="str">
        <f>HYPERLINK("http://service.sap.com/sap/support/notes/1834497","1834497")</f>
        <v>1834497</v>
      </c>
      <c r="E9103">
        <v>6</v>
      </c>
      <c r="F9103" t="s">
        <v>10413</v>
      </c>
    </row>
    <row r="9104" spans="1:6" x14ac:dyDescent="0.25">
      <c r="A9104" t="s">
        <v>10927</v>
      </c>
      <c r="B9104" t="s">
        <v>5826</v>
      </c>
      <c r="C9104" t="s">
        <v>5827</v>
      </c>
      <c r="D9104" t="str">
        <f>HYPERLINK("http://service.sap.com/sap/support/notes/1862897","1862897")</f>
        <v>1862897</v>
      </c>
      <c r="E9104">
        <v>1</v>
      </c>
      <c r="F9104" t="s">
        <v>10414</v>
      </c>
    </row>
    <row r="9105" spans="1:6" x14ac:dyDescent="0.25">
      <c r="A9105" t="s">
        <v>10927</v>
      </c>
      <c r="B9105" t="s">
        <v>3185</v>
      </c>
      <c r="C9105" t="s">
        <v>3186</v>
      </c>
      <c r="D9105" t="str">
        <f>HYPERLINK("http://service.sap.com/sap/support/notes/1779051","1779051")</f>
        <v>1779051</v>
      </c>
      <c r="E9105">
        <v>2</v>
      </c>
      <c r="F9105" t="s">
        <v>10415</v>
      </c>
    </row>
    <row r="9106" spans="1:6" x14ac:dyDescent="0.25">
      <c r="A9106" t="s">
        <v>10927</v>
      </c>
      <c r="B9106" t="s">
        <v>3185</v>
      </c>
      <c r="C9106" t="s">
        <v>3186</v>
      </c>
      <c r="D9106" t="str">
        <f>HYPERLINK("http://service.sap.com/sap/support/notes/1819122","1819122")</f>
        <v>1819122</v>
      </c>
      <c r="E9106">
        <v>2</v>
      </c>
      <c r="F9106" t="s">
        <v>10416</v>
      </c>
    </row>
    <row r="9107" spans="1:6" x14ac:dyDescent="0.25">
      <c r="A9107" t="s">
        <v>10927</v>
      </c>
      <c r="B9107" t="s">
        <v>3185</v>
      </c>
      <c r="C9107" t="s">
        <v>3186</v>
      </c>
      <c r="D9107" t="str">
        <f>HYPERLINK("http://service.sap.com/sap/support/notes/1824230","1824230")</f>
        <v>1824230</v>
      </c>
      <c r="E9107">
        <v>2</v>
      </c>
      <c r="F9107" t="s">
        <v>10417</v>
      </c>
    </row>
    <row r="9108" spans="1:6" x14ac:dyDescent="0.25">
      <c r="A9108" t="s">
        <v>10927</v>
      </c>
      <c r="B9108" t="s">
        <v>3185</v>
      </c>
      <c r="C9108" t="s">
        <v>3186</v>
      </c>
      <c r="D9108" t="str">
        <f>HYPERLINK("http://service.sap.com/sap/support/notes/1831402","1831402")</f>
        <v>1831402</v>
      </c>
      <c r="E9108">
        <v>3</v>
      </c>
      <c r="F9108" t="s">
        <v>10418</v>
      </c>
    </row>
    <row r="9109" spans="1:6" x14ac:dyDescent="0.25">
      <c r="A9109" t="s">
        <v>10927</v>
      </c>
      <c r="B9109" t="s">
        <v>3185</v>
      </c>
      <c r="C9109" t="s">
        <v>3186</v>
      </c>
      <c r="D9109" t="str">
        <f>HYPERLINK("http://service.sap.com/sap/support/notes/1836440","1836440")</f>
        <v>1836440</v>
      </c>
      <c r="E9109">
        <v>2</v>
      </c>
      <c r="F9109" t="s">
        <v>10419</v>
      </c>
    </row>
    <row r="9110" spans="1:6" x14ac:dyDescent="0.25">
      <c r="A9110" t="s">
        <v>10927</v>
      </c>
      <c r="B9110" t="s">
        <v>3185</v>
      </c>
      <c r="C9110" t="s">
        <v>3186</v>
      </c>
      <c r="D9110" t="str">
        <f>HYPERLINK("http://service.sap.com/sap/support/notes/1852787","1852787")</f>
        <v>1852787</v>
      </c>
      <c r="E9110">
        <v>1</v>
      </c>
      <c r="F9110" t="s">
        <v>10420</v>
      </c>
    </row>
    <row r="9111" spans="1:6" x14ac:dyDescent="0.25">
      <c r="A9111" t="s">
        <v>10927</v>
      </c>
      <c r="B9111" t="s">
        <v>3185</v>
      </c>
      <c r="C9111" t="s">
        <v>3186</v>
      </c>
      <c r="D9111" t="str">
        <f>HYPERLINK("http://service.sap.com/sap/support/notes/1856781","1856781")</f>
        <v>1856781</v>
      </c>
      <c r="E9111">
        <v>2</v>
      </c>
      <c r="F9111" t="s">
        <v>10421</v>
      </c>
    </row>
    <row r="9112" spans="1:6" x14ac:dyDescent="0.25">
      <c r="A9112" t="s">
        <v>10927</v>
      </c>
      <c r="B9112" t="s">
        <v>3185</v>
      </c>
      <c r="C9112" t="s">
        <v>3186</v>
      </c>
      <c r="D9112" t="str">
        <f>HYPERLINK("http://service.sap.com/sap/support/notes/1862794","1862794")</f>
        <v>1862794</v>
      </c>
      <c r="E9112">
        <v>4</v>
      </c>
      <c r="F9112" t="s">
        <v>10422</v>
      </c>
    </row>
    <row r="9113" spans="1:6" x14ac:dyDescent="0.25">
      <c r="A9113" t="s">
        <v>10927</v>
      </c>
      <c r="B9113" t="s">
        <v>3195</v>
      </c>
      <c r="C9113" t="s">
        <v>3196</v>
      </c>
    </row>
    <row r="9114" spans="1:6" x14ac:dyDescent="0.25">
      <c r="A9114" t="s">
        <v>10927</v>
      </c>
      <c r="B9114" t="s">
        <v>8325</v>
      </c>
      <c r="C9114" t="s">
        <v>8326</v>
      </c>
    </row>
    <row r="9115" spans="1:6" x14ac:dyDescent="0.25">
      <c r="A9115" t="s">
        <v>10927</v>
      </c>
      <c r="B9115" t="s">
        <v>10423</v>
      </c>
      <c r="C9115" t="s">
        <v>2512</v>
      </c>
      <c r="D9115" t="str">
        <f>HYPERLINK("http://service.sap.com/sap/support/notes/1858704","1858704")</f>
        <v>1858704</v>
      </c>
      <c r="E9115">
        <v>3</v>
      </c>
      <c r="F9115" t="s">
        <v>10424</v>
      </c>
    </row>
    <row r="9116" spans="1:6" x14ac:dyDescent="0.25">
      <c r="A9116" t="s">
        <v>10927</v>
      </c>
      <c r="B9116" t="s">
        <v>10425</v>
      </c>
      <c r="C9116" t="s">
        <v>3207</v>
      </c>
      <c r="D9116" t="str">
        <f>HYPERLINK("http://service.sap.com/sap/support/notes/1831019","1831019")</f>
        <v>1831019</v>
      </c>
      <c r="E9116">
        <v>1</v>
      </c>
      <c r="F9116" t="s">
        <v>10426</v>
      </c>
    </row>
    <row r="9117" spans="1:6" x14ac:dyDescent="0.25">
      <c r="A9117" t="s">
        <v>10927</v>
      </c>
      <c r="B9117" t="s">
        <v>10425</v>
      </c>
      <c r="C9117" t="s">
        <v>3207</v>
      </c>
      <c r="D9117" t="str">
        <f>HYPERLINK("http://service.sap.com/sap/support/notes/1847880","1847880")</f>
        <v>1847880</v>
      </c>
      <c r="E9117">
        <v>1</v>
      </c>
      <c r="F9117" t="s">
        <v>10427</v>
      </c>
    </row>
    <row r="9118" spans="1:6" x14ac:dyDescent="0.25">
      <c r="A9118" t="s">
        <v>10927</v>
      </c>
      <c r="B9118" t="s">
        <v>3204</v>
      </c>
      <c r="C9118" t="s">
        <v>3205</v>
      </c>
      <c r="D9118" t="str">
        <f>HYPERLINK("http://service.sap.com/sap/support/notes/1859111","1859111")</f>
        <v>1859111</v>
      </c>
      <c r="E9118">
        <v>1</v>
      </c>
      <c r="F9118" t="s">
        <v>10428</v>
      </c>
    </row>
    <row r="9119" spans="1:6" x14ac:dyDescent="0.25">
      <c r="A9119" t="s">
        <v>10927</v>
      </c>
      <c r="B9119" t="s">
        <v>10429</v>
      </c>
      <c r="C9119" t="s">
        <v>10430</v>
      </c>
      <c r="D9119" t="str">
        <f>HYPERLINK("http://service.sap.com/sap/support/notes/1842537","1842537")</f>
        <v>1842537</v>
      </c>
      <c r="E9119">
        <v>2</v>
      </c>
      <c r="F9119" t="s">
        <v>10431</v>
      </c>
    </row>
    <row r="9120" spans="1:6" x14ac:dyDescent="0.25">
      <c r="A9120" t="s">
        <v>10927</v>
      </c>
      <c r="B9120" t="s">
        <v>3215</v>
      </c>
      <c r="C9120" t="s">
        <v>3216</v>
      </c>
    </row>
    <row r="9121" spans="1:6" x14ac:dyDescent="0.25">
      <c r="A9121" t="s">
        <v>10927</v>
      </c>
      <c r="B9121" t="s">
        <v>3217</v>
      </c>
      <c r="C9121" t="s">
        <v>3218</v>
      </c>
    </row>
    <row r="9122" spans="1:6" x14ac:dyDescent="0.25">
      <c r="A9122" t="s">
        <v>10927</v>
      </c>
      <c r="B9122" t="s">
        <v>3219</v>
      </c>
      <c r="C9122" t="s">
        <v>8330</v>
      </c>
      <c r="D9122" t="str">
        <f>HYPERLINK("http://service.sap.com/sap/support/notes/1795432","1795432")</f>
        <v>1795432</v>
      </c>
      <c r="E9122">
        <v>20</v>
      </c>
      <c r="F9122" t="s">
        <v>10432</v>
      </c>
    </row>
    <row r="9123" spans="1:6" x14ac:dyDescent="0.25">
      <c r="A9123" t="s">
        <v>10927</v>
      </c>
      <c r="B9123" t="s">
        <v>3219</v>
      </c>
      <c r="C9123" t="s">
        <v>8330</v>
      </c>
      <c r="D9123" t="str">
        <f>HYPERLINK("http://service.sap.com/sap/support/notes/1823553","1823553")</f>
        <v>1823553</v>
      </c>
      <c r="E9123">
        <v>2</v>
      </c>
      <c r="F9123" t="s">
        <v>10433</v>
      </c>
    </row>
    <row r="9124" spans="1:6" x14ac:dyDescent="0.25">
      <c r="A9124" t="s">
        <v>10927</v>
      </c>
      <c r="B9124" t="s">
        <v>10434</v>
      </c>
      <c r="C9124" t="s">
        <v>10435</v>
      </c>
    </row>
    <row r="9125" spans="1:6" x14ac:dyDescent="0.25">
      <c r="A9125" t="s">
        <v>10927</v>
      </c>
      <c r="B9125" t="s">
        <v>10436</v>
      </c>
      <c r="C9125" t="s">
        <v>2516</v>
      </c>
      <c r="D9125" t="str">
        <f>HYPERLINK("http://service.sap.com/sap/support/notes/1819502","1819502")</f>
        <v>1819502</v>
      </c>
      <c r="E9125">
        <v>4</v>
      </c>
      <c r="F9125" t="s">
        <v>10437</v>
      </c>
    </row>
    <row r="9126" spans="1:6" x14ac:dyDescent="0.25">
      <c r="A9126" t="s">
        <v>10927</v>
      </c>
      <c r="B9126" t="s">
        <v>10438</v>
      </c>
      <c r="C9126" t="s">
        <v>3247</v>
      </c>
    </row>
    <row r="9127" spans="1:6" x14ac:dyDescent="0.25">
      <c r="A9127" t="s">
        <v>10927</v>
      </c>
      <c r="B9127" t="s">
        <v>10439</v>
      </c>
      <c r="C9127" t="s">
        <v>10440</v>
      </c>
      <c r="D9127" t="str">
        <f>HYPERLINK("http://service.sap.com/sap/support/notes/1858931","1858931")</f>
        <v>1858931</v>
      </c>
      <c r="E9127">
        <v>3</v>
      </c>
      <c r="F9127" t="s">
        <v>10441</v>
      </c>
    </row>
    <row r="9128" spans="1:6" x14ac:dyDescent="0.25">
      <c r="A9128" t="s">
        <v>10927</v>
      </c>
      <c r="B9128" t="s">
        <v>3231</v>
      </c>
      <c r="C9128" t="s">
        <v>1784</v>
      </c>
      <c r="D9128" t="str">
        <f>HYPERLINK("http://service.sap.com/sap/support/notes/1860436","1860436")</f>
        <v>1860436</v>
      </c>
      <c r="E9128">
        <v>3</v>
      </c>
      <c r="F9128" t="s">
        <v>10442</v>
      </c>
    </row>
    <row r="9129" spans="1:6" x14ac:dyDescent="0.25">
      <c r="A9129" t="s">
        <v>10927</v>
      </c>
      <c r="B9129" t="s">
        <v>3233</v>
      </c>
      <c r="C9129" t="s">
        <v>3234</v>
      </c>
    </row>
    <row r="9130" spans="1:6" x14ac:dyDescent="0.25">
      <c r="A9130" t="s">
        <v>10927</v>
      </c>
      <c r="B9130" t="s">
        <v>5882</v>
      </c>
      <c r="C9130" t="s">
        <v>1638</v>
      </c>
      <c r="D9130" t="str">
        <f>HYPERLINK("http://service.sap.com/sap/support/notes/1810723","1810723")</f>
        <v>1810723</v>
      </c>
      <c r="E9130">
        <v>3</v>
      </c>
      <c r="F9130" t="s">
        <v>10443</v>
      </c>
    </row>
    <row r="9131" spans="1:6" x14ac:dyDescent="0.25">
      <c r="A9131" t="s">
        <v>10927</v>
      </c>
      <c r="B9131" t="s">
        <v>3238</v>
      </c>
      <c r="C9131" t="s">
        <v>3239</v>
      </c>
      <c r="D9131" t="str">
        <f>HYPERLINK("http://service.sap.com/sap/support/notes/1826360","1826360")</f>
        <v>1826360</v>
      </c>
      <c r="E9131">
        <v>2</v>
      </c>
      <c r="F9131" t="s">
        <v>10444</v>
      </c>
    </row>
    <row r="9132" spans="1:6" x14ac:dyDescent="0.25">
      <c r="A9132" t="s">
        <v>10927</v>
      </c>
      <c r="B9132" t="s">
        <v>3238</v>
      </c>
      <c r="C9132" t="s">
        <v>3239</v>
      </c>
      <c r="D9132" t="str">
        <f>HYPERLINK("http://service.sap.com/sap/support/notes/1839578","1839578")</f>
        <v>1839578</v>
      </c>
      <c r="E9132">
        <v>2</v>
      </c>
      <c r="F9132" t="s">
        <v>10445</v>
      </c>
    </row>
    <row r="9133" spans="1:6" x14ac:dyDescent="0.25">
      <c r="A9133" t="s">
        <v>10927</v>
      </c>
      <c r="B9133" t="s">
        <v>3241</v>
      </c>
      <c r="C9133" t="s">
        <v>3242</v>
      </c>
      <c r="D9133" t="str">
        <f>HYPERLINK("http://service.sap.com/sap/support/notes/1857772","1857772")</f>
        <v>1857772</v>
      </c>
      <c r="E9133">
        <v>1</v>
      </c>
      <c r="F9133" t="s">
        <v>10446</v>
      </c>
    </row>
    <row r="9134" spans="1:6" x14ac:dyDescent="0.25">
      <c r="A9134" t="s">
        <v>10927</v>
      </c>
      <c r="B9134" t="s">
        <v>3241</v>
      </c>
      <c r="C9134" t="s">
        <v>3242</v>
      </c>
      <c r="D9134" t="str">
        <f>HYPERLINK("http://service.sap.com/sap/support/notes/1861697","1861697")</f>
        <v>1861697</v>
      </c>
      <c r="E9134">
        <v>1</v>
      </c>
      <c r="F9134" t="s">
        <v>10447</v>
      </c>
    </row>
    <row r="9135" spans="1:6" x14ac:dyDescent="0.25">
      <c r="A9135" t="s">
        <v>10927</v>
      </c>
      <c r="B9135" t="s">
        <v>8346</v>
      </c>
      <c r="C9135" t="s">
        <v>8347</v>
      </c>
      <c r="D9135" t="str">
        <f>HYPERLINK("http://service.sap.com/sap/support/notes/1851524","1851524")</f>
        <v>1851524</v>
      </c>
      <c r="E9135">
        <v>1</v>
      </c>
      <c r="F9135" t="s">
        <v>10448</v>
      </c>
    </row>
    <row r="9136" spans="1:6" x14ac:dyDescent="0.25">
      <c r="A9136" t="s">
        <v>10927</v>
      </c>
      <c r="B9136" t="s">
        <v>3251</v>
      </c>
      <c r="C9136" t="s">
        <v>29</v>
      </c>
    </row>
    <row r="9137" spans="1:6" x14ac:dyDescent="0.25">
      <c r="A9137" t="s">
        <v>10927</v>
      </c>
      <c r="B9137" t="s">
        <v>3252</v>
      </c>
      <c r="C9137" t="s">
        <v>3253</v>
      </c>
      <c r="D9137" t="str">
        <f>HYPERLINK("http://service.sap.com/sap/support/notes/1831241","1831241")</f>
        <v>1831241</v>
      </c>
      <c r="E9137">
        <v>3</v>
      </c>
      <c r="F9137" t="s">
        <v>10449</v>
      </c>
    </row>
    <row r="9138" spans="1:6" x14ac:dyDescent="0.25">
      <c r="A9138" t="s">
        <v>10927</v>
      </c>
      <c r="B9138" t="s">
        <v>3252</v>
      </c>
      <c r="C9138" t="s">
        <v>3253</v>
      </c>
      <c r="D9138" t="str">
        <f>HYPERLINK("http://service.sap.com/sap/support/notes/1835666","1835666")</f>
        <v>1835666</v>
      </c>
      <c r="E9138">
        <v>4</v>
      </c>
      <c r="F9138" t="s">
        <v>10450</v>
      </c>
    </row>
    <row r="9139" spans="1:6" x14ac:dyDescent="0.25">
      <c r="A9139" t="s">
        <v>10927</v>
      </c>
      <c r="B9139" t="s">
        <v>3252</v>
      </c>
      <c r="C9139" t="s">
        <v>3253</v>
      </c>
      <c r="D9139" t="str">
        <f>HYPERLINK("http://service.sap.com/sap/support/notes/1838129","1838129")</f>
        <v>1838129</v>
      </c>
      <c r="E9139">
        <v>3</v>
      </c>
      <c r="F9139" t="s">
        <v>10451</v>
      </c>
    </row>
    <row r="9140" spans="1:6" x14ac:dyDescent="0.25">
      <c r="A9140" t="s">
        <v>10927</v>
      </c>
      <c r="B9140" t="s">
        <v>3252</v>
      </c>
      <c r="C9140" t="s">
        <v>3253</v>
      </c>
      <c r="D9140" t="str">
        <f>HYPERLINK("http://service.sap.com/sap/support/notes/1842807","1842807")</f>
        <v>1842807</v>
      </c>
      <c r="E9140">
        <v>2</v>
      </c>
      <c r="F9140" t="s">
        <v>10452</v>
      </c>
    </row>
    <row r="9141" spans="1:6" x14ac:dyDescent="0.25">
      <c r="A9141" t="s">
        <v>10927</v>
      </c>
      <c r="B9141" t="s">
        <v>3252</v>
      </c>
      <c r="C9141" t="s">
        <v>3253</v>
      </c>
      <c r="D9141" t="str">
        <f>HYPERLINK("http://service.sap.com/sap/support/notes/1844349","1844349")</f>
        <v>1844349</v>
      </c>
      <c r="E9141">
        <v>2</v>
      </c>
      <c r="F9141" t="s">
        <v>10453</v>
      </c>
    </row>
    <row r="9142" spans="1:6" x14ac:dyDescent="0.25">
      <c r="A9142" t="s">
        <v>10927</v>
      </c>
      <c r="B9142" t="s">
        <v>3252</v>
      </c>
      <c r="C9142" t="s">
        <v>3253</v>
      </c>
      <c r="D9142" t="str">
        <f>HYPERLINK("http://service.sap.com/sap/support/notes/1847148","1847148")</f>
        <v>1847148</v>
      </c>
      <c r="E9142">
        <v>1</v>
      </c>
      <c r="F9142" t="s">
        <v>10454</v>
      </c>
    </row>
    <row r="9143" spans="1:6" x14ac:dyDescent="0.25">
      <c r="A9143" t="s">
        <v>10927</v>
      </c>
      <c r="B9143" t="s">
        <v>3252</v>
      </c>
      <c r="C9143" t="s">
        <v>3253</v>
      </c>
      <c r="D9143" t="str">
        <f>HYPERLINK("http://service.sap.com/sap/support/notes/1850134","1850134")</f>
        <v>1850134</v>
      </c>
      <c r="E9143">
        <v>1</v>
      </c>
      <c r="F9143" t="s">
        <v>10455</v>
      </c>
    </row>
    <row r="9144" spans="1:6" x14ac:dyDescent="0.25">
      <c r="A9144" t="s">
        <v>10927</v>
      </c>
      <c r="B9144" t="s">
        <v>3252</v>
      </c>
      <c r="C9144" t="s">
        <v>3253</v>
      </c>
      <c r="D9144" t="str">
        <f>HYPERLINK("http://service.sap.com/sap/support/notes/1852973","1852973")</f>
        <v>1852973</v>
      </c>
      <c r="E9144">
        <v>3</v>
      </c>
      <c r="F9144" t="s">
        <v>10456</v>
      </c>
    </row>
    <row r="9145" spans="1:6" x14ac:dyDescent="0.25">
      <c r="A9145" t="s">
        <v>10927</v>
      </c>
      <c r="B9145" t="s">
        <v>3252</v>
      </c>
      <c r="C9145" t="s">
        <v>3253</v>
      </c>
      <c r="D9145" t="str">
        <f>HYPERLINK("http://service.sap.com/sap/support/notes/1854528","1854528")</f>
        <v>1854528</v>
      </c>
      <c r="E9145">
        <v>1</v>
      </c>
      <c r="F9145" t="s">
        <v>10457</v>
      </c>
    </row>
    <row r="9146" spans="1:6" x14ac:dyDescent="0.25">
      <c r="A9146" t="s">
        <v>10927</v>
      </c>
      <c r="B9146" t="s">
        <v>3252</v>
      </c>
      <c r="C9146" t="s">
        <v>3253</v>
      </c>
      <c r="D9146" t="str">
        <f>HYPERLINK("http://service.sap.com/sap/support/notes/1857948","1857948")</f>
        <v>1857948</v>
      </c>
      <c r="E9146">
        <v>1</v>
      </c>
      <c r="F9146" t="s">
        <v>10458</v>
      </c>
    </row>
    <row r="9147" spans="1:6" x14ac:dyDescent="0.25">
      <c r="A9147" t="s">
        <v>10927</v>
      </c>
      <c r="B9147" t="s">
        <v>5914</v>
      </c>
      <c r="C9147" t="s">
        <v>5915</v>
      </c>
      <c r="D9147" t="str">
        <f>HYPERLINK("http://service.sap.com/sap/support/notes/1812853","1812853")</f>
        <v>1812853</v>
      </c>
      <c r="E9147">
        <v>4</v>
      </c>
      <c r="F9147" t="s">
        <v>10459</v>
      </c>
    </row>
    <row r="9148" spans="1:6" x14ac:dyDescent="0.25">
      <c r="A9148" t="s">
        <v>10927</v>
      </c>
      <c r="B9148" t="s">
        <v>8355</v>
      </c>
      <c r="C9148" t="s">
        <v>6468</v>
      </c>
      <c r="D9148" t="str">
        <f>HYPERLINK("http://service.sap.com/sap/support/notes/1820317","1820317")</f>
        <v>1820317</v>
      </c>
      <c r="E9148">
        <v>1</v>
      </c>
      <c r="F9148" t="s">
        <v>10460</v>
      </c>
    </row>
    <row r="9149" spans="1:6" x14ac:dyDescent="0.25">
      <c r="A9149" t="s">
        <v>10927</v>
      </c>
      <c r="B9149" t="s">
        <v>5917</v>
      </c>
      <c r="C9149" t="s">
        <v>5918</v>
      </c>
      <c r="D9149" t="str">
        <f>HYPERLINK("http://service.sap.com/sap/support/notes/1850468","1850468")</f>
        <v>1850468</v>
      </c>
      <c r="E9149">
        <v>2</v>
      </c>
      <c r="F9149" t="s">
        <v>10461</v>
      </c>
    </row>
    <row r="9150" spans="1:6" x14ac:dyDescent="0.25">
      <c r="A9150" t="s">
        <v>10927</v>
      </c>
      <c r="B9150" t="s">
        <v>3270</v>
      </c>
      <c r="C9150" t="s">
        <v>3271</v>
      </c>
      <c r="D9150" t="str">
        <f>HYPERLINK("http://service.sap.com/sap/support/notes/1858680","1858680")</f>
        <v>1858680</v>
      </c>
      <c r="E9150">
        <v>2</v>
      </c>
      <c r="F9150" t="s">
        <v>10462</v>
      </c>
    </row>
    <row r="9151" spans="1:6" x14ac:dyDescent="0.25">
      <c r="A9151" t="s">
        <v>10927</v>
      </c>
      <c r="B9151" t="s">
        <v>3273</v>
      </c>
      <c r="C9151" t="s">
        <v>3274</v>
      </c>
      <c r="D9151" t="str">
        <f>HYPERLINK("http://service.sap.com/sap/support/notes/1769868","1769868")</f>
        <v>1769868</v>
      </c>
      <c r="E9151">
        <v>3</v>
      </c>
      <c r="F9151" t="s">
        <v>10463</v>
      </c>
    </row>
    <row r="9152" spans="1:6" x14ac:dyDescent="0.25">
      <c r="A9152" t="s">
        <v>10927</v>
      </c>
      <c r="B9152" t="s">
        <v>3273</v>
      </c>
      <c r="C9152" t="s">
        <v>3274</v>
      </c>
      <c r="D9152" t="str">
        <f>HYPERLINK("http://service.sap.com/sap/support/notes/1834354","1834354")</f>
        <v>1834354</v>
      </c>
      <c r="E9152">
        <v>3</v>
      </c>
      <c r="F9152" t="s">
        <v>10464</v>
      </c>
    </row>
    <row r="9153" spans="1:6" x14ac:dyDescent="0.25">
      <c r="A9153" t="s">
        <v>10927</v>
      </c>
      <c r="B9153" t="s">
        <v>3273</v>
      </c>
      <c r="C9153" t="s">
        <v>3274</v>
      </c>
      <c r="D9153" t="str">
        <f>HYPERLINK("http://service.sap.com/sap/support/notes/1836493","1836493")</f>
        <v>1836493</v>
      </c>
      <c r="E9153">
        <v>2</v>
      </c>
      <c r="F9153" t="s">
        <v>10465</v>
      </c>
    </row>
    <row r="9154" spans="1:6" x14ac:dyDescent="0.25">
      <c r="A9154" t="s">
        <v>10927</v>
      </c>
      <c r="B9154" t="s">
        <v>3273</v>
      </c>
      <c r="C9154" t="s">
        <v>3274</v>
      </c>
      <c r="D9154" t="str">
        <f>HYPERLINK("http://service.sap.com/sap/support/notes/1838458","1838458")</f>
        <v>1838458</v>
      </c>
      <c r="E9154">
        <v>2</v>
      </c>
      <c r="F9154" t="s">
        <v>10466</v>
      </c>
    </row>
    <row r="9155" spans="1:6" x14ac:dyDescent="0.25">
      <c r="A9155" t="s">
        <v>10927</v>
      </c>
      <c r="B9155" t="s">
        <v>3273</v>
      </c>
      <c r="C9155" t="s">
        <v>3274</v>
      </c>
      <c r="D9155" t="str">
        <f>HYPERLINK("http://service.sap.com/sap/support/notes/1841267","1841267")</f>
        <v>1841267</v>
      </c>
      <c r="E9155">
        <v>2</v>
      </c>
      <c r="F9155" t="s">
        <v>10467</v>
      </c>
    </row>
    <row r="9156" spans="1:6" x14ac:dyDescent="0.25">
      <c r="A9156" t="s">
        <v>10927</v>
      </c>
      <c r="B9156" t="s">
        <v>3273</v>
      </c>
      <c r="C9156" t="s">
        <v>3274</v>
      </c>
      <c r="D9156" t="str">
        <f>HYPERLINK("http://service.sap.com/sap/support/notes/1846635","1846635")</f>
        <v>1846635</v>
      </c>
      <c r="E9156">
        <v>2</v>
      </c>
      <c r="F9156" t="s">
        <v>10468</v>
      </c>
    </row>
    <row r="9157" spans="1:6" x14ac:dyDescent="0.25">
      <c r="A9157" t="s">
        <v>10927</v>
      </c>
      <c r="B9157" t="s">
        <v>3273</v>
      </c>
      <c r="C9157" t="s">
        <v>3274</v>
      </c>
      <c r="D9157" t="str">
        <f>HYPERLINK("http://service.sap.com/sap/support/notes/1847647","1847647")</f>
        <v>1847647</v>
      </c>
      <c r="E9157">
        <v>1</v>
      </c>
    </row>
    <row r="9158" spans="1:6" x14ac:dyDescent="0.25">
      <c r="A9158" t="s">
        <v>10927</v>
      </c>
      <c r="B9158" t="s">
        <v>3273</v>
      </c>
      <c r="C9158" t="s">
        <v>3274</v>
      </c>
      <c r="D9158" t="str">
        <f>HYPERLINK("http://service.sap.com/sap/support/notes/1857543","1857543")</f>
        <v>1857543</v>
      </c>
      <c r="E9158">
        <v>1</v>
      </c>
      <c r="F9158" t="s">
        <v>10469</v>
      </c>
    </row>
    <row r="9159" spans="1:6" x14ac:dyDescent="0.25">
      <c r="A9159" t="s">
        <v>10927</v>
      </c>
      <c r="B9159" t="s">
        <v>3273</v>
      </c>
      <c r="C9159" t="s">
        <v>3274</v>
      </c>
      <c r="D9159" t="str">
        <f>HYPERLINK("http://service.sap.com/sap/support/notes/1861409","1861409")</f>
        <v>1861409</v>
      </c>
      <c r="E9159">
        <v>3</v>
      </c>
      <c r="F9159" t="s">
        <v>10470</v>
      </c>
    </row>
    <row r="9160" spans="1:6" x14ac:dyDescent="0.25">
      <c r="A9160" t="s">
        <v>10927</v>
      </c>
      <c r="B9160" t="s">
        <v>3285</v>
      </c>
      <c r="C9160" t="s">
        <v>3286</v>
      </c>
      <c r="D9160" t="str">
        <f>HYPERLINK("http://service.sap.com/sap/support/notes/1847246","1847246")</f>
        <v>1847246</v>
      </c>
      <c r="E9160">
        <v>1</v>
      </c>
      <c r="F9160" t="s">
        <v>10471</v>
      </c>
    </row>
    <row r="9161" spans="1:6" x14ac:dyDescent="0.25">
      <c r="A9161" t="s">
        <v>10927</v>
      </c>
      <c r="B9161" t="s">
        <v>3285</v>
      </c>
      <c r="C9161" t="s">
        <v>3286</v>
      </c>
      <c r="D9161" t="str">
        <f>HYPERLINK("http://service.sap.com/sap/support/notes/1851616","1851616")</f>
        <v>1851616</v>
      </c>
      <c r="E9161">
        <v>1</v>
      </c>
      <c r="F9161" t="s">
        <v>10472</v>
      </c>
    </row>
    <row r="9162" spans="1:6" x14ac:dyDescent="0.25">
      <c r="A9162" t="s">
        <v>10927</v>
      </c>
      <c r="B9162" t="s">
        <v>3289</v>
      </c>
      <c r="C9162" t="s">
        <v>1878</v>
      </c>
      <c r="D9162" t="str">
        <f>HYPERLINK("http://service.sap.com/sap/support/notes/1806116","1806116")</f>
        <v>1806116</v>
      </c>
      <c r="E9162">
        <v>1</v>
      </c>
      <c r="F9162" t="s">
        <v>10473</v>
      </c>
    </row>
    <row r="9163" spans="1:6" x14ac:dyDescent="0.25">
      <c r="A9163" t="s">
        <v>10927</v>
      </c>
      <c r="B9163" t="s">
        <v>3289</v>
      </c>
      <c r="C9163" t="s">
        <v>1878</v>
      </c>
      <c r="D9163" t="str">
        <f>HYPERLINK("http://service.sap.com/sap/support/notes/1841528","1841528")</f>
        <v>1841528</v>
      </c>
      <c r="E9163">
        <v>6</v>
      </c>
      <c r="F9163" t="s">
        <v>10474</v>
      </c>
    </row>
    <row r="9164" spans="1:6" x14ac:dyDescent="0.25">
      <c r="A9164" t="s">
        <v>10927</v>
      </c>
      <c r="B9164" t="s">
        <v>10475</v>
      </c>
      <c r="C9164" t="s">
        <v>10476</v>
      </c>
    </row>
    <row r="9165" spans="1:6" x14ac:dyDescent="0.25">
      <c r="A9165" t="s">
        <v>10927</v>
      </c>
      <c r="B9165" t="s">
        <v>10477</v>
      </c>
      <c r="C9165" t="s">
        <v>10478</v>
      </c>
      <c r="D9165" t="str">
        <f>HYPERLINK("http://service.sap.com/sap/support/notes/1858890","1858890")</f>
        <v>1858890</v>
      </c>
      <c r="E9165">
        <v>1</v>
      </c>
      <c r="F9165" t="s">
        <v>10479</v>
      </c>
    </row>
    <row r="9166" spans="1:6" x14ac:dyDescent="0.25">
      <c r="A9166" t="s">
        <v>10927</v>
      </c>
      <c r="B9166" t="s">
        <v>3301</v>
      </c>
      <c r="C9166" t="s">
        <v>3302</v>
      </c>
    </row>
    <row r="9167" spans="1:6" x14ac:dyDescent="0.25">
      <c r="A9167" t="s">
        <v>10927</v>
      </c>
      <c r="B9167" t="s">
        <v>3303</v>
      </c>
      <c r="C9167" t="s">
        <v>3304</v>
      </c>
      <c r="D9167" t="str">
        <f>HYPERLINK("http://service.sap.com/sap/support/notes/1807991","1807991")</f>
        <v>1807991</v>
      </c>
      <c r="E9167">
        <v>4</v>
      </c>
      <c r="F9167" t="s">
        <v>10480</v>
      </c>
    </row>
    <row r="9168" spans="1:6" x14ac:dyDescent="0.25">
      <c r="A9168" t="s">
        <v>10927</v>
      </c>
      <c r="B9168" t="s">
        <v>3303</v>
      </c>
      <c r="C9168" t="s">
        <v>3304</v>
      </c>
      <c r="D9168" t="str">
        <f>HYPERLINK("http://service.sap.com/sap/support/notes/1821049","1821049")</f>
        <v>1821049</v>
      </c>
      <c r="E9168">
        <v>7</v>
      </c>
      <c r="F9168" t="s">
        <v>10481</v>
      </c>
    </row>
    <row r="9169" spans="1:6" x14ac:dyDescent="0.25">
      <c r="A9169" t="s">
        <v>10927</v>
      </c>
      <c r="B9169" t="s">
        <v>3303</v>
      </c>
      <c r="C9169" t="s">
        <v>3304</v>
      </c>
      <c r="D9169" t="str">
        <f>HYPERLINK("http://service.sap.com/sap/support/notes/1824663","1824663")</f>
        <v>1824663</v>
      </c>
      <c r="E9169">
        <v>3</v>
      </c>
      <c r="F9169" t="s">
        <v>10482</v>
      </c>
    </row>
    <row r="9170" spans="1:6" x14ac:dyDescent="0.25">
      <c r="A9170" t="s">
        <v>10927</v>
      </c>
      <c r="B9170" t="s">
        <v>3303</v>
      </c>
      <c r="C9170" t="s">
        <v>3304</v>
      </c>
      <c r="D9170" t="str">
        <f>HYPERLINK("http://service.sap.com/sap/support/notes/1830140","1830140")</f>
        <v>1830140</v>
      </c>
      <c r="E9170">
        <v>2</v>
      </c>
      <c r="F9170" t="s">
        <v>10483</v>
      </c>
    </row>
    <row r="9171" spans="1:6" x14ac:dyDescent="0.25">
      <c r="A9171" t="s">
        <v>10927</v>
      </c>
      <c r="B9171" t="s">
        <v>3303</v>
      </c>
      <c r="C9171" t="s">
        <v>3304</v>
      </c>
      <c r="D9171" t="str">
        <f>HYPERLINK("http://service.sap.com/sap/support/notes/1831032","1831032")</f>
        <v>1831032</v>
      </c>
      <c r="E9171">
        <v>3</v>
      </c>
      <c r="F9171" t="s">
        <v>10484</v>
      </c>
    </row>
    <row r="9172" spans="1:6" x14ac:dyDescent="0.25">
      <c r="A9172" t="s">
        <v>10927</v>
      </c>
      <c r="B9172" t="s">
        <v>3303</v>
      </c>
      <c r="C9172" t="s">
        <v>3304</v>
      </c>
      <c r="D9172" t="str">
        <f>HYPERLINK("http://service.sap.com/sap/support/notes/1832701","1832701")</f>
        <v>1832701</v>
      </c>
      <c r="E9172">
        <v>2</v>
      </c>
      <c r="F9172" t="s">
        <v>10485</v>
      </c>
    </row>
    <row r="9173" spans="1:6" x14ac:dyDescent="0.25">
      <c r="A9173" t="s">
        <v>10927</v>
      </c>
      <c r="B9173" t="s">
        <v>3303</v>
      </c>
      <c r="C9173" t="s">
        <v>3304</v>
      </c>
      <c r="D9173" t="str">
        <f>HYPERLINK("http://service.sap.com/sap/support/notes/1833384","1833384")</f>
        <v>1833384</v>
      </c>
      <c r="E9173">
        <v>2</v>
      </c>
      <c r="F9173" t="s">
        <v>10486</v>
      </c>
    </row>
    <row r="9174" spans="1:6" x14ac:dyDescent="0.25">
      <c r="A9174" t="s">
        <v>10927</v>
      </c>
      <c r="B9174" t="s">
        <v>3303</v>
      </c>
      <c r="C9174" t="s">
        <v>3304</v>
      </c>
      <c r="D9174" t="str">
        <f>HYPERLINK("http://service.sap.com/sap/support/notes/1834414","1834414")</f>
        <v>1834414</v>
      </c>
      <c r="E9174">
        <v>3</v>
      </c>
      <c r="F9174" t="s">
        <v>10487</v>
      </c>
    </row>
    <row r="9175" spans="1:6" x14ac:dyDescent="0.25">
      <c r="A9175" t="s">
        <v>10927</v>
      </c>
      <c r="B9175" t="s">
        <v>3303</v>
      </c>
      <c r="C9175" t="s">
        <v>3304</v>
      </c>
      <c r="D9175" t="str">
        <f>HYPERLINK("http://service.sap.com/sap/support/notes/1844657","1844657")</f>
        <v>1844657</v>
      </c>
      <c r="E9175">
        <v>1</v>
      </c>
      <c r="F9175" t="s">
        <v>10488</v>
      </c>
    </row>
    <row r="9176" spans="1:6" x14ac:dyDescent="0.25">
      <c r="A9176" t="s">
        <v>10927</v>
      </c>
      <c r="B9176" t="s">
        <v>3303</v>
      </c>
      <c r="C9176" t="s">
        <v>3304</v>
      </c>
      <c r="D9176" t="str">
        <f>HYPERLINK("http://service.sap.com/sap/support/notes/1848680","1848680")</f>
        <v>1848680</v>
      </c>
      <c r="E9176">
        <v>2</v>
      </c>
      <c r="F9176" t="s">
        <v>10489</v>
      </c>
    </row>
    <row r="9177" spans="1:6" x14ac:dyDescent="0.25">
      <c r="A9177" t="s">
        <v>10927</v>
      </c>
      <c r="B9177" t="s">
        <v>3303</v>
      </c>
      <c r="C9177" t="s">
        <v>3304</v>
      </c>
      <c r="D9177" t="str">
        <f>HYPERLINK("http://service.sap.com/sap/support/notes/1853417","1853417")</f>
        <v>1853417</v>
      </c>
      <c r="E9177">
        <v>2</v>
      </c>
      <c r="F9177" t="s">
        <v>10490</v>
      </c>
    </row>
    <row r="9178" spans="1:6" x14ac:dyDescent="0.25">
      <c r="A9178" t="s">
        <v>10927</v>
      </c>
      <c r="B9178" t="s">
        <v>3319</v>
      </c>
      <c r="C9178" t="s">
        <v>1784</v>
      </c>
      <c r="D9178" t="str">
        <f>HYPERLINK("http://service.sap.com/sap/support/notes/1814645","1814645")</f>
        <v>1814645</v>
      </c>
      <c r="E9178">
        <v>3</v>
      </c>
      <c r="F9178" t="s">
        <v>10491</v>
      </c>
    </row>
    <row r="9179" spans="1:6" x14ac:dyDescent="0.25">
      <c r="A9179" t="s">
        <v>10927</v>
      </c>
      <c r="B9179" t="s">
        <v>3319</v>
      </c>
      <c r="C9179" t="s">
        <v>1784</v>
      </c>
      <c r="D9179" t="str">
        <f>HYPERLINK("http://service.sap.com/sap/support/notes/1839835","1839835")</f>
        <v>1839835</v>
      </c>
      <c r="E9179">
        <v>3</v>
      </c>
      <c r="F9179" t="s">
        <v>10492</v>
      </c>
    </row>
    <row r="9180" spans="1:6" x14ac:dyDescent="0.25">
      <c r="A9180" t="s">
        <v>10927</v>
      </c>
      <c r="B9180" t="s">
        <v>5953</v>
      </c>
      <c r="C9180" t="s">
        <v>700</v>
      </c>
      <c r="D9180" t="str">
        <f>HYPERLINK("http://service.sap.com/sap/support/notes/1825495","1825495")</f>
        <v>1825495</v>
      </c>
      <c r="E9180">
        <v>4</v>
      </c>
      <c r="F9180" t="s">
        <v>10493</v>
      </c>
    </row>
    <row r="9181" spans="1:6" x14ac:dyDescent="0.25">
      <c r="A9181" t="s">
        <v>10927</v>
      </c>
      <c r="B9181" t="s">
        <v>5953</v>
      </c>
      <c r="C9181" t="s">
        <v>700</v>
      </c>
      <c r="D9181" t="str">
        <f>HYPERLINK("http://service.sap.com/sap/support/notes/1832929","1832929")</f>
        <v>1832929</v>
      </c>
      <c r="E9181">
        <v>1</v>
      </c>
      <c r="F9181" t="s">
        <v>10494</v>
      </c>
    </row>
    <row r="9182" spans="1:6" x14ac:dyDescent="0.25">
      <c r="A9182" t="s">
        <v>10927</v>
      </c>
      <c r="B9182" t="s">
        <v>3322</v>
      </c>
      <c r="C9182" t="s">
        <v>3323</v>
      </c>
    </row>
    <row r="9183" spans="1:6" x14ac:dyDescent="0.25">
      <c r="A9183" t="s">
        <v>10927</v>
      </c>
      <c r="B9183" t="s">
        <v>3324</v>
      </c>
      <c r="C9183" t="s">
        <v>3325</v>
      </c>
      <c r="D9183" t="str">
        <f>HYPERLINK("http://service.sap.com/sap/support/notes/1832871","1832871")</f>
        <v>1832871</v>
      </c>
      <c r="E9183">
        <v>6</v>
      </c>
      <c r="F9183" t="s">
        <v>10495</v>
      </c>
    </row>
    <row r="9184" spans="1:6" x14ac:dyDescent="0.25">
      <c r="A9184" t="s">
        <v>10927</v>
      </c>
      <c r="B9184" t="s">
        <v>3324</v>
      </c>
      <c r="C9184" t="s">
        <v>3325</v>
      </c>
      <c r="D9184" t="str">
        <f>HYPERLINK("http://service.sap.com/sap/support/notes/1836210","1836210")</f>
        <v>1836210</v>
      </c>
      <c r="E9184">
        <v>3</v>
      </c>
      <c r="F9184" t="s">
        <v>10496</v>
      </c>
    </row>
    <row r="9185" spans="1:6" x14ac:dyDescent="0.25">
      <c r="A9185" t="s">
        <v>10927</v>
      </c>
      <c r="B9185" t="s">
        <v>3324</v>
      </c>
      <c r="C9185" t="s">
        <v>3325</v>
      </c>
      <c r="D9185" t="str">
        <f>HYPERLINK("http://service.sap.com/sap/support/notes/1848257","1848257")</f>
        <v>1848257</v>
      </c>
      <c r="E9185">
        <v>3</v>
      </c>
      <c r="F9185" t="s">
        <v>10497</v>
      </c>
    </row>
    <row r="9186" spans="1:6" x14ac:dyDescent="0.25">
      <c r="A9186" t="s">
        <v>10927</v>
      </c>
      <c r="B9186" t="s">
        <v>3324</v>
      </c>
      <c r="C9186" t="s">
        <v>3325</v>
      </c>
      <c r="D9186" t="str">
        <f>HYPERLINK("http://service.sap.com/sap/support/notes/1851029","1851029")</f>
        <v>1851029</v>
      </c>
      <c r="E9186">
        <v>1</v>
      </c>
      <c r="F9186" t="s">
        <v>10498</v>
      </c>
    </row>
    <row r="9187" spans="1:6" x14ac:dyDescent="0.25">
      <c r="A9187" t="s">
        <v>10927</v>
      </c>
      <c r="B9187" t="s">
        <v>3324</v>
      </c>
      <c r="C9187" t="s">
        <v>3325</v>
      </c>
      <c r="D9187" t="str">
        <f>HYPERLINK("http://service.sap.com/sap/support/notes/1863429","1863429")</f>
        <v>1863429</v>
      </c>
      <c r="E9187">
        <v>1</v>
      </c>
      <c r="F9187" t="s">
        <v>10499</v>
      </c>
    </row>
    <row r="9188" spans="1:6" x14ac:dyDescent="0.25">
      <c r="A9188" t="s">
        <v>10927</v>
      </c>
      <c r="B9188" t="s">
        <v>3341</v>
      </c>
      <c r="C9188" t="s">
        <v>3342</v>
      </c>
    </row>
    <row r="9189" spans="1:6" x14ac:dyDescent="0.25">
      <c r="A9189" t="s">
        <v>10927</v>
      </c>
      <c r="B9189" t="s">
        <v>3343</v>
      </c>
      <c r="C9189" t="s">
        <v>151</v>
      </c>
    </row>
    <row r="9190" spans="1:6" x14ac:dyDescent="0.25">
      <c r="A9190" t="s">
        <v>10927</v>
      </c>
      <c r="B9190" t="s">
        <v>3344</v>
      </c>
      <c r="C9190" t="s">
        <v>621</v>
      </c>
      <c r="D9190" t="str">
        <f>HYPERLINK("http://service.sap.com/sap/support/notes/1755089","1755089")</f>
        <v>1755089</v>
      </c>
      <c r="E9190">
        <v>2</v>
      </c>
      <c r="F9190" t="s">
        <v>10500</v>
      </c>
    </row>
    <row r="9191" spans="1:6" x14ac:dyDescent="0.25">
      <c r="A9191" t="s">
        <v>10927</v>
      </c>
      <c r="B9191" t="s">
        <v>3344</v>
      </c>
      <c r="C9191" t="s">
        <v>621</v>
      </c>
      <c r="D9191" t="str">
        <f>HYPERLINK("http://service.sap.com/sap/support/notes/1825011","1825011")</f>
        <v>1825011</v>
      </c>
      <c r="E9191">
        <v>6</v>
      </c>
      <c r="F9191" t="s">
        <v>10501</v>
      </c>
    </row>
    <row r="9192" spans="1:6" x14ac:dyDescent="0.25">
      <c r="A9192" t="s">
        <v>10927</v>
      </c>
      <c r="B9192" t="s">
        <v>3344</v>
      </c>
      <c r="C9192" t="s">
        <v>621</v>
      </c>
      <c r="D9192" t="str">
        <f>HYPERLINK("http://service.sap.com/sap/support/notes/1832162","1832162")</f>
        <v>1832162</v>
      </c>
      <c r="E9192">
        <v>1</v>
      </c>
      <c r="F9192" t="s">
        <v>10502</v>
      </c>
    </row>
    <row r="9193" spans="1:6" x14ac:dyDescent="0.25">
      <c r="A9193" t="s">
        <v>10927</v>
      </c>
      <c r="B9193" t="s">
        <v>3344</v>
      </c>
      <c r="C9193" t="s">
        <v>621</v>
      </c>
      <c r="D9193" t="str">
        <f>HYPERLINK("http://service.sap.com/sap/support/notes/1842732","1842732")</f>
        <v>1842732</v>
      </c>
      <c r="E9193">
        <v>5</v>
      </c>
      <c r="F9193" t="s">
        <v>10503</v>
      </c>
    </row>
    <row r="9194" spans="1:6" x14ac:dyDescent="0.25">
      <c r="A9194" t="s">
        <v>10927</v>
      </c>
      <c r="B9194" t="s">
        <v>3344</v>
      </c>
      <c r="C9194" t="s">
        <v>621</v>
      </c>
      <c r="D9194" t="str">
        <f>HYPERLINK("http://service.sap.com/sap/support/notes/1849187","1849187")</f>
        <v>1849187</v>
      </c>
      <c r="E9194">
        <v>2</v>
      </c>
      <c r="F9194" t="s">
        <v>10504</v>
      </c>
    </row>
    <row r="9195" spans="1:6" x14ac:dyDescent="0.25">
      <c r="A9195" t="s">
        <v>10927</v>
      </c>
      <c r="B9195" t="s">
        <v>3344</v>
      </c>
      <c r="C9195" t="s">
        <v>621</v>
      </c>
      <c r="D9195" t="str">
        <f>HYPERLINK("http://service.sap.com/sap/support/notes/1849491","1849491")</f>
        <v>1849491</v>
      </c>
      <c r="E9195">
        <v>2</v>
      </c>
      <c r="F9195" t="s">
        <v>10505</v>
      </c>
    </row>
    <row r="9196" spans="1:6" x14ac:dyDescent="0.25">
      <c r="A9196" t="s">
        <v>10927</v>
      </c>
      <c r="B9196" t="s">
        <v>3344</v>
      </c>
      <c r="C9196" t="s">
        <v>621</v>
      </c>
      <c r="D9196" t="str">
        <f>HYPERLINK("http://service.sap.com/sap/support/notes/1850090","1850090")</f>
        <v>1850090</v>
      </c>
      <c r="E9196">
        <v>1</v>
      </c>
      <c r="F9196" t="s">
        <v>10506</v>
      </c>
    </row>
    <row r="9197" spans="1:6" x14ac:dyDescent="0.25">
      <c r="A9197" t="s">
        <v>10927</v>
      </c>
      <c r="B9197" t="s">
        <v>3351</v>
      </c>
      <c r="C9197" t="s">
        <v>3352</v>
      </c>
      <c r="D9197" t="str">
        <f>HYPERLINK("http://service.sap.com/sap/support/notes/1839106","1839106")</f>
        <v>1839106</v>
      </c>
      <c r="E9197">
        <v>3</v>
      </c>
      <c r="F9197" t="s">
        <v>10507</v>
      </c>
    </row>
    <row r="9198" spans="1:6" x14ac:dyDescent="0.25">
      <c r="A9198" t="s">
        <v>10927</v>
      </c>
      <c r="B9198" t="s">
        <v>3354</v>
      </c>
      <c r="C9198" t="s">
        <v>3226</v>
      </c>
      <c r="D9198" t="str">
        <f>HYPERLINK("http://service.sap.com/sap/support/notes/1435215","1435215")</f>
        <v>1435215</v>
      </c>
      <c r="E9198">
        <v>7</v>
      </c>
      <c r="F9198" t="s">
        <v>10508</v>
      </c>
    </row>
    <row r="9199" spans="1:6" x14ac:dyDescent="0.25">
      <c r="A9199" t="s">
        <v>10927</v>
      </c>
      <c r="B9199" t="s">
        <v>3354</v>
      </c>
      <c r="C9199" t="s">
        <v>3226</v>
      </c>
      <c r="D9199" t="str">
        <f>HYPERLINK("http://service.sap.com/sap/support/notes/1751430","1751430")</f>
        <v>1751430</v>
      </c>
      <c r="E9199">
        <v>3</v>
      </c>
      <c r="F9199" t="s">
        <v>10509</v>
      </c>
    </row>
    <row r="9200" spans="1:6" x14ac:dyDescent="0.25">
      <c r="A9200" t="s">
        <v>10927</v>
      </c>
      <c r="B9200" t="s">
        <v>3360</v>
      </c>
      <c r="C9200" t="s">
        <v>3361</v>
      </c>
      <c r="D9200" t="str">
        <f>HYPERLINK("http://service.sap.com/sap/support/notes/1782233","1782233")</f>
        <v>1782233</v>
      </c>
      <c r="E9200">
        <v>3</v>
      </c>
    </row>
    <row r="9201" spans="1:6" x14ac:dyDescent="0.25">
      <c r="A9201" t="s">
        <v>10927</v>
      </c>
      <c r="B9201" t="s">
        <v>3360</v>
      </c>
      <c r="C9201" t="s">
        <v>3361</v>
      </c>
      <c r="D9201" t="str">
        <f>HYPERLINK("http://service.sap.com/sap/support/notes/1792119","1792119")</f>
        <v>1792119</v>
      </c>
      <c r="E9201">
        <v>2</v>
      </c>
    </row>
    <row r="9202" spans="1:6" x14ac:dyDescent="0.25">
      <c r="A9202" t="s">
        <v>10927</v>
      </c>
      <c r="B9202" t="s">
        <v>3360</v>
      </c>
      <c r="C9202" t="s">
        <v>3361</v>
      </c>
      <c r="D9202" t="str">
        <f>HYPERLINK("http://service.sap.com/sap/support/notes/1834026","1834026")</f>
        <v>1834026</v>
      </c>
      <c r="E9202">
        <v>1</v>
      </c>
    </row>
    <row r="9203" spans="1:6" x14ac:dyDescent="0.25">
      <c r="A9203" t="s">
        <v>10927</v>
      </c>
      <c r="B9203" t="s">
        <v>3360</v>
      </c>
      <c r="C9203" t="s">
        <v>3361</v>
      </c>
      <c r="D9203" t="str">
        <f>HYPERLINK("http://service.sap.com/sap/support/notes/1835860","1835860")</f>
        <v>1835860</v>
      </c>
      <c r="E9203">
        <v>3</v>
      </c>
      <c r="F9203" t="s">
        <v>10510</v>
      </c>
    </row>
    <row r="9204" spans="1:6" x14ac:dyDescent="0.25">
      <c r="A9204" t="s">
        <v>10927</v>
      </c>
      <c r="B9204" t="s">
        <v>3365</v>
      </c>
      <c r="C9204" t="s">
        <v>998</v>
      </c>
      <c r="D9204" t="str">
        <f>HYPERLINK("http://service.sap.com/sap/support/notes/1853480","1853480")</f>
        <v>1853480</v>
      </c>
      <c r="E9204">
        <v>1</v>
      </c>
    </row>
    <row r="9205" spans="1:6" x14ac:dyDescent="0.25">
      <c r="A9205" t="s">
        <v>10927</v>
      </c>
      <c r="B9205" t="s">
        <v>5970</v>
      </c>
      <c r="C9205" t="s">
        <v>5971</v>
      </c>
      <c r="D9205" t="str">
        <f>HYPERLINK("http://service.sap.com/sap/support/notes/1833445","1833445")</f>
        <v>1833445</v>
      </c>
      <c r="E9205">
        <v>1</v>
      </c>
      <c r="F9205" t="s">
        <v>10511</v>
      </c>
    </row>
    <row r="9206" spans="1:6" x14ac:dyDescent="0.25">
      <c r="A9206" t="s">
        <v>10927</v>
      </c>
      <c r="B9206" t="s">
        <v>10512</v>
      </c>
      <c r="C9206" t="s">
        <v>10513</v>
      </c>
      <c r="D9206" t="str">
        <f>HYPERLINK("http://service.sap.com/sap/support/notes/1744233","1744233")</f>
        <v>1744233</v>
      </c>
      <c r="E9206">
        <v>2</v>
      </c>
      <c r="F9206" t="s">
        <v>10514</v>
      </c>
    </row>
    <row r="9207" spans="1:6" x14ac:dyDescent="0.25">
      <c r="A9207" t="s">
        <v>10927</v>
      </c>
      <c r="B9207" t="s">
        <v>3369</v>
      </c>
      <c r="C9207" t="s">
        <v>3370</v>
      </c>
      <c r="D9207" t="str">
        <f>HYPERLINK("http://service.sap.com/sap/support/notes/1839987","1839987")</f>
        <v>1839987</v>
      </c>
      <c r="E9207">
        <v>1</v>
      </c>
    </row>
    <row r="9208" spans="1:6" x14ac:dyDescent="0.25">
      <c r="A9208" t="s">
        <v>10927</v>
      </c>
      <c r="B9208" t="s">
        <v>3369</v>
      </c>
      <c r="C9208" t="s">
        <v>3370</v>
      </c>
      <c r="D9208" t="str">
        <f>HYPERLINK("http://service.sap.com/sap/support/notes/1840554","1840554")</f>
        <v>1840554</v>
      </c>
      <c r="E9208">
        <v>1</v>
      </c>
    </row>
    <row r="9209" spans="1:6" x14ac:dyDescent="0.25">
      <c r="A9209" t="s">
        <v>10927</v>
      </c>
      <c r="B9209" t="s">
        <v>5984</v>
      </c>
      <c r="C9209" t="s">
        <v>5089</v>
      </c>
      <c r="D9209" t="str">
        <f>HYPERLINK("http://service.sap.com/sap/support/notes/1820994","1820994")</f>
        <v>1820994</v>
      </c>
      <c r="E9209">
        <v>3</v>
      </c>
      <c r="F9209" t="s">
        <v>10515</v>
      </c>
    </row>
    <row r="9210" spans="1:6" x14ac:dyDescent="0.25">
      <c r="A9210" t="s">
        <v>10927</v>
      </c>
      <c r="B9210" t="s">
        <v>5984</v>
      </c>
      <c r="C9210" t="s">
        <v>5089</v>
      </c>
      <c r="D9210" t="str">
        <f>HYPERLINK("http://service.sap.com/sap/support/notes/1840969","1840969")</f>
        <v>1840969</v>
      </c>
      <c r="E9210">
        <v>2</v>
      </c>
      <c r="F9210" t="s">
        <v>10516</v>
      </c>
    </row>
    <row r="9211" spans="1:6" x14ac:dyDescent="0.25">
      <c r="A9211" t="s">
        <v>10927</v>
      </c>
      <c r="B9211" t="s">
        <v>3372</v>
      </c>
      <c r="C9211" t="s">
        <v>3373</v>
      </c>
      <c r="D9211" t="str">
        <f>HYPERLINK("http://service.sap.com/sap/support/notes/1836706","1836706")</f>
        <v>1836706</v>
      </c>
      <c r="E9211">
        <v>4</v>
      </c>
      <c r="F9211" t="s">
        <v>10517</v>
      </c>
    </row>
    <row r="9212" spans="1:6" x14ac:dyDescent="0.25">
      <c r="A9212" t="s">
        <v>10927</v>
      </c>
      <c r="B9212" t="s">
        <v>3372</v>
      </c>
      <c r="C9212" t="s">
        <v>3373</v>
      </c>
      <c r="D9212" t="str">
        <f>HYPERLINK("http://service.sap.com/sap/support/notes/1843120","1843120")</f>
        <v>1843120</v>
      </c>
      <c r="E9212">
        <v>2</v>
      </c>
      <c r="F9212" t="s">
        <v>10518</v>
      </c>
    </row>
    <row r="9213" spans="1:6" x14ac:dyDescent="0.25">
      <c r="A9213" t="s">
        <v>10927</v>
      </c>
      <c r="B9213" t="s">
        <v>3378</v>
      </c>
      <c r="C9213" t="s">
        <v>48</v>
      </c>
      <c r="D9213" t="str">
        <f>HYPERLINK("http://service.sap.com/sap/support/notes/1838502","1838502")</f>
        <v>1838502</v>
      </c>
      <c r="E9213">
        <v>1</v>
      </c>
      <c r="F9213" t="s">
        <v>10519</v>
      </c>
    </row>
    <row r="9214" spans="1:6" x14ac:dyDescent="0.25">
      <c r="A9214" t="s">
        <v>10927</v>
      </c>
      <c r="B9214" t="s">
        <v>3378</v>
      </c>
      <c r="C9214" t="s">
        <v>48</v>
      </c>
      <c r="D9214" t="str">
        <f>HYPERLINK("http://service.sap.com/sap/support/notes/1845137","1845137")</f>
        <v>1845137</v>
      </c>
      <c r="E9214">
        <v>1</v>
      </c>
      <c r="F9214" t="s">
        <v>10520</v>
      </c>
    </row>
    <row r="9215" spans="1:6" x14ac:dyDescent="0.25">
      <c r="A9215" t="s">
        <v>10927</v>
      </c>
      <c r="B9215" t="s">
        <v>3378</v>
      </c>
      <c r="C9215" t="s">
        <v>48</v>
      </c>
      <c r="D9215" t="str">
        <f>HYPERLINK("http://service.sap.com/sap/support/notes/1858021","1858021")</f>
        <v>1858021</v>
      </c>
      <c r="E9215">
        <v>1</v>
      </c>
      <c r="F9215" t="s">
        <v>10521</v>
      </c>
    </row>
    <row r="9216" spans="1:6" x14ac:dyDescent="0.25">
      <c r="A9216" t="s">
        <v>10927</v>
      </c>
      <c r="B9216" t="s">
        <v>3380</v>
      </c>
      <c r="C9216" t="s">
        <v>3381</v>
      </c>
      <c r="D9216" t="str">
        <f>HYPERLINK("http://service.sap.com/sap/support/notes/1838742","1838742")</f>
        <v>1838742</v>
      </c>
      <c r="E9216">
        <v>2</v>
      </c>
      <c r="F9216" t="s">
        <v>10522</v>
      </c>
    </row>
    <row r="9217" spans="1:6" x14ac:dyDescent="0.25">
      <c r="A9217" t="s">
        <v>10927</v>
      </c>
      <c r="B9217" t="s">
        <v>3380</v>
      </c>
      <c r="C9217" t="s">
        <v>3381</v>
      </c>
      <c r="D9217" t="str">
        <f>HYPERLINK("http://service.sap.com/sap/support/notes/1847255","1847255")</f>
        <v>1847255</v>
      </c>
      <c r="E9217">
        <v>2</v>
      </c>
      <c r="F9217" t="s">
        <v>10523</v>
      </c>
    </row>
    <row r="9218" spans="1:6" x14ac:dyDescent="0.25">
      <c r="A9218" t="s">
        <v>10927</v>
      </c>
      <c r="B9218" t="s">
        <v>3380</v>
      </c>
      <c r="C9218" t="s">
        <v>3381</v>
      </c>
      <c r="D9218" t="str">
        <f>HYPERLINK("http://service.sap.com/sap/support/notes/1856173","1856173")</f>
        <v>1856173</v>
      </c>
      <c r="E9218">
        <v>1</v>
      </c>
      <c r="F9218" t="s">
        <v>10524</v>
      </c>
    </row>
    <row r="9219" spans="1:6" x14ac:dyDescent="0.25">
      <c r="A9219" t="s">
        <v>10927</v>
      </c>
      <c r="B9219" t="s">
        <v>3387</v>
      </c>
      <c r="C9219" t="s">
        <v>612</v>
      </c>
    </row>
    <row r="9220" spans="1:6" x14ac:dyDescent="0.25">
      <c r="A9220" t="s">
        <v>10927</v>
      </c>
      <c r="B9220" t="s">
        <v>3388</v>
      </c>
      <c r="C9220" t="s">
        <v>3389</v>
      </c>
      <c r="D9220" t="str">
        <f>HYPERLINK("http://service.sap.com/sap/support/notes/1853711","1853711")</f>
        <v>1853711</v>
      </c>
      <c r="E9220">
        <v>4</v>
      </c>
      <c r="F9220" t="s">
        <v>10525</v>
      </c>
    </row>
    <row r="9221" spans="1:6" x14ac:dyDescent="0.25">
      <c r="A9221" t="s">
        <v>10927</v>
      </c>
      <c r="B9221" t="s">
        <v>3391</v>
      </c>
      <c r="C9221" t="s">
        <v>151</v>
      </c>
      <c r="D9221" t="str">
        <f>HYPERLINK("http://service.sap.com/sap/support/notes/761036","761036")</f>
        <v>761036</v>
      </c>
      <c r="E9221">
        <v>7</v>
      </c>
      <c r="F9221" t="s">
        <v>10526</v>
      </c>
    </row>
    <row r="9222" spans="1:6" x14ac:dyDescent="0.25">
      <c r="A9222" t="s">
        <v>10927</v>
      </c>
      <c r="B9222" t="s">
        <v>3391</v>
      </c>
      <c r="C9222" t="s">
        <v>151</v>
      </c>
      <c r="D9222" t="str">
        <f>HYPERLINK("http://service.sap.com/sap/support/notes/1849770","1849770")</f>
        <v>1849770</v>
      </c>
      <c r="E9222">
        <v>1</v>
      </c>
      <c r="F9222" t="s">
        <v>10527</v>
      </c>
    </row>
    <row r="9223" spans="1:6" x14ac:dyDescent="0.25">
      <c r="A9223" t="s">
        <v>10927</v>
      </c>
      <c r="B9223" t="s">
        <v>3391</v>
      </c>
      <c r="C9223" t="s">
        <v>151</v>
      </c>
      <c r="D9223" t="str">
        <f>HYPERLINK("http://service.sap.com/sap/support/notes/1861734","1861734")</f>
        <v>1861734</v>
      </c>
      <c r="E9223">
        <v>4</v>
      </c>
      <c r="F9223" t="s">
        <v>10528</v>
      </c>
    </row>
    <row r="9224" spans="1:6" x14ac:dyDescent="0.25">
      <c r="A9224" t="s">
        <v>10927</v>
      </c>
      <c r="B9224" t="s">
        <v>3394</v>
      </c>
      <c r="C9224" t="s">
        <v>3395</v>
      </c>
      <c r="D9224" t="str">
        <f>HYPERLINK("http://service.sap.com/sap/support/notes/1836156","1836156")</f>
        <v>1836156</v>
      </c>
      <c r="E9224">
        <v>3</v>
      </c>
      <c r="F9224" t="s">
        <v>10529</v>
      </c>
    </row>
    <row r="9225" spans="1:6" x14ac:dyDescent="0.25">
      <c r="A9225" t="s">
        <v>10927</v>
      </c>
      <c r="B9225" t="s">
        <v>3397</v>
      </c>
      <c r="C9225" t="s">
        <v>3398</v>
      </c>
      <c r="D9225" t="str">
        <f>HYPERLINK("http://service.sap.com/sap/support/notes/1813807","1813807")</f>
        <v>1813807</v>
      </c>
      <c r="E9225">
        <v>4</v>
      </c>
      <c r="F9225" t="s">
        <v>10530</v>
      </c>
    </row>
    <row r="9226" spans="1:6" x14ac:dyDescent="0.25">
      <c r="A9226" t="s">
        <v>10927</v>
      </c>
      <c r="B9226" t="s">
        <v>3397</v>
      </c>
      <c r="C9226" t="s">
        <v>3398</v>
      </c>
      <c r="D9226" t="str">
        <f>HYPERLINK("http://service.sap.com/sap/support/notes/1846682","1846682")</f>
        <v>1846682</v>
      </c>
      <c r="E9226">
        <v>3</v>
      </c>
      <c r="F9226" t="s">
        <v>10531</v>
      </c>
    </row>
    <row r="9227" spans="1:6" x14ac:dyDescent="0.25">
      <c r="A9227" t="s">
        <v>10927</v>
      </c>
      <c r="B9227" t="s">
        <v>3401</v>
      </c>
      <c r="C9227" t="s">
        <v>3402</v>
      </c>
      <c r="D9227" t="str">
        <f>HYPERLINK("http://service.sap.com/sap/support/notes/1638931","1638931")</f>
        <v>1638931</v>
      </c>
      <c r="E9227">
        <v>6</v>
      </c>
      <c r="F9227" t="s">
        <v>10532</v>
      </c>
    </row>
    <row r="9228" spans="1:6" x14ac:dyDescent="0.25">
      <c r="A9228" t="s">
        <v>10927</v>
      </c>
      <c r="B9228" t="s">
        <v>3401</v>
      </c>
      <c r="C9228" t="s">
        <v>3402</v>
      </c>
      <c r="D9228" t="str">
        <f>HYPERLINK("http://service.sap.com/sap/support/notes/1772135","1772135")</f>
        <v>1772135</v>
      </c>
      <c r="E9228">
        <v>3</v>
      </c>
      <c r="F9228" t="s">
        <v>10533</v>
      </c>
    </row>
    <row r="9229" spans="1:6" x14ac:dyDescent="0.25">
      <c r="A9229" t="s">
        <v>10927</v>
      </c>
      <c r="B9229" t="s">
        <v>3401</v>
      </c>
      <c r="C9229" t="s">
        <v>3402</v>
      </c>
      <c r="D9229" t="str">
        <f>HYPERLINK("http://service.sap.com/sap/support/notes/1828788","1828788")</f>
        <v>1828788</v>
      </c>
      <c r="E9229">
        <v>2</v>
      </c>
      <c r="F9229" t="s">
        <v>10534</v>
      </c>
    </row>
    <row r="9230" spans="1:6" x14ac:dyDescent="0.25">
      <c r="A9230" t="s">
        <v>10927</v>
      </c>
      <c r="B9230" t="s">
        <v>3401</v>
      </c>
      <c r="C9230" t="s">
        <v>3402</v>
      </c>
      <c r="D9230" t="str">
        <f>HYPERLINK("http://service.sap.com/sap/support/notes/1828929","1828929")</f>
        <v>1828929</v>
      </c>
      <c r="E9230">
        <v>5</v>
      </c>
      <c r="F9230" t="s">
        <v>10535</v>
      </c>
    </row>
    <row r="9231" spans="1:6" x14ac:dyDescent="0.25">
      <c r="A9231" t="s">
        <v>10927</v>
      </c>
      <c r="B9231" t="s">
        <v>3401</v>
      </c>
      <c r="C9231" t="s">
        <v>3402</v>
      </c>
      <c r="D9231" t="str">
        <f>HYPERLINK("http://service.sap.com/sap/support/notes/1830353","1830353")</f>
        <v>1830353</v>
      </c>
      <c r="E9231">
        <v>3</v>
      </c>
      <c r="F9231" t="s">
        <v>10536</v>
      </c>
    </row>
    <row r="9232" spans="1:6" x14ac:dyDescent="0.25">
      <c r="A9232" t="s">
        <v>10927</v>
      </c>
      <c r="B9232" t="s">
        <v>3401</v>
      </c>
      <c r="C9232" t="s">
        <v>3402</v>
      </c>
      <c r="D9232" t="str">
        <f>HYPERLINK("http://service.sap.com/sap/support/notes/1842573","1842573")</f>
        <v>1842573</v>
      </c>
      <c r="E9232">
        <v>1</v>
      </c>
      <c r="F9232" t="s">
        <v>10537</v>
      </c>
    </row>
    <row r="9233" spans="1:6" x14ac:dyDescent="0.25">
      <c r="A9233" t="s">
        <v>10927</v>
      </c>
      <c r="B9233" t="s">
        <v>3401</v>
      </c>
      <c r="C9233" t="s">
        <v>3402</v>
      </c>
      <c r="D9233" t="str">
        <f>HYPERLINK("http://service.sap.com/sap/support/notes/1848258","1848258")</f>
        <v>1848258</v>
      </c>
      <c r="E9233">
        <v>1</v>
      </c>
      <c r="F9233" t="s">
        <v>10538</v>
      </c>
    </row>
    <row r="9234" spans="1:6" x14ac:dyDescent="0.25">
      <c r="A9234" t="s">
        <v>10927</v>
      </c>
      <c r="B9234" t="s">
        <v>3401</v>
      </c>
      <c r="C9234" t="s">
        <v>3402</v>
      </c>
      <c r="D9234" t="str">
        <f>HYPERLINK("http://service.sap.com/sap/support/notes/1848327","1848327")</f>
        <v>1848327</v>
      </c>
      <c r="E9234">
        <v>4</v>
      </c>
      <c r="F9234" t="s">
        <v>10539</v>
      </c>
    </row>
    <row r="9235" spans="1:6" x14ac:dyDescent="0.25">
      <c r="A9235" t="s">
        <v>10927</v>
      </c>
      <c r="B9235" t="s">
        <v>3401</v>
      </c>
      <c r="C9235" t="s">
        <v>3402</v>
      </c>
      <c r="D9235" t="str">
        <f>HYPERLINK("http://service.sap.com/sap/support/notes/1850731","1850731")</f>
        <v>1850731</v>
      </c>
      <c r="E9235">
        <v>2</v>
      </c>
      <c r="F9235" t="s">
        <v>10540</v>
      </c>
    </row>
    <row r="9236" spans="1:6" x14ac:dyDescent="0.25">
      <c r="A9236" t="s">
        <v>10927</v>
      </c>
      <c r="B9236" t="s">
        <v>3401</v>
      </c>
      <c r="C9236" t="s">
        <v>3402</v>
      </c>
      <c r="D9236" t="str">
        <f>HYPERLINK("http://service.sap.com/sap/support/notes/1858810","1858810")</f>
        <v>1858810</v>
      </c>
      <c r="E9236">
        <v>1</v>
      </c>
      <c r="F9236" t="s">
        <v>10541</v>
      </c>
    </row>
    <row r="9237" spans="1:6" x14ac:dyDescent="0.25">
      <c r="A9237" t="s">
        <v>10927</v>
      </c>
      <c r="B9237" t="s">
        <v>10542</v>
      </c>
      <c r="C9237" t="s">
        <v>10543</v>
      </c>
      <c r="D9237" t="str">
        <f>HYPERLINK("http://service.sap.com/sap/support/notes/1850123","1850123")</f>
        <v>1850123</v>
      </c>
      <c r="E9237">
        <v>1</v>
      </c>
      <c r="F9237" t="s">
        <v>10544</v>
      </c>
    </row>
    <row r="9238" spans="1:6" x14ac:dyDescent="0.25">
      <c r="A9238" t="s">
        <v>10927</v>
      </c>
      <c r="B9238" t="s">
        <v>5995</v>
      </c>
      <c r="C9238" t="s">
        <v>5996</v>
      </c>
      <c r="D9238" t="str">
        <f>HYPERLINK("http://service.sap.com/sap/support/notes/1841382","1841382")</f>
        <v>1841382</v>
      </c>
      <c r="E9238">
        <v>5</v>
      </c>
      <c r="F9238" t="s">
        <v>10545</v>
      </c>
    </row>
    <row r="9239" spans="1:6" x14ac:dyDescent="0.25">
      <c r="A9239" t="s">
        <v>10927</v>
      </c>
      <c r="B9239" t="s">
        <v>10546</v>
      </c>
      <c r="C9239" t="s">
        <v>10547</v>
      </c>
      <c r="D9239" t="str">
        <f>HYPERLINK("http://service.sap.com/sap/support/notes/1632169","1632169")</f>
        <v>1632169</v>
      </c>
      <c r="E9239">
        <v>4</v>
      </c>
      <c r="F9239" t="s">
        <v>10548</v>
      </c>
    </row>
    <row r="9240" spans="1:6" x14ac:dyDescent="0.25">
      <c r="A9240" t="s">
        <v>10927</v>
      </c>
      <c r="B9240" t="s">
        <v>10546</v>
      </c>
      <c r="C9240" t="s">
        <v>10547</v>
      </c>
      <c r="D9240" t="str">
        <f>HYPERLINK("http://service.sap.com/sap/support/notes/1835581","1835581")</f>
        <v>1835581</v>
      </c>
      <c r="E9240">
        <v>5</v>
      </c>
      <c r="F9240" t="s">
        <v>10549</v>
      </c>
    </row>
    <row r="9241" spans="1:6" x14ac:dyDescent="0.25">
      <c r="A9241" t="s">
        <v>10927</v>
      </c>
      <c r="B9241" t="s">
        <v>3413</v>
      </c>
      <c r="C9241" t="s">
        <v>3414</v>
      </c>
      <c r="D9241" t="str">
        <f>HYPERLINK("http://service.sap.com/sap/support/notes/1766044","1766044")</f>
        <v>1766044</v>
      </c>
      <c r="E9241">
        <v>3</v>
      </c>
      <c r="F9241" t="s">
        <v>10550</v>
      </c>
    </row>
    <row r="9242" spans="1:6" x14ac:dyDescent="0.25">
      <c r="A9242" t="s">
        <v>10927</v>
      </c>
      <c r="B9242" t="s">
        <v>3418</v>
      </c>
      <c r="C9242" t="s">
        <v>3419</v>
      </c>
      <c r="D9242" t="str">
        <f>HYPERLINK("http://service.sap.com/sap/support/notes/1763386","1763386")</f>
        <v>1763386</v>
      </c>
      <c r="E9242">
        <v>4</v>
      </c>
      <c r="F9242" t="s">
        <v>10551</v>
      </c>
    </row>
    <row r="9243" spans="1:6" x14ac:dyDescent="0.25">
      <c r="A9243" t="s">
        <v>10927</v>
      </c>
      <c r="B9243" t="s">
        <v>3418</v>
      </c>
      <c r="C9243" t="s">
        <v>3419</v>
      </c>
      <c r="D9243" t="str">
        <f>HYPERLINK("http://service.sap.com/sap/support/notes/1783784","1783784")</f>
        <v>1783784</v>
      </c>
      <c r="E9243">
        <v>2</v>
      </c>
      <c r="F9243" t="s">
        <v>10552</v>
      </c>
    </row>
    <row r="9244" spans="1:6" x14ac:dyDescent="0.25">
      <c r="A9244" t="s">
        <v>10927</v>
      </c>
      <c r="B9244" t="s">
        <v>3420</v>
      </c>
      <c r="C9244" t="s">
        <v>3421</v>
      </c>
      <c r="D9244" t="str">
        <f>HYPERLINK("http://service.sap.com/sap/support/notes/1853127","1853127")</f>
        <v>1853127</v>
      </c>
      <c r="E9244">
        <v>2</v>
      </c>
      <c r="F9244" t="s">
        <v>10553</v>
      </c>
    </row>
    <row r="9245" spans="1:6" x14ac:dyDescent="0.25">
      <c r="A9245" t="s">
        <v>10927</v>
      </c>
      <c r="B9245" t="s">
        <v>3423</v>
      </c>
      <c r="C9245" t="s">
        <v>3424</v>
      </c>
      <c r="D9245" t="str">
        <f>HYPERLINK("http://service.sap.com/sap/support/notes/1795734","1795734")</f>
        <v>1795734</v>
      </c>
      <c r="E9245">
        <v>2</v>
      </c>
      <c r="F9245" t="s">
        <v>10554</v>
      </c>
    </row>
    <row r="9246" spans="1:6" x14ac:dyDescent="0.25">
      <c r="A9246" t="s">
        <v>10927</v>
      </c>
      <c r="B9246" t="s">
        <v>3423</v>
      </c>
      <c r="C9246" t="s">
        <v>3424</v>
      </c>
      <c r="D9246" t="str">
        <f>HYPERLINK("http://service.sap.com/sap/support/notes/1805156","1805156")</f>
        <v>1805156</v>
      </c>
      <c r="E9246">
        <v>6</v>
      </c>
      <c r="F9246" t="s">
        <v>10555</v>
      </c>
    </row>
    <row r="9247" spans="1:6" x14ac:dyDescent="0.25">
      <c r="A9247" t="s">
        <v>10927</v>
      </c>
      <c r="B9247" t="s">
        <v>3423</v>
      </c>
      <c r="C9247" t="s">
        <v>3424</v>
      </c>
      <c r="D9247" t="str">
        <f>HYPERLINK("http://service.sap.com/sap/support/notes/1812597","1812597")</f>
        <v>1812597</v>
      </c>
      <c r="E9247">
        <v>4</v>
      </c>
      <c r="F9247" t="s">
        <v>10556</v>
      </c>
    </row>
    <row r="9248" spans="1:6" x14ac:dyDescent="0.25">
      <c r="A9248" t="s">
        <v>10927</v>
      </c>
      <c r="B9248" t="s">
        <v>3423</v>
      </c>
      <c r="C9248" t="s">
        <v>3424</v>
      </c>
      <c r="D9248" t="str">
        <f>HYPERLINK("http://service.sap.com/sap/support/notes/1840458","1840458")</f>
        <v>1840458</v>
      </c>
      <c r="E9248">
        <v>6</v>
      </c>
      <c r="F9248" t="s">
        <v>10557</v>
      </c>
    </row>
    <row r="9249" spans="1:6" x14ac:dyDescent="0.25">
      <c r="A9249" t="s">
        <v>10927</v>
      </c>
      <c r="B9249" t="s">
        <v>3423</v>
      </c>
      <c r="C9249" t="s">
        <v>3424</v>
      </c>
      <c r="D9249" t="str">
        <f>HYPERLINK("http://service.sap.com/sap/support/notes/1857850","1857850")</f>
        <v>1857850</v>
      </c>
      <c r="E9249">
        <v>1</v>
      </c>
      <c r="F9249" t="s">
        <v>10558</v>
      </c>
    </row>
    <row r="9250" spans="1:6" x14ac:dyDescent="0.25">
      <c r="A9250" t="s">
        <v>10927</v>
      </c>
      <c r="B9250" t="s">
        <v>3434</v>
      </c>
      <c r="C9250" t="s">
        <v>3435</v>
      </c>
    </row>
    <row r="9251" spans="1:6" x14ac:dyDescent="0.25">
      <c r="A9251" t="s">
        <v>10927</v>
      </c>
      <c r="B9251" t="s">
        <v>3436</v>
      </c>
      <c r="C9251" t="s">
        <v>3437</v>
      </c>
      <c r="D9251" t="str">
        <f>HYPERLINK("http://service.sap.com/sap/support/notes/1834044","1834044")</f>
        <v>1834044</v>
      </c>
      <c r="E9251">
        <v>2</v>
      </c>
    </row>
    <row r="9252" spans="1:6" x14ac:dyDescent="0.25">
      <c r="A9252" t="s">
        <v>10927</v>
      </c>
      <c r="B9252" t="s">
        <v>3439</v>
      </c>
      <c r="C9252" t="s">
        <v>3440</v>
      </c>
    </row>
    <row r="9253" spans="1:6" x14ac:dyDescent="0.25">
      <c r="A9253" t="s">
        <v>10927</v>
      </c>
      <c r="B9253" t="s">
        <v>8459</v>
      </c>
      <c r="C9253" t="s">
        <v>8460</v>
      </c>
      <c r="D9253" t="str">
        <f>HYPERLINK("http://service.sap.com/sap/support/notes/1835913","1835913")</f>
        <v>1835913</v>
      </c>
      <c r="E9253">
        <v>1</v>
      </c>
      <c r="F9253" t="s">
        <v>10559</v>
      </c>
    </row>
    <row r="9254" spans="1:6" x14ac:dyDescent="0.25">
      <c r="A9254" t="s">
        <v>10927</v>
      </c>
      <c r="B9254" t="s">
        <v>3441</v>
      </c>
      <c r="C9254" t="s">
        <v>3442</v>
      </c>
    </row>
    <row r="9255" spans="1:6" x14ac:dyDescent="0.25">
      <c r="A9255" t="s">
        <v>10927</v>
      </c>
      <c r="B9255" t="s">
        <v>3443</v>
      </c>
      <c r="C9255" t="s">
        <v>3444</v>
      </c>
      <c r="D9255" t="str">
        <f>HYPERLINK("http://service.sap.com/sap/support/notes/1841099","1841099")</f>
        <v>1841099</v>
      </c>
      <c r="E9255">
        <v>1</v>
      </c>
      <c r="F9255" t="s">
        <v>10560</v>
      </c>
    </row>
    <row r="9256" spans="1:6" x14ac:dyDescent="0.25">
      <c r="A9256" t="s">
        <v>10927</v>
      </c>
      <c r="B9256" t="s">
        <v>3447</v>
      </c>
      <c r="C9256" t="s">
        <v>2205</v>
      </c>
    </row>
    <row r="9257" spans="1:6" x14ac:dyDescent="0.25">
      <c r="A9257" t="s">
        <v>10927</v>
      </c>
      <c r="B9257" t="s">
        <v>3455</v>
      </c>
      <c r="C9257" t="s">
        <v>2207</v>
      </c>
      <c r="D9257" t="str">
        <f>HYPERLINK("http://service.sap.com/sap/support/notes/1812919","1812919")</f>
        <v>1812919</v>
      </c>
      <c r="E9257">
        <v>4</v>
      </c>
      <c r="F9257" t="s">
        <v>10561</v>
      </c>
    </row>
    <row r="9258" spans="1:6" x14ac:dyDescent="0.25">
      <c r="A9258" t="s">
        <v>10927</v>
      </c>
      <c r="B9258" t="s">
        <v>3455</v>
      </c>
      <c r="C9258" t="s">
        <v>2207</v>
      </c>
      <c r="D9258" t="str">
        <f>HYPERLINK("http://service.sap.com/sap/support/notes/1823476","1823476")</f>
        <v>1823476</v>
      </c>
      <c r="E9258">
        <v>2</v>
      </c>
      <c r="F9258" t="s">
        <v>10562</v>
      </c>
    </row>
    <row r="9259" spans="1:6" x14ac:dyDescent="0.25">
      <c r="A9259" t="s">
        <v>10927</v>
      </c>
      <c r="B9259" t="s">
        <v>3455</v>
      </c>
      <c r="C9259" t="s">
        <v>2207</v>
      </c>
      <c r="D9259" t="str">
        <f>HYPERLINK("http://service.sap.com/sap/support/notes/1854949","1854949")</f>
        <v>1854949</v>
      </c>
      <c r="E9259">
        <v>3</v>
      </c>
      <c r="F9259" t="s">
        <v>10563</v>
      </c>
    </row>
    <row r="9260" spans="1:6" x14ac:dyDescent="0.25">
      <c r="A9260" t="s">
        <v>10927</v>
      </c>
      <c r="B9260" t="s">
        <v>3467</v>
      </c>
      <c r="C9260" t="s">
        <v>151</v>
      </c>
      <c r="D9260" t="str">
        <f>HYPERLINK("http://service.sap.com/sap/support/notes/1791227","1791227")</f>
        <v>1791227</v>
      </c>
      <c r="E9260">
        <v>4</v>
      </c>
      <c r="F9260" t="s">
        <v>10564</v>
      </c>
    </row>
    <row r="9261" spans="1:6" x14ac:dyDescent="0.25">
      <c r="A9261" t="s">
        <v>10927</v>
      </c>
      <c r="B9261" t="s">
        <v>3467</v>
      </c>
      <c r="C9261" t="s">
        <v>151</v>
      </c>
      <c r="D9261" t="str">
        <f>HYPERLINK("http://service.sap.com/sap/support/notes/1836721","1836721")</f>
        <v>1836721</v>
      </c>
      <c r="E9261">
        <v>2</v>
      </c>
      <c r="F9261" t="s">
        <v>10565</v>
      </c>
    </row>
    <row r="9262" spans="1:6" x14ac:dyDescent="0.25">
      <c r="A9262" t="s">
        <v>10927</v>
      </c>
      <c r="B9262" t="s">
        <v>3467</v>
      </c>
      <c r="C9262" t="s">
        <v>151</v>
      </c>
      <c r="D9262" t="str">
        <f>HYPERLINK("http://service.sap.com/sap/support/notes/1837386","1837386")</f>
        <v>1837386</v>
      </c>
      <c r="E9262">
        <v>1</v>
      </c>
    </row>
    <row r="9263" spans="1:6" x14ac:dyDescent="0.25">
      <c r="A9263" t="s">
        <v>10927</v>
      </c>
      <c r="B9263" t="s">
        <v>3467</v>
      </c>
      <c r="C9263" t="s">
        <v>151</v>
      </c>
      <c r="D9263" t="str">
        <f>HYPERLINK("http://service.sap.com/sap/support/notes/1859167","1859167")</f>
        <v>1859167</v>
      </c>
      <c r="E9263">
        <v>3</v>
      </c>
      <c r="F9263" t="s">
        <v>10566</v>
      </c>
    </row>
    <row r="9264" spans="1:6" x14ac:dyDescent="0.25">
      <c r="A9264" t="s">
        <v>10927</v>
      </c>
      <c r="B9264" t="s">
        <v>3471</v>
      </c>
      <c r="C9264" t="s">
        <v>29</v>
      </c>
    </row>
    <row r="9265" spans="1:6" x14ac:dyDescent="0.25">
      <c r="A9265" t="s">
        <v>10927</v>
      </c>
      <c r="B9265" t="s">
        <v>3472</v>
      </c>
      <c r="C9265" t="s">
        <v>3473</v>
      </c>
      <c r="D9265" t="str">
        <f>HYPERLINK("http://service.sap.com/sap/support/notes/1817556","1817556")</f>
        <v>1817556</v>
      </c>
      <c r="E9265">
        <v>1</v>
      </c>
      <c r="F9265" t="s">
        <v>10567</v>
      </c>
    </row>
    <row r="9266" spans="1:6" x14ac:dyDescent="0.25">
      <c r="A9266" t="s">
        <v>10927</v>
      </c>
      <c r="B9266" t="s">
        <v>8471</v>
      </c>
      <c r="C9266" t="s">
        <v>8472</v>
      </c>
      <c r="D9266" t="str">
        <f>HYPERLINK("http://service.sap.com/sap/support/notes/1826801","1826801")</f>
        <v>1826801</v>
      </c>
      <c r="E9266">
        <v>2</v>
      </c>
      <c r="F9266" t="s">
        <v>10568</v>
      </c>
    </row>
    <row r="9267" spans="1:6" x14ac:dyDescent="0.25">
      <c r="A9267" t="s">
        <v>10927</v>
      </c>
      <c r="B9267" t="s">
        <v>3481</v>
      </c>
      <c r="C9267" t="s">
        <v>3482</v>
      </c>
      <c r="D9267" t="str">
        <f>HYPERLINK("http://service.sap.com/sap/support/notes/1789053","1789053")</f>
        <v>1789053</v>
      </c>
      <c r="E9267">
        <v>4</v>
      </c>
      <c r="F9267" t="s">
        <v>10569</v>
      </c>
    </row>
    <row r="9268" spans="1:6" x14ac:dyDescent="0.25">
      <c r="A9268" t="s">
        <v>10927</v>
      </c>
      <c r="B9268" t="s">
        <v>3481</v>
      </c>
      <c r="C9268" t="s">
        <v>3482</v>
      </c>
      <c r="D9268" t="str">
        <f>HYPERLINK("http://service.sap.com/sap/support/notes/1827851","1827851")</f>
        <v>1827851</v>
      </c>
      <c r="E9268">
        <v>1</v>
      </c>
      <c r="F9268" t="s">
        <v>10570</v>
      </c>
    </row>
    <row r="9269" spans="1:6" x14ac:dyDescent="0.25">
      <c r="A9269" t="s">
        <v>10927</v>
      </c>
      <c r="B9269" t="s">
        <v>3481</v>
      </c>
      <c r="C9269" t="s">
        <v>3482</v>
      </c>
      <c r="D9269" t="str">
        <f>HYPERLINK("http://service.sap.com/sap/support/notes/1828163","1828163")</f>
        <v>1828163</v>
      </c>
      <c r="E9269">
        <v>2</v>
      </c>
      <c r="F9269" t="s">
        <v>10571</v>
      </c>
    </row>
    <row r="9270" spans="1:6" x14ac:dyDescent="0.25">
      <c r="A9270" t="s">
        <v>10927</v>
      </c>
      <c r="B9270" t="s">
        <v>3481</v>
      </c>
      <c r="C9270" t="s">
        <v>3482</v>
      </c>
      <c r="D9270" t="str">
        <f>HYPERLINK("http://service.sap.com/sap/support/notes/1831611","1831611")</f>
        <v>1831611</v>
      </c>
      <c r="E9270">
        <v>2</v>
      </c>
      <c r="F9270" t="s">
        <v>10572</v>
      </c>
    </row>
    <row r="9271" spans="1:6" x14ac:dyDescent="0.25">
      <c r="A9271" t="s">
        <v>10927</v>
      </c>
      <c r="B9271" t="s">
        <v>3495</v>
      </c>
      <c r="C9271" t="s">
        <v>3496</v>
      </c>
      <c r="D9271" t="str">
        <f>HYPERLINK("http://service.sap.com/sap/support/notes/1846665","1846665")</f>
        <v>1846665</v>
      </c>
      <c r="E9271">
        <v>1</v>
      </c>
    </row>
    <row r="9272" spans="1:6" x14ac:dyDescent="0.25">
      <c r="A9272" t="s">
        <v>10927</v>
      </c>
      <c r="B9272" t="s">
        <v>3497</v>
      </c>
      <c r="C9272" t="s">
        <v>1925</v>
      </c>
      <c r="D9272" t="str">
        <f>HYPERLINK("http://service.sap.com/sap/support/notes/1855896","1855896")</f>
        <v>1855896</v>
      </c>
      <c r="E9272">
        <v>3</v>
      </c>
      <c r="F9272" t="s">
        <v>10573</v>
      </c>
    </row>
    <row r="9273" spans="1:6" x14ac:dyDescent="0.25">
      <c r="A9273" t="s">
        <v>10927</v>
      </c>
      <c r="B9273" t="s">
        <v>3499</v>
      </c>
      <c r="C9273" t="s">
        <v>1878</v>
      </c>
      <c r="D9273" t="str">
        <f>HYPERLINK("http://service.sap.com/sap/support/notes/1792532","1792532")</f>
        <v>1792532</v>
      </c>
      <c r="E9273">
        <v>1</v>
      </c>
      <c r="F9273" t="s">
        <v>10574</v>
      </c>
    </row>
    <row r="9274" spans="1:6" x14ac:dyDescent="0.25">
      <c r="A9274" t="s">
        <v>10927</v>
      </c>
      <c r="B9274" t="s">
        <v>3499</v>
      </c>
      <c r="C9274" t="s">
        <v>1878</v>
      </c>
      <c r="D9274" t="str">
        <f>HYPERLINK("http://service.sap.com/sap/support/notes/1807771","1807771")</f>
        <v>1807771</v>
      </c>
      <c r="E9274">
        <v>2</v>
      </c>
      <c r="F9274" t="s">
        <v>10575</v>
      </c>
    </row>
    <row r="9275" spans="1:6" x14ac:dyDescent="0.25">
      <c r="A9275" t="s">
        <v>10927</v>
      </c>
      <c r="B9275" t="s">
        <v>3499</v>
      </c>
      <c r="C9275" t="s">
        <v>1878</v>
      </c>
      <c r="D9275" t="str">
        <f>HYPERLINK("http://service.sap.com/sap/support/notes/1824301","1824301")</f>
        <v>1824301</v>
      </c>
      <c r="E9275">
        <v>4</v>
      </c>
      <c r="F9275" t="s">
        <v>10576</v>
      </c>
    </row>
    <row r="9276" spans="1:6" x14ac:dyDescent="0.25">
      <c r="A9276" t="s">
        <v>10927</v>
      </c>
      <c r="B9276" t="s">
        <v>3499</v>
      </c>
      <c r="C9276" t="s">
        <v>1878</v>
      </c>
      <c r="D9276" t="str">
        <f>HYPERLINK("http://service.sap.com/sap/support/notes/1833093","1833093")</f>
        <v>1833093</v>
      </c>
      <c r="E9276">
        <v>2</v>
      </c>
      <c r="F9276" t="s">
        <v>10577</v>
      </c>
    </row>
    <row r="9277" spans="1:6" x14ac:dyDescent="0.25">
      <c r="A9277" t="s">
        <v>10927</v>
      </c>
      <c r="B9277" t="s">
        <v>3499</v>
      </c>
      <c r="C9277" t="s">
        <v>1878</v>
      </c>
      <c r="D9277" t="str">
        <f>HYPERLINK("http://service.sap.com/sap/support/notes/1834551","1834551")</f>
        <v>1834551</v>
      </c>
      <c r="E9277">
        <v>5</v>
      </c>
      <c r="F9277" t="s">
        <v>10578</v>
      </c>
    </row>
    <row r="9278" spans="1:6" x14ac:dyDescent="0.25">
      <c r="A9278" t="s">
        <v>10927</v>
      </c>
      <c r="B9278" t="s">
        <v>3499</v>
      </c>
      <c r="C9278" t="s">
        <v>1878</v>
      </c>
      <c r="D9278" t="str">
        <f>HYPERLINK("http://service.sap.com/sap/support/notes/1838541","1838541")</f>
        <v>1838541</v>
      </c>
      <c r="E9278">
        <v>3</v>
      </c>
      <c r="F9278" t="s">
        <v>10579</v>
      </c>
    </row>
    <row r="9279" spans="1:6" x14ac:dyDescent="0.25">
      <c r="A9279" t="s">
        <v>10927</v>
      </c>
      <c r="B9279" t="s">
        <v>3499</v>
      </c>
      <c r="C9279" t="s">
        <v>1878</v>
      </c>
      <c r="D9279" t="str">
        <f>HYPERLINK("http://service.sap.com/sap/support/notes/1839041","1839041")</f>
        <v>1839041</v>
      </c>
      <c r="E9279">
        <v>3</v>
      </c>
      <c r="F9279" t="s">
        <v>10580</v>
      </c>
    </row>
    <row r="9280" spans="1:6" x14ac:dyDescent="0.25">
      <c r="A9280" t="s">
        <v>10927</v>
      </c>
      <c r="B9280" t="s">
        <v>3499</v>
      </c>
      <c r="C9280" t="s">
        <v>1878</v>
      </c>
      <c r="D9280" t="str">
        <f>HYPERLINK("http://service.sap.com/sap/support/notes/1843123","1843123")</f>
        <v>1843123</v>
      </c>
      <c r="E9280">
        <v>4</v>
      </c>
      <c r="F9280" t="s">
        <v>10581</v>
      </c>
    </row>
    <row r="9281" spans="1:6" x14ac:dyDescent="0.25">
      <c r="A9281" t="s">
        <v>10927</v>
      </c>
      <c r="B9281" t="s">
        <v>3499</v>
      </c>
      <c r="C9281" t="s">
        <v>1878</v>
      </c>
      <c r="D9281" t="str">
        <f>HYPERLINK("http://service.sap.com/sap/support/notes/1847261","1847261")</f>
        <v>1847261</v>
      </c>
      <c r="E9281">
        <v>1</v>
      </c>
      <c r="F9281" t="s">
        <v>10582</v>
      </c>
    </row>
    <row r="9282" spans="1:6" x14ac:dyDescent="0.25">
      <c r="A9282" t="s">
        <v>10927</v>
      </c>
      <c r="B9282" t="s">
        <v>3499</v>
      </c>
      <c r="C9282" t="s">
        <v>1878</v>
      </c>
      <c r="D9282" t="str">
        <f>HYPERLINK("http://service.sap.com/sap/support/notes/1851673","1851673")</f>
        <v>1851673</v>
      </c>
      <c r="E9282">
        <v>1</v>
      </c>
      <c r="F9282" t="s">
        <v>10583</v>
      </c>
    </row>
    <row r="9283" spans="1:6" x14ac:dyDescent="0.25">
      <c r="A9283" t="s">
        <v>10927</v>
      </c>
      <c r="B9283" t="s">
        <v>3499</v>
      </c>
      <c r="C9283" t="s">
        <v>1878</v>
      </c>
      <c r="D9283" t="str">
        <f>HYPERLINK("http://service.sap.com/sap/support/notes/1852774","1852774")</f>
        <v>1852774</v>
      </c>
      <c r="E9283">
        <v>1</v>
      </c>
      <c r="F9283" t="s">
        <v>10584</v>
      </c>
    </row>
    <row r="9284" spans="1:6" x14ac:dyDescent="0.25">
      <c r="A9284" t="s">
        <v>10927</v>
      </c>
      <c r="B9284" t="s">
        <v>3499</v>
      </c>
      <c r="C9284" t="s">
        <v>1878</v>
      </c>
      <c r="D9284" t="str">
        <f>HYPERLINK("http://service.sap.com/sap/support/notes/1852922","1852922")</f>
        <v>1852922</v>
      </c>
      <c r="E9284">
        <v>1</v>
      </c>
      <c r="F9284" t="s">
        <v>10585</v>
      </c>
    </row>
    <row r="9285" spans="1:6" x14ac:dyDescent="0.25">
      <c r="A9285" t="s">
        <v>10927</v>
      </c>
      <c r="B9285" t="s">
        <v>3499</v>
      </c>
      <c r="C9285" t="s">
        <v>1878</v>
      </c>
      <c r="D9285" t="str">
        <f>HYPERLINK("http://service.sap.com/sap/support/notes/1856451","1856451")</f>
        <v>1856451</v>
      </c>
      <c r="E9285">
        <v>1</v>
      </c>
      <c r="F9285" t="s">
        <v>10586</v>
      </c>
    </row>
    <row r="9286" spans="1:6" x14ac:dyDescent="0.25">
      <c r="A9286" t="s">
        <v>10927</v>
      </c>
      <c r="B9286" t="s">
        <v>3499</v>
      </c>
      <c r="C9286" t="s">
        <v>1878</v>
      </c>
      <c r="D9286" t="str">
        <f>HYPERLINK("http://service.sap.com/sap/support/notes/1858103","1858103")</f>
        <v>1858103</v>
      </c>
      <c r="E9286">
        <v>1</v>
      </c>
      <c r="F9286" t="s">
        <v>10587</v>
      </c>
    </row>
    <row r="9287" spans="1:6" x14ac:dyDescent="0.25">
      <c r="A9287" t="s">
        <v>10927</v>
      </c>
      <c r="B9287" t="s">
        <v>3499</v>
      </c>
      <c r="C9287" t="s">
        <v>1878</v>
      </c>
      <c r="D9287" t="str">
        <f>HYPERLINK("http://service.sap.com/sap/support/notes/1859609","1859609")</f>
        <v>1859609</v>
      </c>
      <c r="E9287">
        <v>1</v>
      </c>
      <c r="F9287" t="s">
        <v>10588</v>
      </c>
    </row>
    <row r="9288" spans="1:6" x14ac:dyDescent="0.25">
      <c r="A9288" t="s">
        <v>10927</v>
      </c>
      <c r="B9288" t="s">
        <v>3499</v>
      </c>
      <c r="C9288" t="s">
        <v>1878</v>
      </c>
      <c r="D9288" t="str">
        <f>HYPERLINK("http://service.sap.com/sap/support/notes/1859897","1859897")</f>
        <v>1859897</v>
      </c>
      <c r="E9288">
        <v>1</v>
      </c>
      <c r="F9288" t="s">
        <v>10589</v>
      </c>
    </row>
    <row r="9289" spans="1:6" x14ac:dyDescent="0.25">
      <c r="A9289" t="s">
        <v>10927</v>
      </c>
      <c r="B9289" t="s">
        <v>3499</v>
      </c>
      <c r="C9289" t="s">
        <v>1878</v>
      </c>
      <c r="D9289" t="str">
        <f>HYPERLINK("http://service.sap.com/sap/support/notes/1863428","1863428")</f>
        <v>1863428</v>
      </c>
      <c r="E9289">
        <v>1</v>
      </c>
      <c r="F9289" t="s">
        <v>10590</v>
      </c>
    </row>
    <row r="9290" spans="1:6" x14ac:dyDescent="0.25">
      <c r="A9290" t="s">
        <v>10927</v>
      </c>
      <c r="B9290" t="s">
        <v>3503</v>
      </c>
      <c r="C9290" t="s">
        <v>3504</v>
      </c>
      <c r="D9290" t="str">
        <f>HYPERLINK("http://service.sap.com/sap/support/notes/1652645","1652645")</f>
        <v>1652645</v>
      </c>
      <c r="E9290">
        <v>2</v>
      </c>
      <c r="F9290" t="s">
        <v>10591</v>
      </c>
    </row>
    <row r="9291" spans="1:6" x14ac:dyDescent="0.25">
      <c r="A9291" t="s">
        <v>10927</v>
      </c>
      <c r="B9291" t="s">
        <v>3503</v>
      </c>
      <c r="C9291" t="s">
        <v>3504</v>
      </c>
      <c r="D9291" t="str">
        <f>HYPERLINK("http://service.sap.com/sap/support/notes/1821926","1821926")</f>
        <v>1821926</v>
      </c>
      <c r="E9291">
        <v>1</v>
      </c>
      <c r="F9291" t="s">
        <v>10592</v>
      </c>
    </row>
    <row r="9292" spans="1:6" x14ac:dyDescent="0.25">
      <c r="A9292" t="s">
        <v>10927</v>
      </c>
      <c r="B9292" t="s">
        <v>3503</v>
      </c>
      <c r="C9292" t="s">
        <v>3504</v>
      </c>
      <c r="D9292" t="str">
        <f>HYPERLINK("http://service.sap.com/sap/support/notes/1822008","1822008")</f>
        <v>1822008</v>
      </c>
      <c r="E9292">
        <v>5</v>
      </c>
      <c r="F9292" t="s">
        <v>10593</v>
      </c>
    </row>
    <row r="9293" spans="1:6" x14ac:dyDescent="0.25">
      <c r="A9293" t="s">
        <v>10927</v>
      </c>
      <c r="B9293" t="s">
        <v>3503</v>
      </c>
      <c r="C9293" t="s">
        <v>3504</v>
      </c>
      <c r="D9293" t="str">
        <f>HYPERLINK("http://service.sap.com/sap/support/notes/1828495","1828495")</f>
        <v>1828495</v>
      </c>
      <c r="E9293">
        <v>3</v>
      </c>
      <c r="F9293" t="s">
        <v>10594</v>
      </c>
    </row>
    <row r="9294" spans="1:6" x14ac:dyDescent="0.25">
      <c r="A9294" t="s">
        <v>10927</v>
      </c>
      <c r="B9294" t="s">
        <v>3503</v>
      </c>
      <c r="C9294" t="s">
        <v>3504</v>
      </c>
      <c r="D9294" t="str">
        <f>HYPERLINK("http://service.sap.com/sap/support/notes/1832109","1832109")</f>
        <v>1832109</v>
      </c>
      <c r="E9294">
        <v>1</v>
      </c>
      <c r="F9294" t="s">
        <v>10595</v>
      </c>
    </row>
    <row r="9295" spans="1:6" x14ac:dyDescent="0.25">
      <c r="A9295" t="s">
        <v>10927</v>
      </c>
      <c r="B9295" t="s">
        <v>3503</v>
      </c>
      <c r="C9295" t="s">
        <v>3504</v>
      </c>
      <c r="D9295" t="str">
        <f>HYPERLINK("http://service.sap.com/sap/support/notes/1836916","1836916")</f>
        <v>1836916</v>
      </c>
      <c r="E9295">
        <v>3</v>
      </c>
      <c r="F9295" t="s">
        <v>10596</v>
      </c>
    </row>
    <row r="9296" spans="1:6" x14ac:dyDescent="0.25">
      <c r="A9296" t="s">
        <v>10927</v>
      </c>
      <c r="B9296" t="s">
        <v>3503</v>
      </c>
      <c r="C9296" t="s">
        <v>3504</v>
      </c>
      <c r="D9296" t="str">
        <f>HYPERLINK("http://service.sap.com/sap/support/notes/1837747","1837747")</f>
        <v>1837747</v>
      </c>
      <c r="E9296">
        <v>4</v>
      </c>
      <c r="F9296" t="s">
        <v>10597</v>
      </c>
    </row>
    <row r="9297" spans="1:6" x14ac:dyDescent="0.25">
      <c r="A9297" t="s">
        <v>10927</v>
      </c>
      <c r="B9297" t="s">
        <v>3503</v>
      </c>
      <c r="C9297" t="s">
        <v>3504</v>
      </c>
      <c r="D9297" t="str">
        <f>HYPERLINK("http://service.sap.com/sap/support/notes/1859185","1859185")</f>
        <v>1859185</v>
      </c>
      <c r="E9297">
        <v>1</v>
      </c>
      <c r="F9297" t="s">
        <v>10598</v>
      </c>
    </row>
    <row r="9298" spans="1:6" x14ac:dyDescent="0.25">
      <c r="A9298" t="s">
        <v>10927</v>
      </c>
      <c r="B9298" t="s">
        <v>3503</v>
      </c>
      <c r="C9298" t="s">
        <v>3504</v>
      </c>
      <c r="D9298" t="str">
        <f>HYPERLINK("http://service.sap.com/sap/support/notes/1859429","1859429")</f>
        <v>1859429</v>
      </c>
      <c r="E9298">
        <v>1</v>
      </c>
      <c r="F9298" t="s">
        <v>10599</v>
      </c>
    </row>
    <row r="9299" spans="1:6" x14ac:dyDescent="0.25">
      <c r="A9299" t="s">
        <v>10927</v>
      </c>
      <c r="B9299" t="s">
        <v>3503</v>
      </c>
      <c r="C9299" t="s">
        <v>3504</v>
      </c>
      <c r="D9299" t="str">
        <f>HYPERLINK("http://service.sap.com/sap/support/notes/1860022","1860022")</f>
        <v>1860022</v>
      </c>
      <c r="E9299">
        <v>1</v>
      </c>
      <c r="F9299" t="s">
        <v>10600</v>
      </c>
    </row>
    <row r="9300" spans="1:6" x14ac:dyDescent="0.25">
      <c r="A9300" t="s">
        <v>10927</v>
      </c>
      <c r="B9300" t="s">
        <v>8493</v>
      </c>
      <c r="C9300" t="s">
        <v>1743</v>
      </c>
      <c r="D9300" t="str">
        <f>HYPERLINK("http://service.sap.com/sap/support/notes/1838262","1838262")</f>
        <v>1838262</v>
      </c>
      <c r="E9300">
        <v>2</v>
      </c>
      <c r="F9300" t="s">
        <v>10601</v>
      </c>
    </row>
    <row r="9301" spans="1:6" x14ac:dyDescent="0.25">
      <c r="A9301" t="s">
        <v>10927</v>
      </c>
      <c r="B9301" t="s">
        <v>3508</v>
      </c>
      <c r="C9301" t="s">
        <v>151</v>
      </c>
    </row>
    <row r="9302" spans="1:6" x14ac:dyDescent="0.25">
      <c r="A9302" t="s">
        <v>10927</v>
      </c>
      <c r="B9302" t="s">
        <v>6038</v>
      </c>
      <c r="C9302" t="s">
        <v>6039</v>
      </c>
      <c r="D9302" t="str">
        <f>HYPERLINK("http://service.sap.com/sap/support/notes/1798275","1798275")</f>
        <v>1798275</v>
      </c>
      <c r="E9302">
        <v>3</v>
      </c>
      <c r="F9302" t="s">
        <v>10602</v>
      </c>
    </row>
    <row r="9303" spans="1:6" x14ac:dyDescent="0.25">
      <c r="A9303" t="s">
        <v>10927</v>
      </c>
      <c r="B9303" t="s">
        <v>6038</v>
      </c>
      <c r="C9303" t="s">
        <v>6039</v>
      </c>
      <c r="D9303" t="str">
        <f>HYPERLINK("http://service.sap.com/sap/support/notes/1808465","1808465")</f>
        <v>1808465</v>
      </c>
      <c r="E9303">
        <v>1</v>
      </c>
    </row>
    <row r="9304" spans="1:6" x14ac:dyDescent="0.25">
      <c r="A9304" t="s">
        <v>10927</v>
      </c>
      <c r="B9304" t="s">
        <v>6044</v>
      </c>
      <c r="C9304" t="s">
        <v>6045</v>
      </c>
      <c r="D9304" t="str">
        <f>HYPERLINK("http://service.sap.com/sap/support/notes/1612183","1612183")</f>
        <v>1612183</v>
      </c>
      <c r="E9304">
        <v>5</v>
      </c>
      <c r="F9304" t="s">
        <v>10603</v>
      </c>
    </row>
    <row r="9305" spans="1:6" x14ac:dyDescent="0.25">
      <c r="A9305" t="s">
        <v>10927</v>
      </c>
      <c r="B9305" t="s">
        <v>6044</v>
      </c>
      <c r="C9305" t="s">
        <v>6045</v>
      </c>
      <c r="D9305" t="str">
        <f>HYPERLINK("http://service.sap.com/sap/support/notes/1852889","1852889")</f>
        <v>1852889</v>
      </c>
      <c r="E9305">
        <v>2</v>
      </c>
      <c r="F9305" t="s">
        <v>10604</v>
      </c>
    </row>
    <row r="9306" spans="1:6" x14ac:dyDescent="0.25">
      <c r="A9306" t="s">
        <v>10927</v>
      </c>
      <c r="B9306" t="s">
        <v>3509</v>
      </c>
      <c r="C9306" t="s">
        <v>3510</v>
      </c>
      <c r="D9306" t="str">
        <f>HYPERLINK("http://service.sap.com/sap/support/notes/1838831","1838831")</f>
        <v>1838831</v>
      </c>
      <c r="E9306">
        <v>3</v>
      </c>
      <c r="F9306" t="s">
        <v>10605</v>
      </c>
    </row>
    <row r="9307" spans="1:6" x14ac:dyDescent="0.25">
      <c r="A9307" t="s">
        <v>10927</v>
      </c>
      <c r="B9307" t="s">
        <v>3509</v>
      </c>
      <c r="C9307" t="s">
        <v>3510</v>
      </c>
      <c r="D9307" t="str">
        <f>HYPERLINK("http://service.sap.com/sap/support/notes/1841628","1841628")</f>
        <v>1841628</v>
      </c>
      <c r="E9307">
        <v>2</v>
      </c>
      <c r="F9307" t="s">
        <v>10606</v>
      </c>
    </row>
    <row r="9308" spans="1:6" x14ac:dyDescent="0.25">
      <c r="A9308" t="s">
        <v>10927</v>
      </c>
      <c r="B9308" t="s">
        <v>3509</v>
      </c>
      <c r="C9308" t="s">
        <v>3510</v>
      </c>
      <c r="D9308" t="str">
        <f>HYPERLINK("http://service.sap.com/sap/support/notes/1851664","1851664")</f>
        <v>1851664</v>
      </c>
      <c r="E9308">
        <v>2</v>
      </c>
      <c r="F9308" t="s">
        <v>10607</v>
      </c>
    </row>
    <row r="9309" spans="1:6" x14ac:dyDescent="0.25">
      <c r="A9309" t="s">
        <v>10927</v>
      </c>
      <c r="B9309" t="s">
        <v>3509</v>
      </c>
      <c r="C9309" t="s">
        <v>3510</v>
      </c>
      <c r="D9309" t="str">
        <f>HYPERLINK("http://service.sap.com/sap/support/notes/1852316","1852316")</f>
        <v>1852316</v>
      </c>
      <c r="E9309">
        <v>2</v>
      </c>
      <c r="F9309" t="s">
        <v>10608</v>
      </c>
    </row>
    <row r="9310" spans="1:6" x14ac:dyDescent="0.25">
      <c r="A9310" t="s">
        <v>10927</v>
      </c>
      <c r="B9310" t="s">
        <v>3516</v>
      </c>
      <c r="C9310" t="s">
        <v>3517</v>
      </c>
      <c r="D9310" t="str">
        <f>HYPERLINK("http://service.sap.com/sap/support/notes/1824049","1824049")</f>
        <v>1824049</v>
      </c>
      <c r="E9310">
        <v>2</v>
      </c>
      <c r="F9310" t="s">
        <v>10609</v>
      </c>
    </row>
    <row r="9311" spans="1:6" x14ac:dyDescent="0.25">
      <c r="A9311" t="s">
        <v>10927</v>
      </c>
      <c r="B9311" t="s">
        <v>3516</v>
      </c>
      <c r="C9311" t="s">
        <v>3517</v>
      </c>
      <c r="D9311" t="str">
        <f>HYPERLINK("http://service.sap.com/sap/support/notes/1830830","1830830")</f>
        <v>1830830</v>
      </c>
      <c r="E9311">
        <v>2</v>
      </c>
      <c r="F9311" t="s">
        <v>10610</v>
      </c>
    </row>
    <row r="9312" spans="1:6" x14ac:dyDescent="0.25">
      <c r="A9312" t="s">
        <v>10927</v>
      </c>
      <c r="B9312" t="s">
        <v>3516</v>
      </c>
      <c r="C9312" t="s">
        <v>3517</v>
      </c>
      <c r="D9312" t="str">
        <f>HYPERLINK("http://service.sap.com/sap/support/notes/1844811","1844811")</f>
        <v>1844811</v>
      </c>
      <c r="E9312">
        <v>3</v>
      </c>
      <c r="F9312" t="s">
        <v>10611</v>
      </c>
    </row>
    <row r="9313" spans="1:6" x14ac:dyDescent="0.25">
      <c r="A9313" t="s">
        <v>10927</v>
      </c>
      <c r="B9313" t="s">
        <v>3516</v>
      </c>
      <c r="C9313" t="s">
        <v>3517</v>
      </c>
      <c r="D9313" t="str">
        <f>HYPERLINK("http://service.sap.com/sap/support/notes/1855539","1855539")</f>
        <v>1855539</v>
      </c>
      <c r="E9313">
        <v>1</v>
      </c>
      <c r="F9313" t="s">
        <v>10612</v>
      </c>
    </row>
    <row r="9314" spans="1:6" x14ac:dyDescent="0.25">
      <c r="A9314" t="s">
        <v>10927</v>
      </c>
      <c r="B9314" t="s">
        <v>10613</v>
      </c>
      <c r="C9314" t="s">
        <v>10614</v>
      </c>
      <c r="D9314" t="str">
        <f>HYPERLINK("http://service.sap.com/sap/support/notes/1836477","1836477")</f>
        <v>1836477</v>
      </c>
      <c r="E9314">
        <v>4</v>
      </c>
      <c r="F9314" t="s">
        <v>10615</v>
      </c>
    </row>
    <row r="9315" spans="1:6" x14ac:dyDescent="0.25">
      <c r="A9315" t="s">
        <v>10927</v>
      </c>
      <c r="B9315" t="s">
        <v>3523</v>
      </c>
      <c r="C9315" t="s">
        <v>3524</v>
      </c>
      <c r="D9315" t="str">
        <f>HYPERLINK("http://service.sap.com/sap/support/notes/1835623","1835623")</f>
        <v>1835623</v>
      </c>
      <c r="E9315">
        <v>2</v>
      </c>
    </row>
    <row r="9316" spans="1:6" x14ac:dyDescent="0.25">
      <c r="A9316" t="s">
        <v>10927</v>
      </c>
      <c r="B9316" t="s">
        <v>3526</v>
      </c>
      <c r="C9316" t="s">
        <v>3527</v>
      </c>
    </row>
    <row r="9317" spans="1:6" x14ac:dyDescent="0.25">
      <c r="A9317" t="s">
        <v>10927</v>
      </c>
      <c r="B9317" t="s">
        <v>3528</v>
      </c>
      <c r="C9317" t="s">
        <v>3529</v>
      </c>
      <c r="D9317" t="str">
        <f>HYPERLINK("http://service.sap.com/sap/support/notes/1850368","1850368")</f>
        <v>1850368</v>
      </c>
      <c r="E9317">
        <v>1</v>
      </c>
      <c r="F9317" t="s">
        <v>10616</v>
      </c>
    </row>
    <row r="9318" spans="1:6" x14ac:dyDescent="0.25">
      <c r="A9318" t="s">
        <v>10927</v>
      </c>
      <c r="B9318" t="s">
        <v>3531</v>
      </c>
      <c r="C9318" t="s">
        <v>3532</v>
      </c>
      <c r="D9318" t="str">
        <f>HYPERLINK("http://service.sap.com/sap/support/notes/1716995","1716995")</f>
        <v>1716995</v>
      </c>
      <c r="E9318">
        <v>3</v>
      </c>
      <c r="F9318" t="s">
        <v>10617</v>
      </c>
    </row>
    <row r="9319" spans="1:6" x14ac:dyDescent="0.25">
      <c r="A9319" t="s">
        <v>10927</v>
      </c>
      <c r="B9319" t="s">
        <v>3531</v>
      </c>
      <c r="C9319" t="s">
        <v>3532</v>
      </c>
      <c r="D9319" t="str">
        <f>HYPERLINK("http://service.sap.com/sap/support/notes/1774447","1774447")</f>
        <v>1774447</v>
      </c>
      <c r="E9319">
        <v>1</v>
      </c>
      <c r="F9319" t="s">
        <v>10618</v>
      </c>
    </row>
    <row r="9320" spans="1:6" x14ac:dyDescent="0.25">
      <c r="A9320" t="s">
        <v>10927</v>
      </c>
      <c r="B9320" t="s">
        <v>3531</v>
      </c>
      <c r="C9320" t="s">
        <v>3532</v>
      </c>
      <c r="D9320" t="str">
        <f>HYPERLINK("http://service.sap.com/sap/support/notes/1804853","1804853")</f>
        <v>1804853</v>
      </c>
      <c r="E9320">
        <v>1</v>
      </c>
      <c r="F9320" t="s">
        <v>8508</v>
      </c>
    </row>
    <row r="9321" spans="1:6" x14ac:dyDescent="0.25">
      <c r="A9321" t="s">
        <v>10927</v>
      </c>
      <c r="B9321" t="s">
        <v>3531</v>
      </c>
      <c r="C9321" t="s">
        <v>3532</v>
      </c>
      <c r="D9321" t="str">
        <f>HYPERLINK("http://service.sap.com/sap/support/notes/1827887","1827887")</f>
        <v>1827887</v>
      </c>
      <c r="E9321">
        <v>6</v>
      </c>
      <c r="F9321" t="s">
        <v>10619</v>
      </c>
    </row>
    <row r="9322" spans="1:6" x14ac:dyDescent="0.25">
      <c r="A9322" t="s">
        <v>10927</v>
      </c>
      <c r="B9322" t="s">
        <v>3531</v>
      </c>
      <c r="C9322" t="s">
        <v>3532</v>
      </c>
      <c r="D9322" t="str">
        <f>HYPERLINK("http://service.sap.com/sap/support/notes/1848262","1848262")</f>
        <v>1848262</v>
      </c>
      <c r="E9322">
        <v>1</v>
      </c>
    </row>
    <row r="9323" spans="1:6" x14ac:dyDescent="0.25">
      <c r="A9323" t="s">
        <v>10927</v>
      </c>
      <c r="B9323" t="s">
        <v>3531</v>
      </c>
      <c r="C9323" t="s">
        <v>3532</v>
      </c>
      <c r="D9323" t="str">
        <f>HYPERLINK("http://service.sap.com/sap/support/notes/1861232","1861232")</f>
        <v>1861232</v>
      </c>
      <c r="E9323">
        <v>1</v>
      </c>
      <c r="F9323" t="s">
        <v>10620</v>
      </c>
    </row>
    <row r="9324" spans="1:6" x14ac:dyDescent="0.25">
      <c r="A9324" t="s">
        <v>10927</v>
      </c>
      <c r="B9324" t="s">
        <v>3538</v>
      </c>
      <c r="C9324" t="s">
        <v>3539</v>
      </c>
      <c r="D9324" t="str">
        <f>HYPERLINK("http://service.sap.com/sap/support/notes/1724484","1724484")</f>
        <v>1724484</v>
      </c>
      <c r="E9324">
        <v>2</v>
      </c>
      <c r="F9324" t="s">
        <v>10621</v>
      </c>
    </row>
    <row r="9325" spans="1:6" x14ac:dyDescent="0.25">
      <c r="A9325" t="s">
        <v>10927</v>
      </c>
      <c r="B9325" t="s">
        <v>3538</v>
      </c>
      <c r="C9325" t="s">
        <v>3539</v>
      </c>
      <c r="D9325" t="str">
        <f>HYPERLINK("http://service.sap.com/sap/support/notes/1859581","1859581")</f>
        <v>1859581</v>
      </c>
      <c r="E9325">
        <v>2</v>
      </c>
      <c r="F9325" t="s">
        <v>10622</v>
      </c>
    </row>
    <row r="9326" spans="1:6" x14ac:dyDescent="0.25">
      <c r="A9326" t="s">
        <v>10927</v>
      </c>
      <c r="B9326" t="s">
        <v>3542</v>
      </c>
      <c r="C9326" t="s">
        <v>3543</v>
      </c>
      <c r="D9326" t="str">
        <f>HYPERLINK("http://service.sap.com/sap/support/notes/1823750","1823750")</f>
        <v>1823750</v>
      </c>
      <c r="E9326">
        <v>2</v>
      </c>
    </row>
    <row r="9327" spans="1:6" x14ac:dyDescent="0.25">
      <c r="A9327" t="s">
        <v>10927</v>
      </c>
      <c r="B9327" t="s">
        <v>3542</v>
      </c>
      <c r="C9327" t="s">
        <v>3543</v>
      </c>
      <c r="D9327" t="str">
        <f>HYPERLINK("http://service.sap.com/sap/support/notes/1853222","1853222")</f>
        <v>1853222</v>
      </c>
      <c r="E9327">
        <v>1</v>
      </c>
      <c r="F9327" t="s">
        <v>10623</v>
      </c>
    </row>
    <row r="9328" spans="1:6" x14ac:dyDescent="0.25">
      <c r="A9328" t="s">
        <v>10927</v>
      </c>
      <c r="B9328" t="s">
        <v>3545</v>
      </c>
      <c r="C9328" t="s">
        <v>3546</v>
      </c>
      <c r="D9328" t="str">
        <f>HYPERLINK("http://service.sap.com/sap/support/notes/1841788","1841788")</f>
        <v>1841788</v>
      </c>
      <c r="E9328">
        <v>1</v>
      </c>
    </row>
    <row r="9329" spans="1:6" x14ac:dyDescent="0.25">
      <c r="A9329" t="s">
        <v>10927</v>
      </c>
      <c r="B9329" t="s">
        <v>3545</v>
      </c>
      <c r="C9329" t="s">
        <v>3546</v>
      </c>
      <c r="D9329" t="str">
        <f>HYPERLINK("http://service.sap.com/sap/support/notes/1854323","1854323")</f>
        <v>1854323</v>
      </c>
      <c r="E9329">
        <v>1</v>
      </c>
      <c r="F9329" t="s">
        <v>10624</v>
      </c>
    </row>
    <row r="9330" spans="1:6" x14ac:dyDescent="0.25">
      <c r="A9330" t="s">
        <v>10927</v>
      </c>
      <c r="B9330" t="s">
        <v>3549</v>
      </c>
      <c r="C9330" t="s">
        <v>3550</v>
      </c>
    </row>
    <row r="9331" spans="1:6" x14ac:dyDescent="0.25">
      <c r="A9331" t="s">
        <v>10927</v>
      </c>
      <c r="B9331" t="s">
        <v>3551</v>
      </c>
      <c r="C9331" t="s">
        <v>169</v>
      </c>
    </row>
    <row r="9332" spans="1:6" x14ac:dyDescent="0.25">
      <c r="A9332" t="s">
        <v>10927</v>
      </c>
      <c r="B9332" t="s">
        <v>3552</v>
      </c>
      <c r="C9332" t="s">
        <v>3553</v>
      </c>
    </row>
    <row r="9333" spans="1:6" x14ac:dyDescent="0.25">
      <c r="A9333" t="s">
        <v>10927</v>
      </c>
      <c r="B9333" t="s">
        <v>3554</v>
      </c>
      <c r="C9333" t="s">
        <v>3555</v>
      </c>
      <c r="D9333" t="str">
        <f>HYPERLINK("http://service.sap.com/sap/support/notes/1281547","1281547")</f>
        <v>1281547</v>
      </c>
      <c r="E9333">
        <v>9</v>
      </c>
      <c r="F9333" t="s">
        <v>10625</v>
      </c>
    </row>
    <row r="9334" spans="1:6" x14ac:dyDescent="0.25">
      <c r="A9334" t="s">
        <v>10927</v>
      </c>
      <c r="B9334" t="s">
        <v>3558</v>
      </c>
      <c r="C9334" t="s">
        <v>3559</v>
      </c>
    </row>
    <row r="9335" spans="1:6" x14ac:dyDescent="0.25">
      <c r="A9335" t="s">
        <v>10927</v>
      </c>
      <c r="B9335" t="s">
        <v>6070</v>
      </c>
      <c r="C9335" t="s">
        <v>3389</v>
      </c>
      <c r="D9335" t="str">
        <f>HYPERLINK("http://service.sap.com/sap/support/notes/1553082","1553082")</f>
        <v>1553082</v>
      </c>
      <c r="E9335">
        <v>6</v>
      </c>
      <c r="F9335" t="s">
        <v>10626</v>
      </c>
    </row>
    <row r="9336" spans="1:6" x14ac:dyDescent="0.25">
      <c r="A9336" t="s">
        <v>10927</v>
      </c>
      <c r="B9336" t="s">
        <v>10627</v>
      </c>
      <c r="C9336" t="s">
        <v>10628</v>
      </c>
      <c r="D9336" t="str">
        <f>HYPERLINK("http://service.sap.com/sap/support/notes/1835778","1835778")</f>
        <v>1835778</v>
      </c>
      <c r="E9336">
        <v>4</v>
      </c>
      <c r="F9336" t="s">
        <v>10629</v>
      </c>
    </row>
    <row r="9337" spans="1:6" x14ac:dyDescent="0.25">
      <c r="A9337" t="s">
        <v>10927</v>
      </c>
      <c r="B9337" t="s">
        <v>10630</v>
      </c>
      <c r="C9337" t="s">
        <v>2333</v>
      </c>
      <c r="D9337" t="str">
        <f>HYPERLINK("http://service.sap.com/sap/support/notes/1689570","1689570")</f>
        <v>1689570</v>
      </c>
      <c r="E9337">
        <v>2</v>
      </c>
      <c r="F9337" t="s">
        <v>10631</v>
      </c>
    </row>
    <row r="9338" spans="1:6" x14ac:dyDescent="0.25">
      <c r="A9338" t="s">
        <v>10927</v>
      </c>
      <c r="B9338" t="s">
        <v>3577</v>
      </c>
      <c r="C9338" t="s">
        <v>3578</v>
      </c>
      <c r="D9338" t="str">
        <f>HYPERLINK("http://service.sap.com/sap/support/notes/1262871","1262871")</f>
        <v>1262871</v>
      </c>
      <c r="E9338">
        <v>8</v>
      </c>
      <c r="F9338" t="s">
        <v>10632</v>
      </c>
    </row>
    <row r="9339" spans="1:6" x14ac:dyDescent="0.25">
      <c r="A9339" t="s">
        <v>10927</v>
      </c>
      <c r="B9339" t="s">
        <v>3581</v>
      </c>
      <c r="C9339" t="s">
        <v>3582</v>
      </c>
      <c r="D9339" t="str">
        <f>HYPERLINK("http://service.sap.com/sap/support/notes/1842754","1842754")</f>
        <v>1842754</v>
      </c>
      <c r="E9339">
        <v>2</v>
      </c>
      <c r="F9339" t="s">
        <v>10633</v>
      </c>
    </row>
    <row r="9340" spans="1:6" x14ac:dyDescent="0.25">
      <c r="A9340" t="s">
        <v>10927</v>
      </c>
      <c r="B9340" t="s">
        <v>8524</v>
      </c>
      <c r="C9340" t="s">
        <v>8525</v>
      </c>
      <c r="D9340" t="str">
        <f>HYPERLINK("http://service.sap.com/sap/support/notes/1830026","1830026")</f>
        <v>1830026</v>
      </c>
      <c r="E9340">
        <v>2</v>
      </c>
      <c r="F9340" t="s">
        <v>10634</v>
      </c>
    </row>
    <row r="9341" spans="1:6" x14ac:dyDescent="0.25">
      <c r="A9341" t="s">
        <v>10927</v>
      </c>
      <c r="B9341" t="s">
        <v>8524</v>
      </c>
      <c r="C9341" t="s">
        <v>8525</v>
      </c>
      <c r="D9341" t="str">
        <f>HYPERLINK("http://service.sap.com/sap/support/notes/1863857","1863857")</f>
        <v>1863857</v>
      </c>
      <c r="E9341">
        <v>2</v>
      </c>
      <c r="F9341" t="s">
        <v>10635</v>
      </c>
    </row>
    <row r="9342" spans="1:6" x14ac:dyDescent="0.25">
      <c r="A9342" t="s">
        <v>10927</v>
      </c>
      <c r="B9342" t="s">
        <v>10636</v>
      </c>
      <c r="C9342" t="s">
        <v>10637</v>
      </c>
      <c r="D9342" t="str">
        <f>HYPERLINK("http://service.sap.com/sap/support/notes/1854420","1854420")</f>
        <v>1854420</v>
      </c>
      <c r="E9342">
        <v>2</v>
      </c>
      <c r="F9342" t="s">
        <v>10638</v>
      </c>
    </row>
    <row r="9343" spans="1:6" x14ac:dyDescent="0.25">
      <c r="A9343" t="s">
        <v>10927</v>
      </c>
      <c r="B9343" t="s">
        <v>3593</v>
      </c>
      <c r="C9343" t="s">
        <v>3594</v>
      </c>
    </row>
    <row r="9344" spans="1:6" x14ac:dyDescent="0.25">
      <c r="A9344" t="s">
        <v>10927</v>
      </c>
      <c r="B9344" t="s">
        <v>3595</v>
      </c>
      <c r="C9344" t="s">
        <v>3596</v>
      </c>
      <c r="D9344" t="str">
        <f>HYPERLINK("http://service.sap.com/sap/support/notes/1855944","1855944")</f>
        <v>1855944</v>
      </c>
      <c r="E9344">
        <v>4</v>
      </c>
      <c r="F9344" t="s">
        <v>10639</v>
      </c>
    </row>
    <row r="9345" spans="1:6" x14ac:dyDescent="0.25">
      <c r="A9345" t="s">
        <v>10927</v>
      </c>
      <c r="B9345" t="s">
        <v>3616</v>
      </c>
      <c r="C9345" t="s">
        <v>3617</v>
      </c>
    </row>
    <row r="9346" spans="1:6" x14ac:dyDescent="0.25">
      <c r="A9346" t="s">
        <v>10927</v>
      </c>
      <c r="B9346" t="s">
        <v>3618</v>
      </c>
      <c r="C9346" t="s">
        <v>3619</v>
      </c>
      <c r="D9346" t="str">
        <f>HYPERLINK("http://service.sap.com/sap/support/notes/1864085","1864085")</f>
        <v>1864085</v>
      </c>
      <c r="E9346">
        <v>2</v>
      </c>
      <c r="F9346" t="s">
        <v>10640</v>
      </c>
    </row>
    <row r="9347" spans="1:6" x14ac:dyDescent="0.25">
      <c r="A9347" t="s">
        <v>10927</v>
      </c>
      <c r="B9347" t="s">
        <v>3623</v>
      </c>
      <c r="C9347" t="s">
        <v>3624</v>
      </c>
      <c r="D9347" t="str">
        <f>HYPERLINK("http://service.sap.com/sap/support/notes/1851461","1851461")</f>
        <v>1851461</v>
      </c>
      <c r="E9347">
        <v>1</v>
      </c>
      <c r="F9347" t="s">
        <v>10641</v>
      </c>
    </row>
    <row r="9348" spans="1:6" x14ac:dyDescent="0.25">
      <c r="A9348" t="s">
        <v>10927</v>
      </c>
      <c r="B9348" t="s">
        <v>3623</v>
      </c>
      <c r="C9348" t="s">
        <v>3624</v>
      </c>
      <c r="D9348" t="str">
        <f>HYPERLINK("http://service.sap.com/sap/support/notes/1852132","1852132")</f>
        <v>1852132</v>
      </c>
      <c r="E9348">
        <v>1</v>
      </c>
      <c r="F9348" t="s">
        <v>10642</v>
      </c>
    </row>
    <row r="9349" spans="1:6" x14ac:dyDescent="0.25">
      <c r="A9349" t="s">
        <v>10927</v>
      </c>
      <c r="B9349" t="s">
        <v>3626</v>
      </c>
      <c r="C9349" t="s">
        <v>3627</v>
      </c>
    </row>
    <row r="9350" spans="1:6" x14ac:dyDescent="0.25">
      <c r="A9350" t="s">
        <v>10927</v>
      </c>
      <c r="B9350" t="s">
        <v>3628</v>
      </c>
      <c r="C9350" t="s">
        <v>3629</v>
      </c>
      <c r="D9350" t="str">
        <f>HYPERLINK("http://service.sap.com/sap/support/notes/1851197","1851197")</f>
        <v>1851197</v>
      </c>
      <c r="E9350">
        <v>4</v>
      </c>
      <c r="F9350" t="s">
        <v>10643</v>
      </c>
    </row>
    <row r="9351" spans="1:6" x14ac:dyDescent="0.25">
      <c r="A9351" t="s">
        <v>10927</v>
      </c>
      <c r="B9351" t="s">
        <v>3628</v>
      </c>
      <c r="C9351" t="s">
        <v>3629</v>
      </c>
      <c r="D9351" t="str">
        <f>HYPERLINK("http://service.sap.com/sap/support/notes/1852152","1852152")</f>
        <v>1852152</v>
      </c>
      <c r="E9351">
        <v>2</v>
      </c>
      <c r="F9351" t="s">
        <v>10644</v>
      </c>
    </row>
    <row r="9352" spans="1:6" x14ac:dyDescent="0.25">
      <c r="A9352" t="s">
        <v>10927</v>
      </c>
      <c r="B9352" t="s">
        <v>3631</v>
      </c>
      <c r="C9352" t="s">
        <v>3632</v>
      </c>
      <c r="D9352" t="str">
        <f>HYPERLINK("http://service.sap.com/sap/support/notes/1834421","1834421")</f>
        <v>1834421</v>
      </c>
      <c r="E9352">
        <v>1</v>
      </c>
      <c r="F9352" t="s">
        <v>10645</v>
      </c>
    </row>
    <row r="9353" spans="1:6" x14ac:dyDescent="0.25">
      <c r="A9353" t="s">
        <v>10927</v>
      </c>
      <c r="B9353" t="s">
        <v>3631</v>
      </c>
      <c r="C9353" t="s">
        <v>3632</v>
      </c>
      <c r="D9353" t="str">
        <f>HYPERLINK("http://service.sap.com/sap/support/notes/1836579","1836579")</f>
        <v>1836579</v>
      </c>
      <c r="E9353">
        <v>1</v>
      </c>
      <c r="F9353" t="s">
        <v>10646</v>
      </c>
    </row>
    <row r="9354" spans="1:6" x14ac:dyDescent="0.25">
      <c r="A9354" t="s">
        <v>10927</v>
      </c>
      <c r="B9354" t="s">
        <v>3631</v>
      </c>
      <c r="C9354" t="s">
        <v>3632</v>
      </c>
      <c r="D9354" t="str">
        <f>HYPERLINK("http://service.sap.com/sap/support/notes/1850642","1850642")</f>
        <v>1850642</v>
      </c>
      <c r="E9354">
        <v>1</v>
      </c>
      <c r="F9354" t="s">
        <v>10647</v>
      </c>
    </row>
    <row r="9355" spans="1:6" x14ac:dyDescent="0.25">
      <c r="A9355" t="s">
        <v>10927</v>
      </c>
      <c r="B9355" t="s">
        <v>3631</v>
      </c>
      <c r="C9355" t="s">
        <v>3632</v>
      </c>
      <c r="D9355" t="str">
        <f>HYPERLINK("http://service.sap.com/sap/support/notes/1852046","1852046")</f>
        <v>1852046</v>
      </c>
      <c r="E9355">
        <v>2</v>
      </c>
      <c r="F9355" t="s">
        <v>10648</v>
      </c>
    </row>
    <row r="9356" spans="1:6" x14ac:dyDescent="0.25">
      <c r="A9356" t="s">
        <v>10927</v>
      </c>
      <c r="B9356" t="s">
        <v>10649</v>
      </c>
      <c r="C9356" t="s">
        <v>10650</v>
      </c>
      <c r="D9356" t="str">
        <f>HYPERLINK("http://service.sap.com/sap/support/notes/1839942","1839942")</f>
        <v>1839942</v>
      </c>
      <c r="E9356">
        <v>2</v>
      </c>
      <c r="F9356" t="s">
        <v>10651</v>
      </c>
    </row>
    <row r="9357" spans="1:6" x14ac:dyDescent="0.25">
      <c r="A9357" t="s">
        <v>10927</v>
      </c>
      <c r="B9357" t="s">
        <v>10649</v>
      </c>
      <c r="C9357" t="s">
        <v>10650</v>
      </c>
      <c r="D9357" t="str">
        <f>HYPERLINK("http://service.sap.com/sap/support/notes/1840766","1840766")</f>
        <v>1840766</v>
      </c>
      <c r="E9357">
        <v>5</v>
      </c>
      <c r="F9357" t="s">
        <v>10652</v>
      </c>
    </row>
    <row r="9358" spans="1:6" x14ac:dyDescent="0.25">
      <c r="A9358" t="s">
        <v>10927</v>
      </c>
      <c r="B9358" t="s">
        <v>3638</v>
      </c>
      <c r="C9358" t="s">
        <v>3639</v>
      </c>
      <c r="D9358" t="str">
        <f>HYPERLINK("http://service.sap.com/sap/support/notes/1819584","1819584")</f>
        <v>1819584</v>
      </c>
      <c r="E9358">
        <v>2</v>
      </c>
      <c r="F9358" t="s">
        <v>10653</v>
      </c>
    </row>
    <row r="9359" spans="1:6" x14ac:dyDescent="0.25">
      <c r="A9359" t="s">
        <v>10927</v>
      </c>
      <c r="B9359" t="s">
        <v>3638</v>
      </c>
      <c r="C9359" t="s">
        <v>3639</v>
      </c>
      <c r="D9359" t="str">
        <f>HYPERLINK("http://service.sap.com/sap/support/notes/1821114","1821114")</f>
        <v>1821114</v>
      </c>
      <c r="E9359">
        <v>1</v>
      </c>
      <c r="F9359" t="s">
        <v>8536</v>
      </c>
    </row>
    <row r="9360" spans="1:6" x14ac:dyDescent="0.25">
      <c r="A9360" t="s">
        <v>10927</v>
      </c>
      <c r="B9360" t="s">
        <v>3638</v>
      </c>
      <c r="C9360" t="s">
        <v>3639</v>
      </c>
      <c r="D9360" t="str">
        <f>HYPERLINK("http://service.sap.com/sap/support/notes/1834145","1834145")</f>
        <v>1834145</v>
      </c>
      <c r="E9360">
        <v>1</v>
      </c>
      <c r="F9360" t="s">
        <v>10654</v>
      </c>
    </row>
    <row r="9361" spans="1:6" x14ac:dyDescent="0.25">
      <c r="A9361" t="s">
        <v>10927</v>
      </c>
      <c r="B9361" t="s">
        <v>3638</v>
      </c>
      <c r="C9361" t="s">
        <v>3639</v>
      </c>
      <c r="D9361" t="str">
        <f>HYPERLINK("http://service.sap.com/sap/support/notes/1835278","1835278")</f>
        <v>1835278</v>
      </c>
      <c r="E9361">
        <v>1</v>
      </c>
      <c r="F9361" t="s">
        <v>10655</v>
      </c>
    </row>
    <row r="9362" spans="1:6" x14ac:dyDescent="0.25">
      <c r="A9362" t="s">
        <v>10927</v>
      </c>
      <c r="B9362" t="s">
        <v>3655</v>
      </c>
      <c r="C9362" t="s">
        <v>6099</v>
      </c>
    </row>
    <row r="9363" spans="1:6" x14ac:dyDescent="0.25">
      <c r="A9363" t="s">
        <v>10927</v>
      </c>
      <c r="B9363" t="s">
        <v>3658</v>
      </c>
      <c r="C9363" t="s">
        <v>3659</v>
      </c>
    </row>
    <row r="9364" spans="1:6" x14ac:dyDescent="0.25">
      <c r="A9364" t="s">
        <v>10927</v>
      </c>
      <c r="B9364" t="s">
        <v>3669</v>
      </c>
      <c r="C9364" t="s">
        <v>3670</v>
      </c>
    </row>
    <row r="9365" spans="1:6" x14ac:dyDescent="0.25">
      <c r="A9365" t="s">
        <v>10927</v>
      </c>
      <c r="B9365" t="s">
        <v>10656</v>
      </c>
      <c r="C9365" t="s">
        <v>10657</v>
      </c>
      <c r="D9365" t="str">
        <f>HYPERLINK("http://service.sap.com/sap/support/notes/1852451","1852451")</f>
        <v>1852451</v>
      </c>
      <c r="E9365">
        <v>1</v>
      </c>
      <c r="F9365" t="s">
        <v>10658</v>
      </c>
    </row>
    <row r="9366" spans="1:6" x14ac:dyDescent="0.25">
      <c r="A9366" t="s">
        <v>10927</v>
      </c>
      <c r="B9366" t="s">
        <v>3674</v>
      </c>
      <c r="C9366" t="s">
        <v>3675</v>
      </c>
      <c r="D9366" t="str">
        <f>HYPERLINK("http://service.sap.com/sap/support/notes/1838748","1838748")</f>
        <v>1838748</v>
      </c>
      <c r="E9366">
        <v>1</v>
      </c>
      <c r="F9366" t="s">
        <v>10659</v>
      </c>
    </row>
    <row r="9367" spans="1:6" x14ac:dyDescent="0.25">
      <c r="A9367" t="s">
        <v>10927</v>
      </c>
      <c r="B9367" t="s">
        <v>3674</v>
      </c>
      <c r="C9367" t="s">
        <v>3675</v>
      </c>
      <c r="D9367" t="str">
        <f>HYPERLINK("http://service.sap.com/sap/support/notes/1841884","1841884")</f>
        <v>1841884</v>
      </c>
      <c r="E9367">
        <v>3</v>
      </c>
      <c r="F9367" t="s">
        <v>10660</v>
      </c>
    </row>
    <row r="9368" spans="1:6" x14ac:dyDescent="0.25">
      <c r="A9368" t="s">
        <v>10927</v>
      </c>
      <c r="B9368" t="s">
        <v>3674</v>
      </c>
      <c r="C9368" t="s">
        <v>3675</v>
      </c>
      <c r="D9368" t="str">
        <f>HYPERLINK("http://service.sap.com/sap/support/notes/1864025","1864025")</f>
        <v>1864025</v>
      </c>
      <c r="E9368">
        <v>1</v>
      </c>
      <c r="F9368" t="s">
        <v>10661</v>
      </c>
    </row>
    <row r="9369" spans="1:6" x14ac:dyDescent="0.25">
      <c r="A9369" t="s">
        <v>10927</v>
      </c>
      <c r="B9369" t="s">
        <v>10662</v>
      </c>
      <c r="C9369" t="s">
        <v>10663</v>
      </c>
      <c r="D9369" t="str">
        <f>HYPERLINK("http://service.sap.com/sap/support/notes/1834599","1834599")</f>
        <v>1834599</v>
      </c>
      <c r="E9369">
        <v>1</v>
      </c>
      <c r="F9369" t="s">
        <v>10664</v>
      </c>
    </row>
    <row r="9370" spans="1:6" x14ac:dyDescent="0.25">
      <c r="A9370" t="s">
        <v>10927</v>
      </c>
      <c r="B9370" t="s">
        <v>70</v>
      </c>
      <c r="C9370" t="s">
        <v>71</v>
      </c>
    </row>
    <row r="9371" spans="1:6" x14ac:dyDescent="0.25">
      <c r="A9371" t="s">
        <v>10927</v>
      </c>
      <c r="B9371" t="s">
        <v>3693</v>
      </c>
      <c r="C9371" t="s">
        <v>3694</v>
      </c>
    </row>
    <row r="9372" spans="1:6" x14ac:dyDescent="0.25">
      <c r="A9372" t="s">
        <v>10927</v>
      </c>
      <c r="B9372" t="s">
        <v>3700</v>
      </c>
      <c r="C9372" t="s">
        <v>3701</v>
      </c>
      <c r="D9372" t="str">
        <f>HYPERLINK("http://service.sap.com/sap/support/notes/1344872","1344872")</f>
        <v>1344872</v>
      </c>
      <c r="E9372">
        <v>1</v>
      </c>
      <c r="F9372" t="s">
        <v>3702</v>
      </c>
    </row>
    <row r="9373" spans="1:6" x14ac:dyDescent="0.25">
      <c r="A9373" t="s">
        <v>10927</v>
      </c>
      <c r="B9373" t="s">
        <v>3700</v>
      </c>
      <c r="C9373" t="s">
        <v>3701</v>
      </c>
      <c r="D9373" t="str">
        <f>HYPERLINK("http://service.sap.com/sap/support/notes/1765196","1765196")</f>
        <v>1765196</v>
      </c>
      <c r="E9373">
        <v>2</v>
      </c>
      <c r="F9373" t="s">
        <v>6109</v>
      </c>
    </row>
    <row r="9374" spans="1:6" x14ac:dyDescent="0.25">
      <c r="A9374" t="s">
        <v>10927</v>
      </c>
      <c r="B9374" t="s">
        <v>3700</v>
      </c>
      <c r="C9374" t="s">
        <v>3701</v>
      </c>
      <c r="D9374" t="str">
        <f>HYPERLINK("http://service.sap.com/sap/support/notes/1767187","1767187")</f>
        <v>1767187</v>
      </c>
      <c r="E9374">
        <v>7</v>
      </c>
      <c r="F9374" t="s">
        <v>10665</v>
      </c>
    </row>
    <row r="9375" spans="1:6" x14ac:dyDescent="0.25">
      <c r="A9375" t="s">
        <v>10927</v>
      </c>
      <c r="B9375" t="s">
        <v>3700</v>
      </c>
      <c r="C9375" t="s">
        <v>3701</v>
      </c>
      <c r="D9375" t="str">
        <f>HYPERLINK("http://service.sap.com/sap/support/notes/1767487","1767487")</f>
        <v>1767487</v>
      </c>
      <c r="E9375">
        <v>7</v>
      </c>
      <c r="F9375" t="s">
        <v>10666</v>
      </c>
    </row>
    <row r="9376" spans="1:6" x14ac:dyDescent="0.25">
      <c r="A9376" t="s">
        <v>10927</v>
      </c>
      <c r="B9376" t="s">
        <v>3700</v>
      </c>
      <c r="C9376" t="s">
        <v>3701</v>
      </c>
      <c r="D9376" t="str">
        <f>HYPERLINK("http://service.sap.com/sap/support/notes/1826395","1826395")</f>
        <v>1826395</v>
      </c>
      <c r="E9376">
        <v>1</v>
      </c>
      <c r="F9376" t="s">
        <v>10667</v>
      </c>
    </row>
    <row r="9377" spans="1:6" x14ac:dyDescent="0.25">
      <c r="A9377" t="s">
        <v>10927</v>
      </c>
      <c r="B9377" t="s">
        <v>3700</v>
      </c>
      <c r="C9377" t="s">
        <v>3701</v>
      </c>
      <c r="D9377" t="str">
        <f>HYPERLINK("http://service.sap.com/sap/support/notes/1833845","1833845")</f>
        <v>1833845</v>
      </c>
      <c r="E9377">
        <v>2</v>
      </c>
      <c r="F9377" t="s">
        <v>10668</v>
      </c>
    </row>
    <row r="9378" spans="1:6" x14ac:dyDescent="0.25">
      <c r="A9378" t="s">
        <v>10927</v>
      </c>
      <c r="B9378" t="s">
        <v>3700</v>
      </c>
      <c r="C9378" t="s">
        <v>3701</v>
      </c>
      <c r="D9378" t="str">
        <f>HYPERLINK("http://service.sap.com/sap/support/notes/1856602","1856602")</f>
        <v>1856602</v>
      </c>
      <c r="E9378">
        <v>2</v>
      </c>
      <c r="F9378" t="s">
        <v>10669</v>
      </c>
    </row>
    <row r="9379" spans="1:6" x14ac:dyDescent="0.25">
      <c r="A9379" t="s">
        <v>10927</v>
      </c>
      <c r="B9379" t="s">
        <v>3719</v>
      </c>
      <c r="C9379" t="s">
        <v>2999</v>
      </c>
      <c r="D9379" t="str">
        <f>HYPERLINK("http://service.sap.com/sap/support/notes/1762825","1762825")</f>
        <v>1762825</v>
      </c>
      <c r="E9379">
        <v>6</v>
      </c>
      <c r="F9379" t="s">
        <v>10670</v>
      </c>
    </row>
    <row r="9380" spans="1:6" x14ac:dyDescent="0.25">
      <c r="A9380" t="s">
        <v>10927</v>
      </c>
      <c r="B9380" t="s">
        <v>3719</v>
      </c>
      <c r="C9380" t="s">
        <v>2999</v>
      </c>
      <c r="D9380" t="str">
        <f>HYPERLINK("http://service.sap.com/sap/support/notes/1808068","1808068")</f>
        <v>1808068</v>
      </c>
      <c r="E9380">
        <v>2</v>
      </c>
      <c r="F9380" t="s">
        <v>10671</v>
      </c>
    </row>
    <row r="9381" spans="1:6" x14ac:dyDescent="0.25">
      <c r="A9381" t="s">
        <v>10927</v>
      </c>
      <c r="B9381" t="s">
        <v>3719</v>
      </c>
      <c r="C9381" t="s">
        <v>2999</v>
      </c>
      <c r="D9381" t="str">
        <f>HYPERLINK("http://service.sap.com/sap/support/notes/1810840","1810840")</f>
        <v>1810840</v>
      </c>
      <c r="E9381">
        <v>2</v>
      </c>
      <c r="F9381" t="s">
        <v>10672</v>
      </c>
    </row>
    <row r="9382" spans="1:6" x14ac:dyDescent="0.25">
      <c r="A9382" t="s">
        <v>10927</v>
      </c>
      <c r="B9382" t="s">
        <v>3719</v>
      </c>
      <c r="C9382" t="s">
        <v>2999</v>
      </c>
      <c r="D9382" t="str">
        <f>HYPERLINK("http://service.sap.com/sap/support/notes/1813634","1813634")</f>
        <v>1813634</v>
      </c>
      <c r="E9382">
        <v>2</v>
      </c>
      <c r="F9382" t="s">
        <v>10673</v>
      </c>
    </row>
    <row r="9383" spans="1:6" x14ac:dyDescent="0.25">
      <c r="A9383" t="s">
        <v>10927</v>
      </c>
      <c r="B9383" t="s">
        <v>3727</v>
      </c>
      <c r="C9383" t="s">
        <v>3728</v>
      </c>
      <c r="D9383" t="str">
        <f>HYPERLINK("http://service.sap.com/sap/support/notes/1817072","1817072")</f>
        <v>1817072</v>
      </c>
      <c r="E9383">
        <v>4</v>
      </c>
      <c r="F9383" t="s">
        <v>10674</v>
      </c>
    </row>
    <row r="9384" spans="1:6" x14ac:dyDescent="0.25">
      <c r="A9384" t="s">
        <v>10927</v>
      </c>
      <c r="B9384" t="s">
        <v>3727</v>
      </c>
      <c r="C9384" t="s">
        <v>3728</v>
      </c>
      <c r="D9384" t="str">
        <f>HYPERLINK("http://service.sap.com/sap/support/notes/1826651","1826651")</f>
        <v>1826651</v>
      </c>
      <c r="E9384">
        <v>5</v>
      </c>
      <c r="F9384" t="s">
        <v>10675</v>
      </c>
    </row>
    <row r="9385" spans="1:6" x14ac:dyDescent="0.25">
      <c r="A9385" t="s">
        <v>10927</v>
      </c>
      <c r="B9385" t="s">
        <v>3727</v>
      </c>
      <c r="C9385" t="s">
        <v>3728</v>
      </c>
      <c r="D9385" t="str">
        <f>HYPERLINK("http://service.sap.com/sap/support/notes/1837468","1837468")</f>
        <v>1837468</v>
      </c>
      <c r="E9385">
        <v>7</v>
      </c>
      <c r="F9385" t="s">
        <v>10676</v>
      </c>
    </row>
    <row r="9386" spans="1:6" x14ac:dyDescent="0.25">
      <c r="A9386" t="s">
        <v>10927</v>
      </c>
      <c r="B9386" t="s">
        <v>3727</v>
      </c>
      <c r="C9386" t="s">
        <v>3728</v>
      </c>
      <c r="D9386" t="str">
        <f>HYPERLINK("http://service.sap.com/sap/support/notes/1849186","1849186")</f>
        <v>1849186</v>
      </c>
      <c r="E9386">
        <v>1</v>
      </c>
      <c r="F9386" t="s">
        <v>10677</v>
      </c>
    </row>
    <row r="9387" spans="1:6" x14ac:dyDescent="0.25">
      <c r="A9387" t="s">
        <v>10927</v>
      </c>
      <c r="B9387" t="s">
        <v>3727</v>
      </c>
      <c r="C9387" t="s">
        <v>3728</v>
      </c>
      <c r="D9387" t="str">
        <f>HYPERLINK("http://service.sap.com/sap/support/notes/1857221","1857221")</f>
        <v>1857221</v>
      </c>
      <c r="E9387">
        <v>2</v>
      </c>
      <c r="F9387" t="s">
        <v>10678</v>
      </c>
    </row>
    <row r="9388" spans="1:6" x14ac:dyDescent="0.25">
      <c r="A9388" t="s">
        <v>10927</v>
      </c>
      <c r="B9388" t="s">
        <v>3727</v>
      </c>
      <c r="C9388" t="s">
        <v>3728</v>
      </c>
      <c r="D9388" t="str">
        <f>HYPERLINK("http://service.sap.com/sap/support/notes/1857600","1857600")</f>
        <v>1857600</v>
      </c>
      <c r="E9388">
        <v>1</v>
      </c>
      <c r="F9388" t="s">
        <v>10679</v>
      </c>
    </row>
    <row r="9389" spans="1:6" x14ac:dyDescent="0.25">
      <c r="A9389" t="s">
        <v>10927</v>
      </c>
      <c r="B9389" t="s">
        <v>3727</v>
      </c>
      <c r="C9389" t="s">
        <v>3728</v>
      </c>
      <c r="D9389" t="str">
        <f>HYPERLINK("http://service.sap.com/sap/support/notes/1857796","1857796")</f>
        <v>1857796</v>
      </c>
      <c r="E9389">
        <v>1</v>
      </c>
      <c r="F9389" t="s">
        <v>10680</v>
      </c>
    </row>
    <row r="9390" spans="1:6" x14ac:dyDescent="0.25">
      <c r="A9390" t="s">
        <v>10927</v>
      </c>
      <c r="B9390" t="s">
        <v>3727</v>
      </c>
      <c r="C9390" t="s">
        <v>3728</v>
      </c>
      <c r="D9390" t="str">
        <f>HYPERLINK("http://service.sap.com/sap/support/notes/1861268","1861268")</f>
        <v>1861268</v>
      </c>
      <c r="E9390">
        <v>1</v>
      </c>
      <c r="F9390" t="s">
        <v>10681</v>
      </c>
    </row>
    <row r="9391" spans="1:6" x14ac:dyDescent="0.25">
      <c r="A9391" t="s">
        <v>10927</v>
      </c>
      <c r="B9391" t="s">
        <v>3738</v>
      </c>
      <c r="C9391" t="s">
        <v>3739</v>
      </c>
      <c r="D9391" t="str">
        <f>HYPERLINK("http://service.sap.com/sap/support/notes/1805634","1805634")</f>
        <v>1805634</v>
      </c>
      <c r="E9391">
        <v>2</v>
      </c>
      <c r="F9391" t="s">
        <v>8601</v>
      </c>
    </row>
    <row r="9392" spans="1:6" x14ac:dyDescent="0.25">
      <c r="A9392" t="s">
        <v>10927</v>
      </c>
      <c r="B9392" t="s">
        <v>3738</v>
      </c>
      <c r="C9392" t="s">
        <v>3739</v>
      </c>
      <c r="D9392" t="str">
        <f>HYPERLINK("http://service.sap.com/sap/support/notes/1813713","1813713")</f>
        <v>1813713</v>
      </c>
      <c r="E9392">
        <v>1</v>
      </c>
      <c r="F9392" t="s">
        <v>10682</v>
      </c>
    </row>
    <row r="9393" spans="1:6" x14ac:dyDescent="0.25">
      <c r="A9393" t="s">
        <v>10927</v>
      </c>
      <c r="B9393" t="s">
        <v>3738</v>
      </c>
      <c r="C9393" t="s">
        <v>3739</v>
      </c>
      <c r="D9393" t="str">
        <f>HYPERLINK("http://service.sap.com/sap/support/notes/1848826","1848826")</f>
        <v>1848826</v>
      </c>
      <c r="E9393">
        <v>3</v>
      </c>
      <c r="F9393" t="s">
        <v>10683</v>
      </c>
    </row>
    <row r="9394" spans="1:6" x14ac:dyDescent="0.25">
      <c r="A9394" t="s">
        <v>10927</v>
      </c>
      <c r="B9394" t="s">
        <v>3751</v>
      </c>
      <c r="C9394" t="s">
        <v>218</v>
      </c>
      <c r="D9394" t="str">
        <f>HYPERLINK("http://service.sap.com/sap/support/notes/1818582","1818582")</f>
        <v>1818582</v>
      </c>
      <c r="E9394">
        <v>3</v>
      </c>
      <c r="F9394" t="s">
        <v>10684</v>
      </c>
    </row>
    <row r="9395" spans="1:6" x14ac:dyDescent="0.25">
      <c r="A9395" t="s">
        <v>10927</v>
      </c>
      <c r="B9395" t="s">
        <v>3751</v>
      </c>
      <c r="C9395" t="s">
        <v>218</v>
      </c>
      <c r="D9395" t="str">
        <f>HYPERLINK("http://service.sap.com/sap/support/notes/1818586","1818586")</f>
        <v>1818586</v>
      </c>
      <c r="E9395">
        <v>4</v>
      </c>
      <c r="F9395" t="s">
        <v>10685</v>
      </c>
    </row>
    <row r="9396" spans="1:6" x14ac:dyDescent="0.25">
      <c r="A9396" t="s">
        <v>10927</v>
      </c>
      <c r="B9396" t="s">
        <v>3751</v>
      </c>
      <c r="C9396" t="s">
        <v>218</v>
      </c>
      <c r="D9396" t="str">
        <f>HYPERLINK("http://service.sap.com/sap/support/notes/1818592","1818592")</f>
        <v>1818592</v>
      </c>
      <c r="E9396">
        <v>3</v>
      </c>
      <c r="F9396" t="s">
        <v>10686</v>
      </c>
    </row>
    <row r="9397" spans="1:6" x14ac:dyDescent="0.25">
      <c r="A9397" t="s">
        <v>10927</v>
      </c>
      <c r="B9397" t="s">
        <v>3751</v>
      </c>
      <c r="C9397" t="s">
        <v>218</v>
      </c>
      <c r="D9397" t="str">
        <f>HYPERLINK("http://service.sap.com/sap/support/notes/1818634","1818634")</f>
        <v>1818634</v>
      </c>
      <c r="E9397">
        <v>3</v>
      </c>
      <c r="F9397" t="s">
        <v>10687</v>
      </c>
    </row>
    <row r="9398" spans="1:6" x14ac:dyDescent="0.25">
      <c r="A9398" t="s">
        <v>10927</v>
      </c>
      <c r="B9398" t="s">
        <v>3751</v>
      </c>
      <c r="C9398" t="s">
        <v>218</v>
      </c>
      <c r="D9398" t="str">
        <f>HYPERLINK("http://service.sap.com/sap/support/notes/1818637","1818637")</f>
        <v>1818637</v>
      </c>
      <c r="E9398">
        <v>3</v>
      </c>
      <c r="F9398" t="s">
        <v>10688</v>
      </c>
    </row>
    <row r="9399" spans="1:6" x14ac:dyDescent="0.25">
      <c r="A9399" t="s">
        <v>10927</v>
      </c>
      <c r="B9399" t="s">
        <v>3751</v>
      </c>
      <c r="C9399" t="s">
        <v>218</v>
      </c>
      <c r="D9399" t="str">
        <f>HYPERLINK("http://service.sap.com/sap/support/notes/1818777","1818777")</f>
        <v>1818777</v>
      </c>
      <c r="E9399">
        <v>2</v>
      </c>
      <c r="F9399" t="s">
        <v>10689</v>
      </c>
    </row>
    <row r="9400" spans="1:6" x14ac:dyDescent="0.25">
      <c r="A9400" t="s">
        <v>10927</v>
      </c>
      <c r="B9400" t="s">
        <v>3751</v>
      </c>
      <c r="C9400" t="s">
        <v>218</v>
      </c>
      <c r="D9400" t="str">
        <f>HYPERLINK("http://service.sap.com/sap/support/notes/1822661","1822661")</f>
        <v>1822661</v>
      </c>
      <c r="E9400">
        <v>2</v>
      </c>
      <c r="F9400" t="s">
        <v>10690</v>
      </c>
    </row>
    <row r="9401" spans="1:6" x14ac:dyDescent="0.25">
      <c r="A9401" t="s">
        <v>10927</v>
      </c>
      <c r="B9401" t="s">
        <v>3751</v>
      </c>
      <c r="C9401" t="s">
        <v>218</v>
      </c>
      <c r="D9401" t="str">
        <f>HYPERLINK("http://service.sap.com/sap/support/notes/1824358","1824358")</f>
        <v>1824358</v>
      </c>
      <c r="E9401">
        <v>2</v>
      </c>
      <c r="F9401" t="s">
        <v>10691</v>
      </c>
    </row>
    <row r="9402" spans="1:6" x14ac:dyDescent="0.25">
      <c r="A9402" t="s">
        <v>10927</v>
      </c>
      <c r="B9402" t="s">
        <v>3751</v>
      </c>
      <c r="C9402" t="s">
        <v>218</v>
      </c>
      <c r="D9402" t="str">
        <f>HYPERLINK("http://service.sap.com/sap/support/notes/1832764","1832764")</f>
        <v>1832764</v>
      </c>
      <c r="E9402">
        <v>5</v>
      </c>
      <c r="F9402" t="s">
        <v>10692</v>
      </c>
    </row>
    <row r="9403" spans="1:6" x14ac:dyDescent="0.25">
      <c r="A9403" t="s">
        <v>10927</v>
      </c>
      <c r="B9403" t="s">
        <v>3751</v>
      </c>
      <c r="C9403" t="s">
        <v>218</v>
      </c>
      <c r="D9403" t="str">
        <f>HYPERLINK("http://service.sap.com/sap/support/notes/1833440","1833440")</f>
        <v>1833440</v>
      </c>
      <c r="E9403">
        <v>2</v>
      </c>
      <c r="F9403" t="s">
        <v>10693</v>
      </c>
    </row>
    <row r="9404" spans="1:6" x14ac:dyDescent="0.25">
      <c r="A9404" t="s">
        <v>10927</v>
      </c>
      <c r="B9404" t="s">
        <v>3751</v>
      </c>
      <c r="C9404" t="s">
        <v>218</v>
      </c>
      <c r="D9404" t="str">
        <f>HYPERLINK("http://service.sap.com/sap/support/notes/1836794","1836794")</f>
        <v>1836794</v>
      </c>
      <c r="E9404">
        <v>2</v>
      </c>
      <c r="F9404" t="s">
        <v>10694</v>
      </c>
    </row>
    <row r="9405" spans="1:6" x14ac:dyDescent="0.25">
      <c r="A9405" t="s">
        <v>10927</v>
      </c>
      <c r="B9405" t="s">
        <v>3751</v>
      </c>
      <c r="C9405" t="s">
        <v>218</v>
      </c>
      <c r="D9405" t="str">
        <f>HYPERLINK("http://service.sap.com/sap/support/notes/1837420","1837420")</f>
        <v>1837420</v>
      </c>
      <c r="E9405">
        <v>4</v>
      </c>
      <c r="F9405" t="s">
        <v>10695</v>
      </c>
    </row>
    <row r="9406" spans="1:6" x14ac:dyDescent="0.25">
      <c r="A9406" t="s">
        <v>10927</v>
      </c>
      <c r="B9406" t="s">
        <v>3751</v>
      </c>
      <c r="C9406" t="s">
        <v>218</v>
      </c>
      <c r="D9406" t="str">
        <f>HYPERLINK("http://service.sap.com/sap/support/notes/1838608","1838608")</f>
        <v>1838608</v>
      </c>
      <c r="E9406">
        <v>4</v>
      </c>
      <c r="F9406" t="s">
        <v>10696</v>
      </c>
    </row>
    <row r="9407" spans="1:6" x14ac:dyDescent="0.25">
      <c r="A9407" t="s">
        <v>10927</v>
      </c>
      <c r="B9407" t="s">
        <v>3751</v>
      </c>
      <c r="C9407" t="s">
        <v>218</v>
      </c>
      <c r="D9407" t="str">
        <f>HYPERLINK("http://service.sap.com/sap/support/notes/1839027","1839027")</f>
        <v>1839027</v>
      </c>
      <c r="E9407">
        <v>6</v>
      </c>
      <c r="F9407" t="s">
        <v>10697</v>
      </c>
    </row>
    <row r="9408" spans="1:6" x14ac:dyDescent="0.25">
      <c r="A9408" t="s">
        <v>10927</v>
      </c>
      <c r="B9408" t="s">
        <v>3751</v>
      </c>
      <c r="C9408" t="s">
        <v>218</v>
      </c>
      <c r="D9408" t="str">
        <f>HYPERLINK("http://service.sap.com/sap/support/notes/1840963","1840963")</f>
        <v>1840963</v>
      </c>
      <c r="E9408">
        <v>7</v>
      </c>
      <c r="F9408" t="s">
        <v>10698</v>
      </c>
    </row>
    <row r="9409" spans="1:6" x14ac:dyDescent="0.25">
      <c r="A9409" t="s">
        <v>10927</v>
      </c>
      <c r="B9409" t="s">
        <v>3751</v>
      </c>
      <c r="C9409" t="s">
        <v>218</v>
      </c>
      <c r="D9409" t="str">
        <f>HYPERLINK("http://service.sap.com/sap/support/notes/1845194","1845194")</f>
        <v>1845194</v>
      </c>
      <c r="E9409">
        <v>1</v>
      </c>
      <c r="F9409" t="s">
        <v>10699</v>
      </c>
    </row>
    <row r="9410" spans="1:6" x14ac:dyDescent="0.25">
      <c r="A9410" t="s">
        <v>10927</v>
      </c>
      <c r="B9410" t="s">
        <v>3751</v>
      </c>
      <c r="C9410" t="s">
        <v>218</v>
      </c>
      <c r="D9410" t="str">
        <f>HYPERLINK("http://service.sap.com/sap/support/notes/1846384","1846384")</f>
        <v>1846384</v>
      </c>
      <c r="E9410">
        <v>2</v>
      </c>
      <c r="F9410" t="s">
        <v>10700</v>
      </c>
    </row>
    <row r="9411" spans="1:6" x14ac:dyDescent="0.25">
      <c r="A9411" t="s">
        <v>10927</v>
      </c>
      <c r="B9411" t="s">
        <v>3751</v>
      </c>
      <c r="C9411" t="s">
        <v>218</v>
      </c>
      <c r="D9411" t="str">
        <f>HYPERLINK("http://service.sap.com/sap/support/notes/1846669","1846669")</f>
        <v>1846669</v>
      </c>
      <c r="E9411">
        <v>4</v>
      </c>
      <c r="F9411" t="s">
        <v>10701</v>
      </c>
    </row>
    <row r="9412" spans="1:6" x14ac:dyDescent="0.25">
      <c r="A9412" t="s">
        <v>10927</v>
      </c>
      <c r="B9412" t="s">
        <v>3751</v>
      </c>
      <c r="C9412" t="s">
        <v>218</v>
      </c>
      <c r="D9412" t="str">
        <f>HYPERLINK("http://service.sap.com/sap/support/notes/1849741","1849741")</f>
        <v>1849741</v>
      </c>
      <c r="E9412">
        <v>1</v>
      </c>
      <c r="F9412" t="s">
        <v>10702</v>
      </c>
    </row>
    <row r="9413" spans="1:6" x14ac:dyDescent="0.25">
      <c r="A9413" t="s">
        <v>10927</v>
      </c>
      <c r="B9413" t="s">
        <v>3751</v>
      </c>
      <c r="C9413" t="s">
        <v>218</v>
      </c>
      <c r="D9413" t="str">
        <f>HYPERLINK("http://service.sap.com/sap/support/notes/1851273","1851273")</f>
        <v>1851273</v>
      </c>
      <c r="E9413">
        <v>4</v>
      </c>
      <c r="F9413" t="s">
        <v>10703</v>
      </c>
    </row>
    <row r="9414" spans="1:6" x14ac:dyDescent="0.25">
      <c r="A9414" t="s">
        <v>10927</v>
      </c>
      <c r="B9414" t="s">
        <v>3751</v>
      </c>
      <c r="C9414" t="s">
        <v>218</v>
      </c>
      <c r="D9414" t="str">
        <f>HYPERLINK("http://service.sap.com/sap/support/notes/1855393","1855393")</f>
        <v>1855393</v>
      </c>
      <c r="E9414">
        <v>1</v>
      </c>
      <c r="F9414" t="s">
        <v>10704</v>
      </c>
    </row>
    <row r="9415" spans="1:6" x14ac:dyDescent="0.25">
      <c r="A9415" t="s">
        <v>10927</v>
      </c>
      <c r="B9415" t="s">
        <v>3764</v>
      </c>
      <c r="C9415" t="s">
        <v>3765</v>
      </c>
      <c r="D9415" t="str">
        <f>HYPERLINK("http://service.sap.com/sap/support/notes/1674280","1674280")</f>
        <v>1674280</v>
      </c>
      <c r="E9415">
        <v>1</v>
      </c>
      <c r="F9415" t="s">
        <v>10705</v>
      </c>
    </row>
    <row r="9416" spans="1:6" x14ac:dyDescent="0.25">
      <c r="A9416" t="s">
        <v>10927</v>
      </c>
      <c r="B9416" t="s">
        <v>3764</v>
      </c>
      <c r="C9416" t="s">
        <v>3765</v>
      </c>
      <c r="D9416" t="str">
        <f>HYPERLINK("http://service.sap.com/sap/support/notes/1792546","1792546")</f>
        <v>1792546</v>
      </c>
      <c r="E9416">
        <v>2</v>
      </c>
      <c r="F9416" t="s">
        <v>10706</v>
      </c>
    </row>
    <row r="9417" spans="1:6" x14ac:dyDescent="0.25">
      <c r="A9417" t="s">
        <v>10927</v>
      </c>
      <c r="B9417" t="s">
        <v>3764</v>
      </c>
      <c r="C9417" t="s">
        <v>3765</v>
      </c>
      <c r="D9417" t="str">
        <f>HYPERLINK("http://service.sap.com/sap/support/notes/1803009","1803009")</f>
        <v>1803009</v>
      </c>
      <c r="E9417">
        <v>6</v>
      </c>
      <c r="F9417" t="s">
        <v>10707</v>
      </c>
    </row>
    <row r="9418" spans="1:6" x14ac:dyDescent="0.25">
      <c r="A9418" t="s">
        <v>10927</v>
      </c>
      <c r="B9418" t="s">
        <v>3764</v>
      </c>
      <c r="C9418" t="s">
        <v>3765</v>
      </c>
      <c r="D9418" t="str">
        <f>HYPERLINK("http://service.sap.com/sap/support/notes/1819820","1819820")</f>
        <v>1819820</v>
      </c>
      <c r="E9418">
        <v>1</v>
      </c>
    </row>
    <row r="9419" spans="1:6" x14ac:dyDescent="0.25">
      <c r="A9419" t="s">
        <v>10927</v>
      </c>
      <c r="B9419" t="s">
        <v>3764</v>
      </c>
      <c r="C9419" t="s">
        <v>3765</v>
      </c>
      <c r="D9419" t="str">
        <f>HYPERLINK("http://service.sap.com/sap/support/notes/1828977","1828977")</f>
        <v>1828977</v>
      </c>
      <c r="E9419">
        <v>1</v>
      </c>
      <c r="F9419" t="s">
        <v>10708</v>
      </c>
    </row>
    <row r="9420" spans="1:6" x14ac:dyDescent="0.25">
      <c r="A9420" t="s">
        <v>10927</v>
      </c>
      <c r="B9420" t="s">
        <v>3764</v>
      </c>
      <c r="C9420" t="s">
        <v>3765</v>
      </c>
      <c r="D9420" t="str">
        <f>HYPERLINK("http://service.sap.com/sap/support/notes/1831696","1831696")</f>
        <v>1831696</v>
      </c>
      <c r="E9420">
        <v>2</v>
      </c>
      <c r="F9420" t="s">
        <v>10709</v>
      </c>
    </row>
    <row r="9421" spans="1:6" x14ac:dyDescent="0.25">
      <c r="A9421" t="s">
        <v>10927</v>
      </c>
      <c r="B9421" t="s">
        <v>3764</v>
      </c>
      <c r="C9421" t="s">
        <v>3765</v>
      </c>
      <c r="D9421" t="str">
        <f>HYPERLINK("http://service.sap.com/sap/support/notes/1833356","1833356")</f>
        <v>1833356</v>
      </c>
      <c r="E9421">
        <v>1</v>
      </c>
      <c r="F9421" t="s">
        <v>10710</v>
      </c>
    </row>
    <row r="9422" spans="1:6" x14ac:dyDescent="0.25">
      <c r="A9422" t="s">
        <v>10927</v>
      </c>
      <c r="B9422" t="s">
        <v>3764</v>
      </c>
      <c r="C9422" t="s">
        <v>3765</v>
      </c>
      <c r="D9422" t="str">
        <f>HYPERLINK("http://service.sap.com/sap/support/notes/1833395","1833395")</f>
        <v>1833395</v>
      </c>
      <c r="E9422">
        <v>1</v>
      </c>
    </row>
    <row r="9423" spans="1:6" x14ac:dyDescent="0.25">
      <c r="A9423" t="s">
        <v>10927</v>
      </c>
      <c r="B9423" t="s">
        <v>3764</v>
      </c>
      <c r="C9423" t="s">
        <v>3765</v>
      </c>
      <c r="D9423" t="str">
        <f>HYPERLINK("http://service.sap.com/sap/support/notes/1835980","1835980")</f>
        <v>1835980</v>
      </c>
      <c r="E9423">
        <v>2</v>
      </c>
      <c r="F9423" t="s">
        <v>10711</v>
      </c>
    </row>
    <row r="9424" spans="1:6" x14ac:dyDescent="0.25">
      <c r="A9424" t="s">
        <v>10927</v>
      </c>
      <c r="B9424" t="s">
        <v>3764</v>
      </c>
      <c r="C9424" t="s">
        <v>3765</v>
      </c>
      <c r="D9424" t="str">
        <f>HYPERLINK("http://service.sap.com/sap/support/notes/1836258","1836258")</f>
        <v>1836258</v>
      </c>
      <c r="E9424">
        <v>2</v>
      </c>
      <c r="F9424" t="s">
        <v>10712</v>
      </c>
    </row>
    <row r="9425" spans="1:6" x14ac:dyDescent="0.25">
      <c r="A9425" t="s">
        <v>10927</v>
      </c>
      <c r="B9425" t="s">
        <v>3764</v>
      </c>
      <c r="C9425" t="s">
        <v>3765</v>
      </c>
      <c r="D9425" t="str">
        <f>HYPERLINK("http://service.sap.com/sap/support/notes/1836742","1836742")</f>
        <v>1836742</v>
      </c>
      <c r="E9425">
        <v>4</v>
      </c>
      <c r="F9425" t="s">
        <v>10713</v>
      </c>
    </row>
    <row r="9426" spans="1:6" x14ac:dyDescent="0.25">
      <c r="A9426" t="s">
        <v>10927</v>
      </c>
      <c r="B9426" t="s">
        <v>3764</v>
      </c>
      <c r="C9426" t="s">
        <v>3765</v>
      </c>
      <c r="D9426" t="str">
        <f>HYPERLINK("http://service.sap.com/sap/support/notes/1836801","1836801")</f>
        <v>1836801</v>
      </c>
      <c r="E9426">
        <v>1</v>
      </c>
      <c r="F9426" t="s">
        <v>10714</v>
      </c>
    </row>
    <row r="9427" spans="1:6" x14ac:dyDescent="0.25">
      <c r="A9427" t="s">
        <v>10927</v>
      </c>
      <c r="B9427" t="s">
        <v>3764</v>
      </c>
      <c r="C9427" t="s">
        <v>3765</v>
      </c>
      <c r="D9427" t="str">
        <f>HYPERLINK("http://service.sap.com/sap/support/notes/1837444","1837444")</f>
        <v>1837444</v>
      </c>
      <c r="E9427">
        <v>3</v>
      </c>
      <c r="F9427" t="s">
        <v>10715</v>
      </c>
    </row>
    <row r="9428" spans="1:6" x14ac:dyDescent="0.25">
      <c r="A9428" t="s">
        <v>10927</v>
      </c>
      <c r="B9428" t="s">
        <v>3764</v>
      </c>
      <c r="C9428" t="s">
        <v>3765</v>
      </c>
      <c r="D9428" t="str">
        <f>HYPERLINK("http://service.sap.com/sap/support/notes/1838557","1838557")</f>
        <v>1838557</v>
      </c>
      <c r="E9428">
        <v>2</v>
      </c>
      <c r="F9428" t="s">
        <v>10716</v>
      </c>
    </row>
    <row r="9429" spans="1:6" x14ac:dyDescent="0.25">
      <c r="A9429" t="s">
        <v>10927</v>
      </c>
      <c r="B9429" t="s">
        <v>3764</v>
      </c>
      <c r="C9429" t="s">
        <v>3765</v>
      </c>
      <c r="D9429" t="str">
        <f>HYPERLINK("http://service.sap.com/sap/support/notes/1838582","1838582")</f>
        <v>1838582</v>
      </c>
      <c r="E9429">
        <v>2</v>
      </c>
      <c r="F9429" t="s">
        <v>10717</v>
      </c>
    </row>
    <row r="9430" spans="1:6" x14ac:dyDescent="0.25">
      <c r="A9430" t="s">
        <v>10927</v>
      </c>
      <c r="B9430" t="s">
        <v>3764</v>
      </c>
      <c r="C9430" t="s">
        <v>3765</v>
      </c>
      <c r="D9430" t="str">
        <f>HYPERLINK("http://service.sap.com/sap/support/notes/1840188","1840188")</f>
        <v>1840188</v>
      </c>
      <c r="E9430">
        <v>1</v>
      </c>
      <c r="F9430" t="s">
        <v>10718</v>
      </c>
    </row>
    <row r="9431" spans="1:6" x14ac:dyDescent="0.25">
      <c r="A9431" t="s">
        <v>10927</v>
      </c>
      <c r="B9431" t="s">
        <v>3764</v>
      </c>
      <c r="C9431" t="s">
        <v>3765</v>
      </c>
      <c r="D9431" t="str">
        <f>HYPERLINK("http://service.sap.com/sap/support/notes/1842481","1842481")</f>
        <v>1842481</v>
      </c>
      <c r="E9431">
        <v>3</v>
      </c>
      <c r="F9431" t="s">
        <v>10719</v>
      </c>
    </row>
    <row r="9432" spans="1:6" x14ac:dyDescent="0.25">
      <c r="A9432" t="s">
        <v>10927</v>
      </c>
      <c r="B9432" t="s">
        <v>3764</v>
      </c>
      <c r="C9432" t="s">
        <v>3765</v>
      </c>
      <c r="D9432" t="str">
        <f>HYPERLINK("http://service.sap.com/sap/support/notes/1842651","1842651")</f>
        <v>1842651</v>
      </c>
      <c r="E9432">
        <v>2</v>
      </c>
      <c r="F9432" t="s">
        <v>10720</v>
      </c>
    </row>
    <row r="9433" spans="1:6" x14ac:dyDescent="0.25">
      <c r="A9433" t="s">
        <v>10927</v>
      </c>
      <c r="B9433" t="s">
        <v>3764</v>
      </c>
      <c r="C9433" t="s">
        <v>3765</v>
      </c>
      <c r="D9433" t="str">
        <f>HYPERLINK("http://service.sap.com/sap/support/notes/1842924","1842924")</f>
        <v>1842924</v>
      </c>
      <c r="E9433">
        <v>2</v>
      </c>
    </row>
    <row r="9434" spans="1:6" x14ac:dyDescent="0.25">
      <c r="A9434" t="s">
        <v>10927</v>
      </c>
      <c r="B9434" t="s">
        <v>3764</v>
      </c>
      <c r="C9434" t="s">
        <v>3765</v>
      </c>
      <c r="D9434" t="str">
        <f>HYPERLINK("http://service.sap.com/sap/support/notes/1847110","1847110")</f>
        <v>1847110</v>
      </c>
      <c r="E9434">
        <v>1</v>
      </c>
      <c r="F9434" t="s">
        <v>10721</v>
      </c>
    </row>
    <row r="9435" spans="1:6" x14ac:dyDescent="0.25">
      <c r="A9435" t="s">
        <v>10927</v>
      </c>
      <c r="B9435" t="s">
        <v>3764</v>
      </c>
      <c r="C9435" t="s">
        <v>3765</v>
      </c>
      <c r="D9435" t="str">
        <f>HYPERLINK("http://service.sap.com/sap/support/notes/1847673","1847673")</f>
        <v>1847673</v>
      </c>
      <c r="E9435">
        <v>2</v>
      </c>
    </row>
    <row r="9436" spans="1:6" x14ac:dyDescent="0.25">
      <c r="A9436" t="s">
        <v>10927</v>
      </c>
      <c r="B9436" t="s">
        <v>3764</v>
      </c>
      <c r="C9436" t="s">
        <v>3765</v>
      </c>
      <c r="D9436" t="str">
        <f>HYPERLINK("http://service.sap.com/sap/support/notes/1847904","1847904")</f>
        <v>1847904</v>
      </c>
      <c r="E9436">
        <v>2</v>
      </c>
      <c r="F9436" t="s">
        <v>10722</v>
      </c>
    </row>
    <row r="9437" spans="1:6" x14ac:dyDescent="0.25">
      <c r="A9437" t="s">
        <v>10927</v>
      </c>
      <c r="B9437" t="s">
        <v>3764</v>
      </c>
      <c r="C9437" t="s">
        <v>3765</v>
      </c>
      <c r="D9437" t="str">
        <f>HYPERLINK("http://service.sap.com/sap/support/notes/1851184","1851184")</f>
        <v>1851184</v>
      </c>
      <c r="E9437">
        <v>1</v>
      </c>
      <c r="F9437" t="s">
        <v>10723</v>
      </c>
    </row>
    <row r="9438" spans="1:6" x14ac:dyDescent="0.25">
      <c r="A9438" t="s">
        <v>10927</v>
      </c>
      <c r="B9438" t="s">
        <v>3764</v>
      </c>
      <c r="C9438" t="s">
        <v>3765</v>
      </c>
      <c r="D9438" t="str">
        <f>HYPERLINK("http://service.sap.com/sap/support/notes/1853104","1853104")</f>
        <v>1853104</v>
      </c>
      <c r="E9438">
        <v>2</v>
      </c>
      <c r="F9438" t="s">
        <v>10724</v>
      </c>
    </row>
    <row r="9439" spans="1:6" x14ac:dyDescent="0.25">
      <c r="A9439" t="s">
        <v>10927</v>
      </c>
      <c r="B9439" t="s">
        <v>3764</v>
      </c>
      <c r="C9439" t="s">
        <v>3765</v>
      </c>
      <c r="D9439" t="str">
        <f>HYPERLINK("http://service.sap.com/sap/support/notes/1860005","1860005")</f>
        <v>1860005</v>
      </c>
      <c r="E9439">
        <v>1</v>
      </c>
      <c r="F9439" t="s">
        <v>10725</v>
      </c>
    </row>
    <row r="9440" spans="1:6" x14ac:dyDescent="0.25">
      <c r="A9440" t="s">
        <v>10927</v>
      </c>
      <c r="B9440" t="s">
        <v>3764</v>
      </c>
      <c r="C9440" t="s">
        <v>3765</v>
      </c>
      <c r="D9440" t="str">
        <f>HYPERLINK("http://service.sap.com/sap/support/notes/1864545","1864545")</f>
        <v>1864545</v>
      </c>
      <c r="E9440">
        <v>2</v>
      </c>
      <c r="F9440" t="s">
        <v>10726</v>
      </c>
    </row>
    <row r="9441" spans="1:6" x14ac:dyDescent="0.25">
      <c r="A9441" t="s">
        <v>10927</v>
      </c>
      <c r="B9441" t="s">
        <v>3797</v>
      </c>
      <c r="C9441" t="s">
        <v>3798</v>
      </c>
      <c r="D9441" t="str">
        <f>HYPERLINK("http://service.sap.com/sap/support/notes/1741438","1741438")</f>
        <v>1741438</v>
      </c>
      <c r="E9441">
        <v>1</v>
      </c>
      <c r="F9441" t="s">
        <v>10727</v>
      </c>
    </row>
    <row r="9442" spans="1:6" x14ac:dyDescent="0.25">
      <c r="A9442" t="s">
        <v>10927</v>
      </c>
      <c r="B9442" t="s">
        <v>3797</v>
      </c>
      <c r="C9442" t="s">
        <v>3798</v>
      </c>
      <c r="D9442" t="str">
        <f>HYPERLINK("http://service.sap.com/sap/support/notes/1822053","1822053")</f>
        <v>1822053</v>
      </c>
      <c r="E9442">
        <v>1</v>
      </c>
    </row>
    <row r="9443" spans="1:6" x14ac:dyDescent="0.25">
      <c r="A9443" t="s">
        <v>10927</v>
      </c>
      <c r="B9443" t="s">
        <v>3797</v>
      </c>
      <c r="C9443" t="s">
        <v>3798</v>
      </c>
      <c r="D9443" t="str">
        <f>HYPERLINK("http://service.sap.com/sap/support/notes/1832064","1832064")</f>
        <v>1832064</v>
      </c>
      <c r="E9443">
        <v>2</v>
      </c>
      <c r="F9443" t="s">
        <v>10728</v>
      </c>
    </row>
    <row r="9444" spans="1:6" x14ac:dyDescent="0.25">
      <c r="A9444" t="s">
        <v>10927</v>
      </c>
      <c r="B9444" t="s">
        <v>3797</v>
      </c>
      <c r="C9444" t="s">
        <v>3798</v>
      </c>
      <c r="D9444" t="str">
        <f>HYPERLINK("http://service.sap.com/sap/support/notes/1835300","1835300")</f>
        <v>1835300</v>
      </c>
      <c r="E9444">
        <v>1</v>
      </c>
      <c r="F9444" t="s">
        <v>10729</v>
      </c>
    </row>
    <row r="9445" spans="1:6" x14ac:dyDescent="0.25">
      <c r="A9445" t="s">
        <v>10927</v>
      </c>
      <c r="B9445" t="s">
        <v>3797</v>
      </c>
      <c r="C9445" t="s">
        <v>3798</v>
      </c>
      <c r="D9445" t="str">
        <f>HYPERLINK("http://service.sap.com/sap/support/notes/1836028","1836028")</f>
        <v>1836028</v>
      </c>
      <c r="E9445">
        <v>2</v>
      </c>
      <c r="F9445" t="s">
        <v>10730</v>
      </c>
    </row>
    <row r="9446" spans="1:6" x14ac:dyDescent="0.25">
      <c r="A9446" t="s">
        <v>10927</v>
      </c>
      <c r="B9446" t="s">
        <v>3797</v>
      </c>
      <c r="C9446" t="s">
        <v>3798</v>
      </c>
      <c r="D9446" t="str">
        <f>HYPERLINK("http://service.sap.com/sap/support/notes/1841858","1841858")</f>
        <v>1841858</v>
      </c>
      <c r="E9446">
        <v>1</v>
      </c>
      <c r="F9446" t="s">
        <v>10731</v>
      </c>
    </row>
    <row r="9447" spans="1:6" x14ac:dyDescent="0.25">
      <c r="A9447" t="s">
        <v>10927</v>
      </c>
      <c r="B9447" t="s">
        <v>3797</v>
      </c>
      <c r="C9447" t="s">
        <v>3798</v>
      </c>
      <c r="D9447" t="str">
        <f>HYPERLINK("http://service.sap.com/sap/support/notes/1842348","1842348")</f>
        <v>1842348</v>
      </c>
      <c r="E9447">
        <v>1</v>
      </c>
      <c r="F9447" t="s">
        <v>10732</v>
      </c>
    </row>
    <row r="9448" spans="1:6" x14ac:dyDescent="0.25">
      <c r="A9448" t="s">
        <v>10927</v>
      </c>
      <c r="B9448" t="s">
        <v>3797</v>
      </c>
      <c r="C9448" t="s">
        <v>3798</v>
      </c>
      <c r="D9448" t="str">
        <f>HYPERLINK("http://service.sap.com/sap/support/notes/1844835","1844835")</f>
        <v>1844835</v>
      </c>
      <c r="E9448">
        <v>3</v>
      </c>
      <c r="F9448" t="s">
        <v>10733</v>
      </c>
    </row>
    <row r="9449" spans="1:6" x14ac:dyDescent="0.25">
      <c r="A9449" t="s">
        <v>10927</v>
      </c>
      <c r="B9449" t="s">
        <v>3797</v>
      </c>
      <c r="C9449" t="s">
        <v>3798</v>
      </c>
      <c r="D9449" t="str">
        <f>HYPERLINK("http://service.sap.com/sap/support/notes/1845705","1845705")</f>
        <v>1845705</v>
      </c>
      <c r="E9449">
        <v>2</v>
      </c>
      <c r="F9449" t="s">
        <v>3813</v>
      </c>
    </row>
    <row r="9450" spans="1:6" x14ac:dyDescent="0.25">
      <c r="A9450" t="s">
        <v>10927</v>
      </c>
      <c r="B9450" t="s">
        <v>3797</v>
      </c>
      <c r="C9450" t="s">
        <v>3798</v>
      </c>
      <c r="D9450" t="str">
        <f>HYPERLINK("http://service.sap.com/sap/support/notes/1847677","1847677")</f>
        <v>1847677</v>
      </c>
      <c r="E9450">
        <v>2</v>
      </c>
    </row>
    <row r="9451" spans="1:6" x14ac:dyDescent="0.25">
      <c r="A9451" t="s">
        <v>10927</v>
      </c>
      <c r="B9451" t="s">
        <v>3797</v>
      </c>
      <c r="C9451" t="s">
        <v>3798</v>
      </c>
      <c r="D9451" t="str">
        <f>HYPERLINK("http://service.sap.com/sap/support/notes/1857417","1857417")</f>
        <v>1857417</v>
      </c>
      <c r="E9451">
        <v>1</v>
      </c>
      <c r="F9451" t="s">
        <v>10680</v>
      </c>
    </row>
    <row r="9452" spans="1:6" x14ac:dyDescent="0.25">
      <c r="A9452" t="s">
        <v>10927</v>
      </c>
      <c r="B9452" t="s">
        <v>3797</v>
      </c>
      <c r="C9452" t="s">
        <v>3798</v>
      </c>
      <c r="D9452" t="str">
        <f>HYPERLINK("http://service.sap.com/sap/support/notes/1857765","1857765")</f>
        <v>1857765</v>
      </c>
      <c r="E9452">
        <v>2</v>
      </c>
      <c r="F9452" t="s">
        <v>10734</v>
      </c>
    </row>
    <row r="9453" spans="1:6" x14ac:dyDescent="0.25">
      <c r="A9453" t="s">
        <v>10927</v>
      </c>
      <c r="B9453" t="s">
        <v>3797</v>
      </c>
      <c r="C9453" t="s">
        <v>3798</v>
      </c>
      <c r="D9453" t="str">
        <f>HYPERLINK("http://service.sap.com/sap/support/notes/1861615","1861615")</f>
        <v>1861615</v>
      </c>
      <c r="E9453">
        <v>3</v>
      </c>
      <c r="F9453" t="s">
        <v>10735</v>
      </c>
    </row>
    <row r="9454" spans="1:6" x14ac:dyDescent="0.25">
      <c r="A9454" t="s">
        <v>10927</v>
      </c>
      <c r="B9454" t="s">
        <v>3817</v>
      </c>
      <c r="C9454" t="s">
        <v>2477</v>
      </c>
      <c r="D9454" t="str">
        <f>HYPERLINK("http://service.sap.com/sap/support/notes/1803933","1803933")</f>
        <v>1803933</v>
      </c>
      <c r="E9454">
        <v>6</v>
      </c>
      <c r="F9454" t="s">
        <v>10736</v>
      </c>
    </row>
    <row r="9455" spans="1:6" x14ac:dyDescent="0.25">
      <c r="A9455" t="s">
        <v>10927</v>
      </c>
      <c r="B9455" t="s">
        <v>3817</v>
      </c>
      <c r="C9455" t="s">
        <v>2477</v>
      </c>
      <c r="D9455" t="str">
        <f>HYPERLINK("http://service.sap.com/sap/support/notes/1810208","1810208")</f>
        <v>1810208</v>
      </c>
      <c r="E9455">
        <v>2</v>
      </c>
      <c r="F9455" t="s">
        <v>8652</v>
      </c>
    </row>
    <row r="9456" spans="1:6" x14ac:dyDescent="0.25">
      <c r="A9456" t="s">
        <v>10927</v>
      </c>
      <c r="B9456" t="s">
        <v>3817</v>
      </c>
      <c r="C9456" t="s">
        <v>2477</v>
      </c>
      <c r="D9456" t="str">
        <f>HYPERLINK("http://service.sap.com/sap/support/notes/1826051","1826051")</f>
        <v>1826051</v>
      </c>
      <c r="E9456">
        <v>3</v>
      </c>
      <c r="F9456" t="s">
        <v>10737</v>
      </c>
    </row>
    <row r="9457" spans="1:6" x14ac:dyDescent="0.25">
      <c r="A9457" t="s">
        <v>10927</v>
      </c>
      <c r="B9457" t="s">
        <v>3817</v>
      </c>
      <c r="C9457" t="s">
        <v>2477</v>
      </c>
      <c r="D9457" t="str">
        <f>HYPERLINK("http://service.sap.com/sap/support/notes/1830494","1830494")</f>
        <v>1830494</v>
      </c>
      <c r="E9457">
        <v>2</v>
      </c>
      <c r="F9457" t="s">
        <v>10738</v>
      </c>
    </row>
    <row r="9458" spans="1:6" x14ac:dyDescent="0.25">
      <c r="A9458" t="s">
        <v>10927</v>
      </c>
      <c r="B9458" t="s">
        <v>3817</v>
      </c>
      <c r="C9458" t="s">
        <v>2477</v>
      </c>
      <c r="D9458" t="str">
        <f>HYPERLINK("http://service.sap.com/sap/support/notes/1831671","1831671")</f>
        <v>1831671</v>
      </c>
      <c r="E9458">
        <v>4</v>
      </c>
      <c r="F9458" t="s">
        <v>10739</v>
      </c>
    </row>
    <row r="9459" spans="1:6" x14ac:dyDescent="0.25">
      <c r="A9459" t="s">
        <v>10927</v>
      </c>
      <c r="B9459" t="s">
        <v>3817</v>
      </c>
      <c r="C9459" t="s">
        <v>2477</v>
      </c>
      <c r="D9459" t="str">
        <f>HYPERLINK("http://service.sap.com/sap/support/notes/1834532","1834532")</f>
        <v>1834532</v>
      </c>
      <c r="E9459">
        <v>2</v>
      </c>
      <c r="F9459" t="s">
        <v>10740</v>
      </c>
    </row>
    <row r="9460" spans="1:6" x14ac:dyDescent="0.25">
      <c r="A9460" t="s">
        <v>10927</v>
      </c>
      <c r="B9460" t="s">
        <v>3817</v>
      </c>
      <c r="C9460" t="s">
        <v>2477</v>
      </c>
      <c r="D9460" t="str">
        <f>HYPERLINK("http://service.sap.com/sap/support/notes/1836481","1836481")</f>
        <v>1836481</v>
      </c>
      <c r="E9460">
        <v>1</v>
      </c>
      <c r="F9460" t="s">
        <v>10741</v>
      </c>
    </row>
    <row r="9461" spans="1:6" x14ac:dyDescent="0.25">
      <c r="A9461" t="s">
        <v>10927</v>
      </c>
      <c r="B9461" t="s">
        <v>3817</v>
      </c>
      <c r="C9461" t="s">
        <v>2477</v>
      </c>
      <c r="D9461" t="str">
        <f>HYPERLINK("http://service.sap.com/sap/support/notes/1836741","1836741")</f>
        <v>1836741</v>
      </c>
      <c r="E9461">
        <v>2</v>
      </c>
      <c r="F9461" t="s">
        <v>10742</v>
      </c>
    </row>
    <row r="9462" spans="1:6" x14ac:dyDescent="0.25">
      <c r="A9462" t="s">
        <v>10927</v>
      </c>
      <c r="B9462" t="s">
        <v>3817</v>
      </c>
      <c r="C9462" t="s">
        <v>2477</v>
      </c>
      <c r="D9462" t="str">
        <f>HYPERLINK("http://service.sap.com/sap/support/notes/1842056","1842056")</f>
        <v>1842056</v>
      </c>
      <c r="E9462">
        <v>4</v>
      </c>
      <c r="F9462" t="s">
        <v>10743</v>
      </c>
    </row>
    <row r="9463" spans="1:6" x14ac:dyDescent="0.25">
      <c r="A9463" t="s">
        <v>10927</v>
      </c>
      <c r="B9463" t="s">
        <v>3817</v>
      </c>
      <c r="C9463" t="s">
        <v>2477</v>
      </c>
      <c r="D9463" t="str">
        <f>HYPERLINK("http://service.sap.com/sap/support/notes/1842662","1842662")</f>
        <v>1842662</v>
      </c>
      <c r="E9463">
        <v>3</v>
      </c>
      <c r="F9463" t="s">
        <v>10744</v>
      </c>
    </row>
    <row r="9464" spans="1:6" x14ac:dyDescent="0.25">
      <c r="A9464" t="s">
        <v>10927</v>
      </c>
      <c r="B9464" t="s">
        <v>3817</v>
      </c>
      <c r="C9464" t="s">
        <v>2477</v>
      </c>
      <c r="D9464" t="str">
        <f>HYPERLINK("http://service.sap.com/sap/support/notes/1850490","1850490")</f>
        <v>1850490</v>
      </c>
      <c r="E9464">
        <v>2</v>
      </c>
      <c r="F9464" t="s">
        <v>10745</v>
      </c>
    </row>
    <row r="9465" spans="1:6" x14ac:dyDescent="0.25">
      <c r="A9465" t="s">
        <v>10927</v>
      </c>
      <c r="B9465" t="s">
        <v>3817</v>
      </c>
      <c r="C9465" t="s">
        <v>2477</v>
      </c>
      <c r="D9465" t="str">
        <f>HYPERLINK("http://service.sap.com/sap/support/notes/1861737","1861737")</f>
        <v>1861737</v>
      </c>
      <c r="E9465">
        <v>1</v>
      </c>
      <c r="F9465" t="s">
        <v>10746</v>
      </c>
    </row>
    <row r="9466" spans="1:6" x14ac:dyDescent="0.25">
      <c r="A9466" t="s">
        <v>10927</v>
      </c>
      <c r="B9466" t="s">
        <v>3845</v>
      </c>
      <c r="C9466" t="s">
        <v>1762</v>
      </c>
      <c r="D9466" t="str">
        <f>HYPERLINK("http://service.sap.com/sap/support/notes/1848611","1848611")</f>
        <v>1848611</v>
      </c>
      <c r="E9466">
        <v>2</v>
      </c>
      <c r="F9466" t="s">
        <v>10747</v>
      </c>
    </row>
    <row r="9467" spans="1:6" x14ac:dyDescent="0.25">
      <c r="A9467" t="s">
        <v>10927</v>
      </c>
      <c r="B9467" t="s">
        <v>3853</v>
      </c>
      <c r="C9467" t="s">
        <v>3854</v>
      </c>
      <c r="D9467" t="str">
        <f>HYPERLINK("http://service.sap.com/sap/support/notes/1755051","1755051")</f>
        <v>1755051</v>
      </c>
      <c r="E9467">
        <v>3</v>
      </c>
      <c r="F9467" t="s">
        <v>10748</v>
      </c>
    </row>
    <row r="9468" spans="1:6" x14ac:dyDescent="0.25">
      <c r="A9468" t="s">
        <v>10927</v>
      </c>
      <c r="B9468" t="s">
        <v>3853</v>
      </c>
      <c r="C9468" t="s">
        <v>3854</v>
      </c>
      <c r="D9468" t="str">
        <f>HYPERLINK("http://service.sap.com/sap/support/notes/1831999","1831999")</f>
        <v>1831999</v>
      </c>
      <c r="E9468">
        <v>2</v>
      </c>
      <c r="F9468" t="s">
        <v>10749</v>
      </c>
    </row>
    <row r="9469" spans="1:6" x14ac:dyDescent="0.25">
      <c r="A9469" t="s">
        <v>10927</v>
      </c>
      <c r="B9469" t="s">
        <v>3857</v>
      </c>
      <c r="C9469" t="s">
        <v>3858</v>
      </c>
    </row>
    <row r="9470" spans="1:6" x14ac:dyDescent="0.25">
      <c r="A9470" t="s">
        <v>10927</v>
      </c>
      <c r="B9470" t="s">
        <v>6221</v>
      </c>
      <c r="C9470" t="s">
        <v>6222</v>
      </c>
      <c r="D9470" t="str">
        <f>HYPERLINK("http://service.sap.com/sap/support/notes/1839381","1839381")</f>
        <v>1839381</v>
      </c>
      <c r="E9470">
        <v>1</v>
      </c>
      <c r="F9470" t="s">
        <v>10750</v>
      </c>
    </row>
    <row r="9471" spans="1:6" x14ac:dyDescent="0.25">
      <c r="A9471" t="s">
        <v>10927</v>
      </c>
      <c r="B9471" t="s">
        <v>6221</v>
      </c>
      <c r="C9471" t="s">
        <v>6222</v>
      </c>
      <c r="D9471" t="str">
        <f>HYPERLINK("http://service.sap.com/sap/support/notes/1844229","1844229")</f>
        <v>1844229</v>
      </c>
      <c r="E9471">
        <v>2</v>
      </c>
      <c r="F9471" t="s">
        <v>10751</v>
      </c>
    </row>
    <row r="9472" spans="1:6" x14ac:dyDescent="0.25">
      <c r="A9472" t="s">
        <v>10927</v>
      </c>
      <c r="B9472" t="s">
        <v>6221</v>
      </c>
      <c r="C9472" t="s">
        <v>6222</v>
      </c>
      <c r="D9472" t="str">
        <f>HYPERLINK("http://service.sap.com/sap/support/notes/1865064","1865064")</f>
        <v>1865064</v>
      </c>
      <c r="E9472">
        <v>1</v>
      </c>
      <c r="F9472" t="s">
        <v>10752</v>
      </c>
    </row>
    <row r="9473" spans="1:6" x14ac:dyDescent="0.25">
      <c r="A9473" t="s">
        <v>10927</v>
      </c>
      <c r="B9473" t="s">
        <v>3859</v>
      </c>
      <c r="C9473" t="s">
        <v>3860</v>
      </c>
      <c r="D9473" t="str">
        <f>HYPERLINK("http://service.sap.com/sap/support/notes/1819463","1819463")</f>
        <v>1819463</v>
      </c>
      <c r="E9473">
        <v>1</v>
      </c>
      <c r="F9473" t="s">
        <v>8679</v>
      </c>
    </row>
    <row r="9474" spans="1:6" x14ac:dyDescent="0.25">
      <c r="A9474" t="s">
        <v>10927</v>
      </c>
      <c r="B9474" t="s">
        <v>3859</v>
      </c>
      <c r="C9474" t="s">
        <v>3860</v>
      </c>
      <c r="D9474" t="str">
        <f>HYPERLINK("http://service.sap.com/sap/support/notes/1850196","1850196")</f>
        <v>1850196</v>
      </c>
      <c r="E9474">
        <v>1</v>
      </c>
      <c r="F9474" t="s">
        <v>10753</v>
      </c>
    </row>
    <row r="9475" spans="1:6" x14ac:dyDescent="0.25">
      <c r="A9475" t="s">
        <v>10927</v>
      </c>
      <c r="B9475" t="s">
        <v>3867</v>
      </c>
      <c r="C9475" t="s">
        <v>198</v>
      </c>
      <c r="D9475" t="str">
        <f>HYPERLINK("http://service.sap.com/sap/support/notes/1824917","1824917")</f>
        <v>1824917</v>
      </c>
      <c r="E9475">
        <v>1</v>
      </c>
      <c r="F9475" t="s">
        <v>8687</v>
      </c>
    </row>
    <row r="9476" spans="1:6" x14ac:dyDescent="0.25">
      <c r="A9476" t="s">
        <v>10927</v>
      </c>
      <c r="B9476" t="s">
        <v>3867</v>
      </c>
      <c r="C9476" t="s">
        <v>198</v>
      </c>
      <c r="D9476" t="str">
        <f>HYPERLINK("http://service.sap.com/sap/support/notes/1829957","1829957")</f>
        <v>1829957</v>
      </c>
      <c r="E9476">
        <v>1</v>
      </c>
      <c r="F9476" t="s">
        <v>8691</v>
      </c>
    </row>
    <row r="9477" spans="1:6" x14ac:dyDescent="0.25">
      <c r="A9477" t="s">
        <v>10927</v>
      </c>
      <c r="B9477" t="s">
        <v>3867</v>
      </c>
      <c r="C9477" t="s">
        <v>198</v>
      </c>
      <c r="D9477" t="str">
        <f>HYPERLINK("http://service.sap.com/sap/support/notes/1831243","1831243")</f>
        <v>1831243</v>
      </c>
      <c r="E9477">
        <v>1</v>
      </c>
      <c r="F9477" t="s">
        <v>10754</v>
      </c>
    </row>
    <row r="9478" spans="1:6" x14ac:dyDescent="0.25">
      <c r="A9478" t="s">
        <v>10927</v>
      </c>
      <c r="B9478" t="s">
        <v>3867</v>
      </c>
      <c r="C9478" t="s">
        <v>198</v>
      </c>
      <c r="D9478" t="str">
        <f>HYPERLINK("http://service.sap.com/sap/support/notes/1831800","1831800")</f>
        <v>1831800</v>
      </c>
      <c r="E9478">
        <v>2</v>
      </c>
      <c r="F9478" t="s">
        <v>8692</v>
      </c>
    </row>
    <row r="9479" spans="1:6" x14ac:dyDescent="0.25">
      <c r="A9479" t="s">
        <v>10927</v>
      </c>
      <c r="B9479" t="s">
        <v>3867</v>
      </c>
      <c r="C9479" t="s">
        <v>198</v>
      </c>
      <c r="D9479" t="str">
        <f>HYPERLINK("http://service.sap.com/sap/support/notes/1834149","1834149")</f>
        <v>1834149</v>
      </c>
      <c r="E9479">
        <v>1</v>
      </c>
      <c r="F9479" t="s">
        <v>10755</v>
      </c>
    </row>
    <row r="9480" spans="1:6" x14ac:dyDescent="0.25">
      <c r="A9480" t="s">
        <v>10927</v>
      </c>
      <c r="B9480" t="s">
        <v>3867</v>
      </c>
      <c r="C9480" t="s">
        <v>198</v>
      </c>
      <c r="D9480" t="str">
        <f>HYPERLINK("http://service.sap.com/sap/support/notes/1834170","1834170")</f>
        <v>1834170</v>
      </c>
      <c r="E9480">
        <v>5</v>
      </c>
      <c r="F9480" t="s">
        <v>10756</v>
      </c>
    </row>
    <row r="9481" spans="1:6" x14ac:dyDescent="0.25">
      <c r="A9481" t="s">
        <v>10927</v>
      </c>
      <c r="B9481" t="s">
        <v>3867</v>
      </c>
      <c r="C9481" t="s">
        <v>198</v>
      </c>
      <c r="D9481" t="str">
        <f>HYPERLINK("http://service.sap.com/sap/support/notes/1835209","1835209")</f>
        <v>1835209</v>
      </c>
      <c r="E9481">
        <v>1</v>
      </c>
      <c r="F9481" t="s">
        <v>10757</v>
      </c>
    </row>
    <row r="9482" spans="1:6" x14ac:dyDescent="0.25">
      <c r="A9482" t="s">
        <v>10927</v>
      </c>
      <c r="B9482" t="s">
        <v>3867</v>
      </c>
      <c r="C9482" t="s">
        <v>198</v>
      </c>
      <c r="D9482" t="str">
        <f>HYPERLINK("http://service.sap.com/sap/support/notes/1836397","1836397")</f>
        <v>1836397</v>
      </c>
      <c r="E9482">
        <v>1</v>
      </c>
      <c r="F9482" t="s">
        <v>10758</v>
      </c>
    </row>
    <row r="9483" spans="1:6" x14ac:dyDescent="0.25">
      <c r="A9483" t="s">
        <v>10927</v>
      </c>
      <c r="B9483" t="s">
        <v>3867</v>
      </c>
      <c r="C9483" t="s">
        <v>198</v>
      </c>
      <c r="D9483" t="str">
        <f>HYPERLINK("http://service.sap.com/sap/support/notes/1839352","1839352")</f>
        <v>1839352</v>
      </c>
      <c r="E9483">
        <v>1</v>
      </c>
      <c r="F9483" t="s">
        <v>10759</v>
      </c>
    </row>
    <row r="9484" spans="1:6" x14ac:dyDescent="0.25">
      <c r="A9484" t="s">
        <v>10927</v>
      </c>
      <c r="B9484" t="s">
        <v>3867</v>
      </c>
      <c r="C9484" t="s">
        <v>198</v>
      </c>
      <c r="D9484" t="str">
        <f>HYPERLINK("http://service.sap.com/sap/support/notes/1839397","1839397")</f>
        <v>1839397</v>
      </c>
      <c r="E9484">
        <v>1</v>
      </c>
      <c r="F9484" t="s">
        <v>10760</v>
      </c>
    </row>
    <row r="9485" spans="1:6" x14ac:dyDescent="0.25">
      <c r="A9485" t="s">
        <v>10927</v>
      </c>
      <c r="B9485" t="s">
        <v>3867</v>
      </c>
      <c r="C9485" t="s">
        <v>198</v>
      </c>
      <c r="D9485" t="str">
        <f>HYPERLINK("http://service.sap.com/sap/support/notes/1840531","1840531")</f>
        <v>1840531</v>
      </c>
      <c r="E9485">
        <v>3</v>
      </c>
      <c r="F9485" t="s">
        <v>10761</v>
      </c>
    </row>
    <row r="9486" spans="1:6" x14ac:dyDescent="0.25">
      <c r="A9486" t="s">
        <v>10927</v>
      </c>
      <c r="B9486" t="s">
        <v>3867</v>
      </c>
      <c r="C9486" t="s">
        <v>198</v>
      </c>
      <c r="D9486" t="str">
        <f>HYPERLINK("http://service.sap.com/sap/support/notes/1840825","1840825")</f>
        <v>1840825</v>
      </c>
      <c r="E9486">
        <v>1</v>
      </c>
      <c r="F9486" t="s">
        <v>10762</v>
      </c>
    </row>
    <row r="9487" spans="1:6" x14ac:dyDescent="0.25">
      <c r="A9487" t="s">
        <v>10927</v>
      </c>
      <c r="B9487" t="s">
        <v>3867</v>
      </c>
      <c r="C9487" t="s">
        <v>198</v>
      </c>
      <c r="D9487" t="str">
        <f>HYPERLINK("http://service.sap.com/sap/support/notes/1842750","1842750")</f>
        <v>1842750</v>
      </c>
      <c r="E9487">
        <v>2</v>
      </c>
      <c r="F9487" t="s">
        <v>10763</v>
      </c>
    </row>
    <row r="9488" spans="1:6" x14ac:dyDescent="0.25">
      <c r="A9488" t="s">
        <v>10927</v>
      </c>
      <c r="B9488" t="s">
        <v>3867</v>
      </c>
      <c r="C9488" t="s">
        <v>198</v>
      </c>
      <c r="D9488" t="str">
        <f>HYPERLINK("http://service.sap.com/sap/support/notes/1842839","1842839")</f>
        <v>1842839</v>
      </c>
      <c r="E9488">
        <v>1</v>
      </c>
      <c r="F9488" t="s">
        <v>10764</v>
      </c>
    </row>
    <row r="9489" spans="1:6" x14ac:dyDescent="0.25">
      <c r="A9489" t="s">
        <v>10927</v>
      </c>
      <c r="B9489" t="s">
        <v>3867</v>
      </c>
      <c r="C9489" t="s">
        <v>198</v>
      </c>
      <c r="D9489" t="str">
        <f>HYPERLINK("http://service.sap.com/sap/support/notes/1844014","1844014")</f>
        <v>1844014</v>
      </c>
      <c r="E9489">
        <v>1</v>
      </c>
      <c r="F9489" t="s">
        <v>10765</v>
      </c>
    </row>
    <row r="9490" spans="1:6" x14ac:dyDescent="0.25">
      <c r="A9490" t="s">
        <v>10927</v>
      </c>
      <c r="B9490" t="s">
        <v>3867</v>
      </c>
      <c r="C9490" t="s">
        <v>198</v>
      </c>
      <c r="D9490" t="str">
        <f>HYPERLINK("http://service.sap.com/sap/support/notes/1844679","1844679")</f>
        <v>1844679</v>
      </c>
      <c r="E9490">
        <v>1</v>
      </c>
      <c r="F9490" t="s">
        <v>10766</v>
      </c>
    </row>
    <row r="9491" spans="1:6" x14ac:dyDescent="0.25">
      <c r="A9491" t="s">
        <v>10927</v>
      </c>
      <c r="B9491" t="s">
        <v>3867</v>
      </c>
      <c r="C9491" t="s">
        <v>198</v>
      </c>
      <c r="D9491" t="str">
        <f>HYPERLINK("http://service.sap.com/sap/support/notes/1845230","1845230")</f>
        <v>1845230</v>
      </c>
      <c r="E9491">
        <v>1</v>
      </c>
      <c r="F9491" t="s">
        <v>10767</v>
      </c>
    </row>
    <row r="9492" spans="1:6" x14ac:dyDescent="0.25">
      <c r="A9492" t="s">
        <v>10927</v>
      </c>
      <c r="B9492" t="s">
        <v>3867</v>
      </c>
      <c r="C9492" t="s">
        <v>198</v>
      </c>
      <c r="D9492" t="str">
        <f>HYPERLINK("http://service.sap.com/sap/support/notes/1845231","1845231")</f>
        <v>1845231</v>
      </c>
      <c r="E9492">
        <v>1</v>
      </c>
      <c r="F9492" t="s">
        <v>10768</v>
      </c>
    </row>
    <row r="9493" spans="1:6" x14ac:dyDescent="0.25">
      <c r="A9493" t="s">
        <v>10927</v>
      </c>
      <c r="B9493" t="s">
        <v>3867</v>
      </c>
      <c r="C9493" t="s">
        <v>198</v>
      </c>
      <c r="D9493" t="str">
        <f>HYPERLINK("http://service.sap.com/sap/support/notes/1847033","1847033")</f>
        <v>1847033</v>
      </c>
      <c r="E9493">
        <v>2</v>
      </c>
      <c r="F9493" t="s">
        <v>10769</v>
      </c>
    </row>
    <row r="9494" spans="1:6" x14ac:dyDescent="0.25">
      <c r="A9494" t="s">
        <v>10927</v>
      </c>
      <c r="B9494" t="s">
        <v>3867</v>
      </c>
      <c r="C9494" t="s">
        <v>198</v>
      </c>
      <c r="D9494" t="str">
        <f>HYPERLINK("http://service.sap.com/sap/support/notes/1850039","1850039")</f>
        <v>1850039</v>
      </c>
      <c r="E9494">
        <v>1</v>
      </c>
      <c r="F9494" t="s">
        <v>10770</v>
      </c>
    </row>
    <row r="9495" spans="1:6" x14ac:dyDescent="0.25">
      <c r="A9495" t="s">
        <v>10927</v>
      </c>
      <c r="B9495" t="s">
        <v>3867</v>
      </c>
      <c r="C9495" t="s">
        <v>198</v>
      </c>
      <c r="D9495" t="str">
        <f>HYPERLINK("http://service.sap.com/sap/support/notes/1851337","1851337")</f>
        <v>1851337</v>
      </c>
      <c r="E9495">
        <v>3</v>
      </c>
      <c r="F9495" t="s">
        <v>10771</v>
      </c>
    </row>
    <row r="9496" spans="1:6" x14ac:dyDescent="0.25">
      <c r="A9496" t="s">
        <v>10927</v>
      </c>
      <c r="B9496" t="s">
        <v>3867</v>
      </c>
      <c r="C9496" t="s">
        <v>198</v>
      </c>
      <c r="D9496" t="str">
        <f>HYPERLINK("http://service.sap.com/sap/support/notes/1851359","1851359")</f>
        <v>1851359</v>
      </c>
      <c r="E9496">
        <v>1</v>
      </c>
      <c r="F9496" t="s">
        <v>10772</v>
      </c>
    </row>
    <row r="9497" spans="1:6" x14ac:dyDescent="0.25">
      <c r="A9497" t="s">
        <v>10927</v>
      </c>
      <c r="B9497" t="s">
        <v>3867</v>
      </c>
      <c r="C9497" t="s">
        <v>198</v>
      </c>
      <c r="D9497" t="str">
        <f>HYPERLINK("http://service.sap.com/sap/support/notes/1851507","1851507")</f>
        <v>1851507</v>
      </c>
      <c r="E9497">
        <v>3</v>
      </c>
      <c r="F9497" t="s">
        <v>10773</v>
      </c>
    </row>
    <row r="9498" spans="1:6" x14ac:dyDescent="0.25">
      <c r="A9498" t="s">
        <v>10927</v>
      </c>
      <c r="B9498" t="s">
        <v>3867</v>
      </c>
      <c r="C9498" t="s">
        <v>198</v>
      </c>
      <c r="D9498" t="str">
        <f>HYPERLINK("http://service.sap.com/sap/support/notes/1852662","1852662")</f>
        <v>1852662</v>
      </c>
      <c r="E9498">
        <v>1</v>
      </c>
      <c r="F9498" t="s">
        <v>10774</v>
      </c>
    </row>
    <row r="9499" spans="1:6" x14ac:dyDescent="0.25">
      <c r="A9499" t="s">
        <v>10927</v>
      </c>
      <c r="B9499" t="s">
        <v>3867</v>
      </c>
      <c r="C9499" t="s">
        <v>198</v>
      </c>
      <c r="D9499" t="str">
        <f>HYPERLINK("http://service.sap.com/sap/support/notes/1854792","1854792")</f>
        <v>1854792</v>
      </c>
      <c r="E9499">
        <v>1</v>
      </c>
      <c r="F9499" t="s">
        <v>10775</v>
      </c>
    </row>
    <row r="9500" spans="1:6" x14ac:dyDescent="0.25">
      <c r="A9500" t="s">
        <v>10927</v>
      </c>
      <c r="B9500" t="s">
        <v>3867</v>
      </c>
      <c r="C9500" t="s">
        <v>198</v>
      </c>
      <c r="D9500" t="str">
        <f>HYPERLINK("http://service.sap.com/sap/support/notes/1858452","1858452")</f>
        <v>1858452</v>
      </c>
      <c r="E9500">
        <v>2</v>
      </c>
      <c r="F9500" t="s">
        <v>10776</v>
      </c>
    </row>
    <row r="9501" spans="1:6" x14ac:dyDescent="0.25">
      <c r="A9501" t="s">
        <v>10927</v>
      </c>
      <c r="B9501" t="s">
        <v>3867</v>
      </c>
      <c r="C9501" t="s">
        <v>198</v>
      </c>
      <c r="D9501" t="str">
        <f>HYPERLINK("http://service.sap.com/sap/support/notes/1859301","1859301")</f>
        <v>1859301</v>
      </c>
      <c r="E9501">
        <v>1</v>
      </c>
      <c r="F9501" t="s">
        <v>10776</v>
      </c>
    </row>
    <row r="9502" spans="1:6" x14ac:dyDescent="0.25">
      <c r="A9502" t="s">
        <v>10927</v>
      </c>
      <c r="B9502" t="s">
        <v>3867</v>
      </c>
      <c r="C9502" t="s">
        <v>198</v>
      </c>
      <c r="D9502" t="str">
        <f>HYPERLINK("http://service.sap.com/sap/support/notes/1861288","1861288")</f>
        <v>1861288</v>
      </c>
      <c r="E9502">
        <v>1</v>
      </c>
      <c r="F9502" t="s">
        <v>10777</v>
      </c>
    </row>
    <row r="9503" spans="1:6" x14ac:dyDescent="0.25">
      <c r="A9503" t="s">
        <v>10927</v>
      </c>
      <c r="B9503" t="s">
        <v>10778</v>
      </c>
      <c r="C9503" t="s">
        <v>10779</v>
      </c>
      <c r="D9503" t="str">
        <f>HYPERLINK("http://service.sap.com/sap/support/notes/1831894","1831894")</f>
        <v>1831894</v>
      </c>
      <c r="E9503">
        <v>3</v>
      </c>
      <c r="F9503" t="s">
        <v>10780</v>
      </c>
    </row>
    <row r="9504" spans="1:6" x14ac:dyDescent="0.25">
      <c r="A9504" t="s">
        <v>10927</v>
      </c>
      <c r="B9504" t="s">
        <v>10778</v>
      </c>
      <c r="C9504" t="s">
        <v>10779</v>
      </c>
      <c r="D9504" t="str">
        <f>HYPERLINK("http://service.sap.com/sap/support/notes/1832005","1832005")</f>
        <v>1832005</v>
      </c>
      <c r="E9504">
        <v>4</v>
      </c>
      <c r="F9504" t="s">
        <v>10781</v>
      </c>
    </row>
    <row r="9505" spans="1:6" x14ac:dyDescent="0.25">
      <c r="A9505" t="s">
        <v>10927</v>
      </c>
      <c r="B9505" t="s">
        <v>3882</v>
      </c>
      <c r="C9505" t="s">
        <v>3883</v>
      </c>
      <c r="D9505" t="str">
        <f>HYPERLINK("http://service.sap.com/sap/support/notes/1832405","1832405")</f>
        <v>1832405</v>
      </c>
      <c r="E9505">
        <v>1</v>
      </c>
      <c r="F9505" t="s">
        <v>10782</v>
      </c>
    </row>
    <row r="9506" spans="1:6" x14ac:dyDescent="0.25">
      <c r="A9506" t="s">
        <v>10927</v>
      </c>
      <c r="B9506" t="s">
        <v>3882</v>
      </c>
      <c r="C9506" t="s">
        <v>3883</v>
      </c>
      <c r="D9506" t="str">
        <f>HYPERLINK("http://service.sap.com/sap/support/notes/1849478","1849478")</f>
        <v>1849478</v>
      </c>
      <c r="E9506">
        <v>1</v>
      </c>
      <c r="F9506" t="s">
        <v>10783</v>
      </c>
    </row>
    <row r="9507" spans="1:6" x14ac:dyDescent="0.25">
      <c r="A9507" t="s">
        <v>10927</v>
      </c>
      <c r="B9507" t="s">
        <v>3882</v>
      </c>
      <c r="C9507" t="s">
        <v>3883</v>
      </c>
      <c r="D9507" t="str">
        <f>HYPERLINK("http://service.sap.com/sap/support/notes/1849524","1849524")</f>
        <v>1849524</v>
      </c>
      <c r="E9507">
        <v>2</v>
      </c>
      <c r="F9507" t="s">
        <v>10784</v>
      </c>
    </row>
    <row r="9508" spans="1:6" x14ac:dyDescent="0.25">
      <c r="A9508" t="s">
        <v>10927</v>
      </c>
      <c r="B9508" t="s">
        <v>3882</v>
      </c>
      <c r="C9508" t="s">
        <v>3883</v>
      </c>
      <c r="D9508" t="str">
        <f>HYPERLINK("http://service.sap.com/sap/support/notes/1849669","1849669")</f>
        <v>1849669</v>
      </c>
      <c r="E9508">
        <v>2</v>
      </c>
      <c r="F9508" t="s">
        <v>10785</v>
      </c>
    </row>
    <row r="9509" spans="1:6" x14ac:dyDescent="0.25">
      <c r="A9509" t="s">
        <v>10927</v>
      </c>
      <c r="B9509" t="s">
        <v>3882</v>
      </c>
      <c r="C9509" t="s">
        <v>3883</v>
      </c>
      <c r="D9509" t="str">
        <f>HYPERLINK("http://service.sap.com/sap/support/notes/1850179","1850179")</f>
        <v>1850179</v>
      </c>
      <c r="E9509">
        <v>2</v>
      </c>
      <c r="F9509" t="s">
        <v>10786</v>
      </c>
    </row>
    <row r="9510" spans="1:6" x14ac:dyDescent="0.25">
      <c r="A9510" t="s">
        <v>10927</v>
      </c>
      <c r="B9510" t="s">
        <v>3882</v>
      </c>
      <c r="C9510" t="s">
        <v>3883</v>
      </c>
      <c r="D9510" t="str">
        <f>HYPERLINK("http://service.sap.com/sap/support/notes/1853389","1853389")</f>
        <v>1853389</v>
      </c>
      <c r="E9510">
        <v>2</v>
      </c>
      <c r="F9510" t="s">
        <v>10787</v>
      </c>
    </row>
    <row r="9511" spans="1:6" x14ac:dyDescent="0.25">
      <c r="A9511" t="s">
        <v>10927</v>
      </c>
      <c r="B9511" t="s">
        <v>3882</v>
      </c>
      <c r="C9511" t="s">
        <v>3883</v>
      </c>
      <c r="D9511" t="str">
        <f>HYPERLINK("http://service.sap.com/sap/support/notes/1854374","1854374")</f>
        <v>1854374</v>
      </c>
      <c r="E9511">
        <v>1</v>
      </c>
      <c r="F9511" t="s">
        <v>10788</v>
      </c>
    </row>
    <row r="9512" spans="1:6" x14ac:dyDescent="0.25">
      <c r="A9512" t="s">
        <v>10927</v>
      </c>
      <c r="B9512" t="s">
        <v>3882</v>
      </c>
      <c r="C9512" t="s">
        <v>3883</v>
      </c>
      <c r="D9512" t="str">
        <f>HYPERLINK("http://service.sap.com/sap/support/notes/1854823","1854823")</f>
        <v>1854823</v>
      </c>
      <c r="E9512">
        <v>4</v>
      </c>
      <c r="F9512" t="s">
        <v>10789</v>
      </c>
    </row>
    <row r="9513" spans="1:6" x14ac:dyDescent="0.25">
      <c r="A9513" t="s">
        <v>10927</v>
      </c>
      <c r="B9513" t="s">
        <v>3882</v>
      </c>
      <c r="C9513" t="s">
        <v>3883</v>
      </c>
      <c r="D9513" t="str">
        <f>HYPERLINK("http://service.sap.com/sap/support/notes/1855401","1855401")</f>
        <v>1855401</v>
      </c>
      <c r="E9513">
        <v>1</v>
      </c>
      <c r="F9513" t="s">
        <v>10790</v>
      </c>
    </row>
    <row r="9514" spans="1:6" x14ac:dyDescent="0.25">
      <c r="A9514" t="s">
        <v>10927</v>
      </c>
      <c r="B9514" t="s">
        <v>3882</v>
      </c>
      <c r="C9514" t="s">
        <v>3883</v>
      </c>
      <c r="D9514" t="str">
        <f>HYPERLINK("http://service.sap.com/sap/support/notes/1856123","1856123")</f>
        <v>1856123</v>
      </c>
      <c r="E9514">
        <v>1</v>
      </c>
      <c r="F9514" t="s">
        <v>10791</v>
      </c>
    </row>
    <row r="9515" spans="1:6" x14ac:dyDescent="0.25">
      <c r="A9515" t="s">
        <v>10927</v>
      </c>
      <c r="B9515" t="s">
        <v>3882</v>
      </c>
      <c r="C9515" t="s">
        <v>3883</v>
      </c>
      <c r="D9515" t="str">
        <f>HYPERLINK("http://service.sap.com/sap/support/notes/1856791","1856791")</f>
        <v>1856791</v>
      </c>
      <c r="E9515">
        <v>1</v>
      </c>
      <c r="F9515" t="s">
        <v>10792</v>
      </c>
    </row>
    <row r="9516" spans="1:6" x14ac:dyDescent="0.25">
      <c r="A9516" t="s">
        <v>10927</v>
      </c>
      <c r="B9516" t="s">
        <v>3882</v>
      </c>
      <c r="C9516" t="s">
        <v>3883</v>
      </c>
      <c r="D9516" t="str">
        <f>HYPERLINK("http://service.sap.com/sap/support/notes/1857327","1857327")</f>
        <v>1857327</v>
      </c>
      <c r="E9516">
        <v>1</v>
      </c>
      <c r="F9516" t="s">
        <v>10793</v>
      </c>
    </row>
    <row r="9517" spans="1:6" x14ac:dyDescent="0.25">
      <c r="A9517" t="s">
        <v>10927</v>
      </c>
      <c r="B9517" t="s">
        <v>3882</v>
      </c>
      <c r="C9517" t="s">
        <v>3883</v>
      </c>
      <c r="D9517" t="str">
        <f>HYPERLINK("http://service.sap.com/sap/support/notes/1859069","1859069")</f>
        <v>1859069</v>
      </c>
      <c r="E9517">
        <v>1</v>
      </c>
      <c r="F9517" t="s">
        <v>10794</v>
      </c>
    </row>
    <row r="9518" spans="1:6" x14ac:dyDescent="0.25">
      <c r="A9518" t="s">
        <v>10927</v>
      </c>
      <c r="B9518" t="s">
        <v>3882</v>
      </c>
      <c r="C9518" t="s">
        <v>3883</v>
      </c>
      <c r="D9518" t="str">
        <f>HYPERLINK("http://service.sap.com/sap/support/notes/1859278","1859278")</f>
        <v>1859278</v>
      </c>
      <c r="E9518">
        <v>1</v>
      </c>
      <c r="F9518" t="s">
        <v>10795</v>
      </c>
    </row>
    <row r="9519" spans="1:6" x14ac:dyDescent="0.25">
      <c r="A9519" t="s">
        <v>10927</v>
      </c>
      <c r="B9519" t="s">
        <v>3882</v>
      </c>
      <c r="C9519" t="s">
        <v>3883</v>
      </c>
      <c r="D9519" t="str">
        <f>HYPERLINK("http://service.sap.com/sap/support/notes/1860559","1860559")</f>
        <v>1860559</v>
      </c>
      <c r="E9519">
        <v>1</v>
      </c>
      <c r="F9519" t="s">
        <v>10796</v>
      </c>
    </row>
    <row r="9520" spans="1:6" x14ac:dyDescent="0.25">
      <c r="A9520" t="s">
        <v>10927</v>
      </c>
      <c r="B9520" t="s">
        <v>3882</v>
      </c>
      <c r="C9520" t="s">
        <v>3883</v>
      </c>
      <c r="D9520" t="str">
        <f>HYPERLINK("http://service.sap.com/sap/support/notes/1860585","1860585")</f>
        <v>1860585</v>
      </c>
      <c r="E9520">
        <v>1</v>
      </c>
      <c r="F9520" t="s">
        <v>10797</v>
      </c>
    </row>
    <row r="9521" spans="1:6" x14ac:dyDescent="0.25">
      <c r="A9521" t="s">
        <v>10927</v>
      </c>
      <c r="B9521" t="s">
        <v>3882</v>
      </c>
      <c r="C9521" t="s">
        <v>3883</v>
      </c>
      <c r="D9521" t="str">
        <f>HYPERLINK("http://service.sap.com/sap/support/notes/1861407","1861407")</f>
        <v>1861407</v>
      </c>
      <c r="E9521">
        <v>1</v>
      </c>
      <c r="F9521" t="s">
        <v>10798</v>
      </c>
    </row>
    <row r="9522" spans="1:6" x14ac:dyDescent="0.25">
      <c r="A9522" t="s">
        <v>10927</v>
      </c>
      <c r="B9522" t="s">
        <v>3882</v>
      </c>
      <c r="C9522" t="s">
        <v>3883</v>
      </c>
      <c r="D9522" t="str">
        <f>HYPERLINK("http://service.sap.com/sap/support/notes/1862214","1862214")</f>
        <v>1862214</v>
      </c>
      <c r="E9522">
        <v>1</v>
      </c>
      <c r="F9522" t="s">
        <v>10799</v>
      </c>
    </row>
    <row r="9523" spans="1:6" x14ac:dyDescent="0.25">
      <c r="A9523" t="s">
        <v>10927</v>
      </c>
      <c r="B9523" t="s">
        <v>3882</v>
      </c>
      <c r="C9523" t="s">
        <v>3883</v>
      </c>
      <c r="D9523" t="str">
        <f>HYPERLINK("http://service.sap.com/sap/support/notes/1862379","1862379")</f>
        <v>1862379</v>
      </c>
      <c r="E9523">
        <v>2</v>
      </c>
      <c r="F9523" t="s">
        <v>10800</v>
      </c>
    </row>
    <row r="9524" spans="1:6" x14ac:dyDescent="0.25">
      <c r="A9524" t="s">
        <v>10927</v>
      </c>
      <c r="B9524" t="s">
        <v>3882</v>
      </c>
      <c r="C9524" t="s">
        <v>3883</v>
      </c>
      <c r="D9524" t="str">
        <f>HYPERLINK("http://service.sap.com/sap/support/notes/1864370","1864370")</f>
        <v>1864370</v>
      </c>
      <c r="E9524">
        <v>2</v>
      </c>
      <c r="F9524" t="s">
        <v>10801</v>
      </c>
    </row>
    <row r="9525" spans="1:6" x14ac:dyDescent="0.25">
      <c r="A9525" t="s">
        <v>10927</v>
      </c>
      <c r="B9525" t="s">
        <v>3882</v>
      </c>
      <c r="C9525" t="s">
        <v>3883</v>
      </c>
      <c r="D9525" t="str">
        <f>HYPERLINK("http://service.sap.com/sap/support/notes/1864457","1864457")</f>
        <v>1864457</v>
      </c>
      <c r="E9525">
        <v>3</v>
      </c>
      <c r="F9525" t="s">
        <v>10802</v>
      </c>
    </row>
    <row r="9526" spans="1:6" x14ac:dyDescent="0.25">
      <c r="A9526" t="s">
        <v>10927</v>
      </c>
      <c r="B9526" t="s">
        <v>3882</v>
      </c>
      <c r="C9526" t="s">
        <v>3883</v>
      </c>
      <c r="D9526" t="str">
        <f>HYPERLINK("http://service.sap.com/sap/support/notes/1865645","1865645")</f>
        <v>1865645</v>
      </c>
      <c r="E9526">
        <v>1</v>
      </c>
      <c r="F9526" t="s">
        <v>10803</v>
      </c>
    </row>
    <row r="9527" spans="1:6" x14ac:dyDescent="0.25">
      <c r="A9527" t="s">
        <v>10927</v>
      </c>
      <c r="B9527" t="s">
        <v>3882</v>
      </c>
      <c r="C9527" t="s">
        <v>3883</v>
      </c>
      <c r="D9527" t="str">
        <f>HYPERLINK("http://service.sap.com/sap/support/notes/1866938","1866938")</f>
        <v>1866938</v>
      </c>
      <c r="E9527">
        <v>1</v>
      </c>
      <c r="F9527" t="s">
        <v>10804</v>
      </c>
    </row>
    <row r="9528" spans="1:6" x14ac:dyDescent="0.25">
      <c r="A9528" t="s">
        <v>10927</v>
      </c>
      <c r="B9528" t="s">
        <v>3895</v>
      </c>
      <c r="C9528" t="s">
        <v>3896</v>
      </c>
      <c r="D9528" t="str">
        <f>HYPERLINK("http://service.sap.com/sap/support/notes/1803310","1803310")</f>
        <v>1803310</v>
      </c>
      <c r="E9528">
        <v>3</v>
      </c>
      <c r="F9528" t="s">
        <v>10805</v>
      </c>
    </row>
    <row r="9529" spans="1:6" x14ac:dyDescent="0.25">
      <c r="A9529" t="s">
        <v>10927</v>
      </c>
      <c r="B9529" t="s">
        <v>3904</v>
      </c>
      <c r="C9529" t="s">
        <v>3905</v>
      </c>
      <c r="D9529" t="str">
        <f>HYPERLINK("http://service.sap.com/sap/support/notes/1826695","1826695")</f>
        <v>1826695</v>
      </c>
      <c r="E9529">
        <v>22</v>
      </c>
      <c r="F9529" t="s">
        <v>10806</v>
      </c>
    </row>
    <row r="9530" spans="1:6" x14ac:dyDescent="0.25">
      <c r="A9530" t="s">
        <v>10927</v>
      </c>
      <c r="B9530" t="s">
        <v>3904</v>
      </c>
      <c r="C9530" t="s">
        <v>3905</v>
      </c>
      <c r="D9530" t="str">
        <f>HYPERLINK("http://service.sap.com/sap/support/notes/1834039","1834039")</f>
        <v>1834039</v>
      </c>
      <c r="E9530">
        <v>15</v>
      </c>
      <c r="F9530" t="s">
        <v>10807</v>
      </c>
    </row>
    <row r="9531" spans="1:6" x14ac:dyDescent="0.25">
      <c r="A9531" t="s">
        <v>10927</v>
      </c>
      <c r="B9531" t="s">
        <v>3904</v>
      </c>
      <c r="C9531" t="s">
        <v>3905</v>
      </c>
      <c r="D9531" t="str">
        <f>HYPERLINK("http://service.sap.com/sap/support/notes/1843903","1843903")</f>
        <v>1843903</v>
      </c>
      <c r="E9531">
        <v>5</v>
      </c>
      <c r="F9531" t="s">
        <v>10808</v>
      </c>
    </row>
    <row r="9532" spans="1:6" x14ac:dyDescent="0.25">
      <c r="A9532" t="s">
        <v>10927</v>
      </c>
      <c r="B9532" t="s">
        <v>3906</v>
      </c>
      <c r="C9532" t="s">
        <v>198</v>
      </c>
      <c r="D9532" t="str">
        <f>HYPERLINK("http://service.sap.com/sap/support/notes/1814859","1814859")</f>
        <v>1814859</v>
      </c>
      <c r="E9532">
        <v>2</v>
      </c>
      <c r="F9532" t="s">
        <v>10809</v>
      </c>
    </row>
    <row r="9533" spans="1:6" x14ac:dyDescent="0.25">
      <c r="A9533" t="s">
        <v>10927</v>
      </c>
      <c r="B9533" t="s">
        <v>10810</v>
      </c>
      <c r="C9533" t="s">
        <v>3745</v>
      </c>
      <c r="D9533" t="str">
        <f>HYPERLINK("http://service.sap.com/sap/support/notes/1828457","1828457")</f>
        <v>1828457</v>
      </c>
      <c r="E9533">
        <v>11</v>
      </c>
      <c r="F9533" t="s">
        <v>10811</v>
      </c>
    </row>
    <row r="9534" spans="1:6" x14ac:dyDescent="0.25">
      <c r="A9534" t="s">
        <v>10927</v>
      </c>
      <c r="B9534" t="s">
        <v>6273</v>
      </c>
      <c r="C9534" t="s">
        <v>2999</v>
      </c>
      <c r="D9534" t="str">
        <f>HYPERLINK("http://service.sap.com/sap/support/notes/1831958","1831958")</f>
        <v>1831958</v>
      </c>
      <c r="E9534">
        <v>1</v>
      </c>
      <c r="F9534" t="s">
        <v>10812</v>
      </c>
    </row>
    <row r="9535" spans="1:6" x14ac:dyDescent="0.25">
      <c r="A9535" t="s">
        <v>10927</v>
      </c>
      <c r="B9535" t="s">
        <v>3908</v>
      </c>
      <c r="C9535" t="s">
        <v>3909</v>
      </c>
      <c r="D9535" t="str">
        <f>HYPERLINK("http://service.sap.com/sap/support/notes/1834387","1834387")</f>
        <v>1834387</v>
      </c>
      <c r="E9535">
        <v>3</v>
      </c>
      <c r="F9535" t="s">
        <v>10813</v>
      </c>
    </row>
    <row r="9536" spans="1:6" x14ac:dyDescent="0.25">
      <c r="A9536" t="s">
        <v>10927</v>
      </c>
      <c r="B9536" t="s">
        <v>3914</v>
      </c>
      <c r="C9536" t="s">
        <v>3915</v>
      </c>
      <c r="D9536" t="str">
        <f>HYPERLINK("http://service.sap.com/sap/support/notes/1797282","1797282")</f>
        <v>1797282</v>
      </c>
      <c r="E9536">
        <v>9</v>
      </c>
      <c r="F9536" t="s">
        <v>10814</v>
      </c>
    </row>
    <row r="9537" spans="1:6" x14ac:dyDescent="0.25">
      <c r="A9537" t="s">
        <v>10927</v>
      </c>
      <c r="B9537" t="s">
        <v>3914</v>
      </c>
      <c r="C9537" t="s">
        <v>3915</v>
      </c>
      <c r="D9537" t="str">
        <f>HYPERLINK("http://service.sap.com/sap/support/notes/1798711","1798711")</f>
        <v>1798711</v>
      </c>
      <c r="E9537">
        <v>4</v>
      </c>
      <c r="F9537" t="s">
        <v>10815</v>
      </c>
    </row>
    <row r="9538" spans="1:6" x14ac:dyDescent="0.25">
      <c r="A9538" t="s">
        <v>10927</v>
      </c>
      <c r="B9538" t="s">
        <v>3914</v>
      </c>
      <c r="C9538" t="s">
        <v>3915</v>
      </c>
      <c r="D9538" t="str">
        <f>HYPERLINK("http://service.sap.com/sap/support/notes/1814312","1814312")</f>
        <v>1814312</v>
      </c>
      <c r="E9538">
        <v>2</v>
      </c>
      <c r="F9538" t="s">
        <v>10816</v>
      </c>
    </row>
    <row r="9539" spans="1:6" x14ac:dyDescent="0.25">
      <c r="A9539" t="s">
        <v>10927</v>
      </c>
      <c r="B9539" t="s">
        <v>3914</v>
      </c>
      <c r="C9539" t="s">
        <v>3915</v>
      </c>
      <c r="D9539" t="str">
        <f>HYPERLINK("http://service.sap.com/sap/support/notes/1830601","1830601")</f>
        <v>1830601</v>
      </c>
      <c r="E9539">
        <v>2</v>
      </c>
      <c r="F9539" t="s">
        <v>10817</v>
      </c>
    </row>
    <row r="9540" spans="1:6" x14ac:dyDescent="0.25">
      <c r="A9540" t="s">
        <v>10927</v>
      </c>
      <c r="B9540" t="s">
        <v>3914</v>
      </c>
      <c r="C9540" t="s">
        <v>3915</v>
      </c>
      <c r="D9540" t="str">
        <f>HYPERLINK("http://service.sap.com/sap/support/notes/1840033","1840033")</f>
        <v>1840033</v>
      </c>
      <c r="E9540">
        <v>1</v>
      </c>
      <c r="F9540" t="s">
        <v>8756</v>
      </c>
    </row>
    <row r="9541" spans="1:6" x14ac:dyDescent="0.25">
      <c r="A9541" t="s">
        <v>10927</v>
      </c>
      <c r="B9541" t="s">
        <v>3914</v>
      </c>
      <c r="C9541" t="s">
        <v>3915</v>
      </c>
      <c r="D9541" t="str">
        <f>HYPERLINK("http://service.sap.com/sap/support/notes/1840768","1840768")</f>
        <v>1840768</v>
      </c>
      <c r="E9541">
        <v>2</v>
      </c>
      <c r="F9541" t="s">
        <v>10818</v>
      </c>
    </row>
    <row r="9542" spans="1:6" x14ac:dyDescent="0.25">
      <c r="A9542" t="s">
        <v>10927</v>
      </c>
      <c r="B9542" t="s">
        <v>3914</v>
      </c>
      <c r="C9542" t="s">
        <v>3915</v>
      </c>
      <c r="D9542" t="str">
        <f>HYPERLINK("http://service.sap.com/sap/support/notes/1857697","1857697")</f>
        <v>1857697</v>
      </c>
      <c r="E9542">
        <v>1</v>
      </c>
      <c r="F9542" t="s">
        <v>10819</v>
      </c>
    </row>
    <row r="9543" spans="1:6" x14ac:dyDescent="0.25">
      <c r="A9543" t="s">
        <v>10927</v>
      </c>
      <c r="B9543" t="s">
        <v>3938</v>
      </c>
      <c r="C9543" t="s">
        <v>3939</v>
      </c>
      <c r="D9543" t="str">
        <f>HYPERLINK("http://service.sap.com/sap/support/notes/1774892","1774892")</f>
        <v>1774892</v>
      </c>
      <c r="E9543">
        <v>6</v>
      </c>
      <c r="F9543" t="s">
        <v>10820</v>
      </c>
    </row>
    <row r="9544" spans="1:6" x14ac:dyDescent="0.25">
      <c r="A9544" t="s">
        <v>10927</v>
      </c>
      <c r="B9544" t="s">
        <v>3938</v>
      </c>
      <c r="C9544" t="s">
        <v>3939</v>
      </c>
      <c r="D9544" t="str">
        <f>HYPERLINK("http://service.sap.com/sap/support/notes/1779356","1779356")</f>
        <v>1779356</v>
      </c>
      <c r="E9544">
        <v>2</v>
      </c>
      <c r="F9544" t="s">
        <v>10821</v>
      </c>
    </row>
    <row r="9545" spans="1:6" x14ac:dyDescent="0.25">
      <c r="A9545" t="s">
        <v>10927</v>
      </c>
      <c r="B9545" t="s">
        <v>3938</v>
      </c>
      <c r="C9545" t="s">
        <v>3939</v>
      </c>
      <c r="D9545" t="str">
        <f>HYPERLINK("http://service.sap.com/sap/support/notes/1804676","1804676")</f>
        <v>1804676</v>
      </c>
      <c r="E9545">
        <v>4</v>
      </c>
      <c r="F9545" t="s">
        <v>10822</v>
      </c>
    </row>
    <row r="9546" spans="1:6" x14ac:dyDescent="0.25">
      <c r="A9546" t="s">
        <v>10927</v>
      </c>
      <c r="B9546" t="s">
        <v>3938</v>
      </c>
      <c r="C9546" t="s">
        <v>3939</v>
      </c>
      <c r="D9546" t="str">
        <f>HYPERLINK("http://service.sap.com/sap/support/notes/1820567","1820567")</f>
        <v>1820567</v>
      </c>
      <c r="E9546">
        <v>7</v>
      </c>
      <c r="F9546" t="s">
        <v>10823</v>
      </c>
    </row>
    <row r="9547" spans="1:6" x14ac:dyDescent="0.25">
      <c r="A9547" t="s">
        <v>10927</v>
      </c>
      <c r="B9547" t="s">
        <v>3938</v>
      </c>
      <c r="C9547" t="s">
        <v>3939</v>
      </c>
      <c r="D9547" t="str">
        <f>HYPERLINK("http://service.sap.com/sap/support/notes/1830591","1830591")</f>
        <v>1830591</v>
      </c>
      <c r="E9547">
        <v>2</v>
      </c>
      <c r="F9547" t="s">
        <v>10824</v>
      </c>
    </row>
    <row r="9548" spans="1:6" x14ac:dyDescent="0.25">
      <c r="A9548" t="s">
        <v>10927</v>
      </c>
      <c r="B9548" t="s">
        <v>3938</v>
      </c>
      <c r="C9548" t="s">
        <v>3939</v>
      </c>
      <c r="D9548" t="str">
        <f>HYPERLINK("http://service.sap.com/sap/support/notes/1832439","1832439")</f>
        <v>1832439</v>
      </c>
      <c r="E9548">
        <v>3</v>
      </c>
      <c r="F9548" t="s">
        <v>10825</v>
      </c>
    </row>
    <row r="9549" spans="1:6" x14ac:dyDescent="0.25">
      <c r="A9549" t="s">
        <v>10927</v>
      </c>
      <c r="B9549" t="s">
        <v>3938</v>
      </c>
      <c r="C9549" t="s">
        <v>3939</v>
      </c>
      <c r="D9549" t="str">
        <f>HYPERLINK("http://service.sap.com/sap/support/notes/1846356","1846356")</f>
        <v>1846356</v>
      </c>
      <c r="E9549">
        <v>2</v>
      </c>
      <c r="F9549" t="s">
        <v>10826</v>
      </c>
    </row>
    <row r="9550" spans="1:6" x14ac:dyDescent="0.25">
      <c r="A9550" t="s">
        <v>10927</v>
      </c>
      <c r="B9550" t="s">
        <v>3938</v>
      </c>
      <c r="C9550" t="s">
        <v>3939</v>
      </c>
      <c r="D9550" t="str">
        <f>HYPERLINK("http://service.sap.com/sap/support/notes/1857884","1857884")</f>
        <v>1857884</v>
      </c>
      <c r="E9550">
        <v>2</v>
      </c>
      <c r="F9550" t="s">
        <v>10827</v>
      </c>
    </row>
    <row r="9551" spans="1:6" x14ac:dyDescent="0.25">
      <c r="A9551" t="s">
        <v>10927</v>
      </c>
      <c r="B9551" t="s">
        <v>3958</v>
      </c>
      <c r="C9551" t="s">
        <v>3959</v>
      </c>
      <c r="D9551" t="str">
        <f>HYPERLINK("http://service.sap.com/sap/support/notes/1816058","1816058")</f>
        <v>1816058</v>
      </c>
      <c r="E9551">
        <v>5</v>
      </c>
      <c r="F9551" t="s">
        <v>10828</v>
      </c>
    </row>
    <row r="9552" spans="1:6" x14ac:dyDescent="0.25">
      <c r="A9552" t="s">
        <v>10927</v>
      </c>
      <c r="B9552" t="s">
        <v>6310</v>
      </c>
      <c r="C9552" t="s">
        <v>6311</v>
      </c>
      <c r="D9552" t="str">
        <f>HYPERLINK("http://service.sap.com/sap/support/notes/1820721","1820721")</f>
        <v>1820721</v>
      </c>
      <c r="E9552">
        <v>1</v>
      </c>
      <c r="F9552" t="s">
        <v>10829</v>
      </c>
    </row>
    <row r="9553" spans="1:6" x14ac:dyDescent="0.25">
      <c r="A9553" t="s">
        <v>10927</v>
      </c>
      <c r="B9553" t="s">
        <v>6310</v>
      </c>
      <c r="C9553" t="s">
        <v>6311</v>
      </c>
      <c r="D9553" t="str">
        <f>HYPERLINK("http://service.sap.com/sap/support/notes/1836465","1836465")</f>
        <v>1836465</v>
      </c>
      <c r="E9553">
        <v>1</v>
      </c>
      <c r="F9553" t="s">
        <v>10830</v>
      </c>
    </row>
    <row r="9554" spans="1:6" x14ac:dyDescent="0.25">
      <c r="A9554" t="s">
        <v>10927</v>
      </c>
      <c r="B9554" t="s">
        <v>3971</v>
      </c>
      <c r="C9554" t="s">
        <v>3972</v>
      </c>
      <c r="D9554" t="str">
        <f>HYPERLINK("http://service.sap.com/sap/support/notes/1750639","1750639")</f>
        <v>1750639</v>
      </c>
      <c r="E9554">
        <v>4</v>
      </c>
      <c r="F9554" t="s">
        <v>10831</v>
      </c>
    </row>
    <row r="9555" spans="1:6" x14ac:dyDescent="0.25">
      <c r="A9555" t="s">
        <v>10927</v>
      </c>
      <c r="B9555" t="s">
        <v>3971</v>
      </c>
      <c r="C9555" t="s">
        <v>3972</v>
      </c>
      <c r="D9555" t="str">
        <f>HYPERLINK("http://service.sap.com/sap/support/notes/1835999","1835999")</f>
        <v>1835999</v>
      </c>
      <c r="E9555">
        <v>3</v>
      </c>
      <c r="F9555" t="s">
        <v>10832</v>
      </c>
    </row>
    <row r="9556" spans="1:6" x14ac:dyDescent="0.25">
      <c r="A9556" t="s">
        <v>10927</v>
      </c>
      <c r="B9556" t="s">
        <v>3971</v>
      </c>
      <c r="C9556" t="s">
        <v>3972</v>
      </c>
      <c r="D9556" t="str">
        <f>HYPERLINK("http://service.sap.com/sap/support/notes/1852977","1852977")</f>
        <v>1852977</v>
      </c>
      <c r="E9556">
        <v>1</v>
      </c>
      <c r="F9556" t="s">
        <v>10833</v>
      </c>
    </row>
    <row r="9557" spans="1:6" x14ac:dyDescent="0.25">
      <c r="A9557" t="s">
        <v>10927</v>
      </c>
      <c r="B9557" t="s">
        <v>3976</v>
      </c>
      <c r="C9557" t="s">
        <v>3977</v>
      </c>
      <c r="D9557" t="str">
        <f>HYPERLINK("http://service.sap.com/sap/support/notes/1851302","1851302")</f>
        <v>1851302</v>
      </c>
      <c r="E9557">
        <v>1</v>
      </c>
      <c r="F9557" t="s">
        <v>10834</v>
      </c>
    </row>
    <row r="9558" spans="1:6" x14ac:dyDescent="0.25">
      <c r="A9558" t="s">
        <v>10927</v>
      </c>
      <c r="B9558" t="s">
        <v>3985</v>
      </c>
      <c r="C9558" t="s">
        <v>3986</v>
      </c>
      <c r="D9558" t="str">
        <f>HYPERLINK("http://service.sap.com/sap/support/notes/1833840","1833840")</f>
        <v>1833840</v>
      </c>
      <c r="E9558">
        <v>4</v>
      </c>
      <c r="F9558" t="s">
        <v>10835</v>
      </c>
    </row>
    <row r="9559" spans="1:6" x14ac:dyDescent="0.25">
      <c r="A9559" t="s">
        <v>10927</v>
      </c>
      <c r="B9559" t="s">
        <v>10836</v>
      </c>
      <c r="C9559" t="s">
        <v>10837</v>
      </c>
      <c r="D9559" t="str">
        <f>HYPERLINK("http://service.sap.com/sap/support/notes/1814221","1814221")</f>
        <v>1814221</v>
      </c>
      <c r="E9559">
        <v>2</v>
      </c>
      <c r="F9559" t="s">
        <v>10838</v>
      </c>
    </row>
    <row r="9560" spans="1:6" x14ac:dyDescent="0.25">
      <c r="A9560" t="s">
        <v>10927</v>
      </c>
      <c r="B9560" t="s">
        <v>4005</v>
      </c>
      <c r="C9560" t="s">
        <v>4006</v>
      </c>
      <c r="D9560" t="str">
        <f>HYPERLINK("http://service.sap.com/sap/support/notes/1778538","1778538")</f>
        <v>1778538</v>
      </c>
      <c r="E9560">
        <v>3</v>
      </c>
      <c r="F9560" t="s">
        <v>10839</v>
      </c>
    </row>
    <row r="9561" spans="1:6" x14ac:dyDescent="0.25">
      <c r="A9561" t="s">
        <v>10927</v>
      </c>
      <c r="B9561" t="s">
        <v>4005</v>
      </c>
      <c r="C9561" t="s">
        <v>4006</v>
      </c>
      <c r="D9561" t="str">
        <f>HYPERLINK("http://service.sap.com/sap/support/notes/1810053","1810053")</f>
        <v>1810053</v>
      </c>
      <c r="E9561">
        <v>3</v>
      </c>
      <c r="F9561" t="s">
        <v>10840</v>
      </c>
    </row>
    <row r="9562" spans="1:6" x14ac:dyDescent="0.25">
      <c r="A9562" t="s">
        <v>10927</v>
      </c>
      <c r="B9562" t="s">
        <v>4005</v>
      </c>
      <c r="C9562" t="s">
        <v>4006</v>
      </c>
      <c r="D9562" t="str">
        <f>HYPERLINK("http://service.sap.com/sap/support/notes/1826122","1826122")</f>
        <v>1826122</v>
      </c>
      <c r="E9562">
        <v>5</v>
      </c>
      <c r="F9562" t="s">
        <v>10841</v>
      </c>
    </row>
    <row r="9563" spans="1:6" x14ac:dyDescent="0.25">
      <c r="A9563" t="s">
        <v>10927</v>
      </c>
      <c r="B9563" t="s">
        <v>4005</v>
      </c>
      <c r="C9563" t="s">
        <v>4006</v>
      </c>
      <c r="D9563" t="str">
        <f>HYPERLINK("http://service.sap.com/sap/support/notes/1835436","1835436")</f>
        <v>1835436</v>
      </c>
      <c r="E9563">
        <v>3</v>
      </c>
      <c r="F9563" t="s">
        <v>10842</v>
      </c>
    </row>
    <row r="9564" spans="1:6" x14ac:dyDescent="0.25">
      <c r="A9564" t="s">
        <v>10927</v>
      </c>
      <c r="B9564" t="s">
        <v>4019</v>
      </c>
      <c r="C9564" t="s">
        <v>201</v>
      </c>
      <c r="D9564" t="str">
        <f>HYPERLINK("http://service.sap.com/sap/support/notes/1829932","1829932")</f>
        <v>1829932</v>
      </c>
      <c r="E9564">
        <v>3</v>
      </c>
      <c r="F9564" t="s">
        <v>10843</v>
      </c>
    </row>
    <row r="9565" spans="1:6" x14ac:dyDescent="0.25">
      <c r="A9565" t="s">
        <v>10927</v>
      </c>
      <c r="B9565" t="s">
        <v>4019</v>
      </c>
      <c r="C9565" t="s">
        <v>201</v>
      </c>
      <c r="D9565" t="str">
        <f>HYPERLINK("http://service.sap.com/sap/support/notes/1833627","1833627")</f>
        <v>1833627</v>
      </c>
      <c r="E9565">
        <v>2</v>
      </c>
      <c r="F9565" t="s">
        <v>6342</v>
      </c>
    </row>
    <row r="9566" spans="1:6" x14ac:dyDescent="0.25">
      <c r="A9566" t="s">
        <v>10927</v>
      </c>
      <c r="B9566" t="s">
        <v>4019</v>
      </c>
      <c r="C9566" t="s">
        <v>201</v>
      </c>
      <c r="D9566" t="str">
        <f>HYPERLINK("http://service.sap.com/sap/support/notes/1834764","1834764")</f>
        <v>1834764</v>
      </c>
      <c r="E9566">
        <v>1</v>
      </c>
      <c r="F9566" t="s">
        <v>10844</v>
      </c>
    </row>
    <row r="9567" spans="1:6" x14ac:dyDescent="0.25">
      <c r="A9567" t="s">
        <v>10927</v>
      </c>
      <c r="B9567" t="s">
        <v>4019</v>
      </c>
      <c r="C9567" t="s">
        <v>201</v>
      </c>
      <c r="D9567" t="str">
        <f>HYPERLINK("http://service.sap.com/sap/support/notes/1835283","1835283")</f>
        <v>1835283</v>
      </c>
      <c r="E9567">
        <v>2</v>
      </c>
      <c r="F9567" t="s">
        <v>10845</v>
      </c>
    </row>
    <row r="9568" spans="1:6" x14ac:dyDescent="0.25">
      <c r="A9568" t="s">
        <v>10927</v>
      </c>
      <c r="B9568" t="s">
        <v>4019</v>
      </c>
      <c r="C9568" t="s">
        <v>201</v>
      </c>
      <c r="D9568" t="str">
        <f>HYPERLINK("http://service.sap.com/sap/support/notes/1839932","1839932")</f>
        <v>1839932</v>
      </c>
      <c r="E9568">
        <v>2</v>
      </c>
      <c r="F9568" t="s">
        <v>10846</v>
      </c>
    </row>
    <row r="9569" spans="1:6" x14ac:dyDescent="0.25">
      <c r="A9569" t="s">
        <v>10927</v>
      </c>
      <c r="B9569" t="s">
        <v>4019</v>
      </c>
      <c r="C9569" t="s">
        <v>201</v>
      </c>
      <c r="D9569" t="str">
        <f>HYPERLINK("http://service.sap.com/sap/support/notes/1840461","1840461")</f>
        <v>1840461</v>
      </c>
      <c r="E9569">
        <v>1</v>
      </c>
      <c r="F9569" t="s">
        <v>10847</v>
      </c>
    </row>
    <row r="9570" spans="1:6" x14ac:dyDescent="0.25">
      <c r="A9570" t="s">
        <v>10927</v>
      </c>
      <c r="B9570" t="s">
        <v>4019</v>
      </c>
      <c r="C9570" t="s">
        <v>201</v>
      </c>
      <c r="D9570" t="str">
        <f>HYPERLINK("http://service.sap.com/sap/support/notes/1841531","1841531")</f>
        <v>1841531</v>
      </c>
      <c r="E9570">
        <v>1</v>
      </c>
      <c r="F9570" t="s">
        <v>10848</v>
      </c>
    </row>
    <row r="9571" spans="1:6" x14ac:dyDescent="0.25">
      <c r="A9571" t="s">
        <v>10927</v>
      </c>
      <c r="B9571" t="s">
        <v>4019</v>
      </c>
      <c r="C9571" t="s">
        <v>201</v>
      </c>
      <c r="D9571" t="str">
        <f>HYPERLINK("http://service.sap.com/sap/support/notes/1846319","1846319")</f>
        <v>1846319</v>
      </c>
      <c r="E9571">
        <v>1</v>
      </c>
      <c r="F9571" t="s">
        <v>10849</v>
      </c>
    </row>
    <row r="9572" spans="1:6" x14ac:dyDescent="0.25">
      <c r="A9572" t="s">
        <v>10927</v>
      </c>
      <c r="B9572" t="s">
        <v>4019</v>
      </c>
      <c r="C9572" t="s">
        <v>201</v>
      </c>
      <c r="D9572" t="str">
        <f>HYPERLINK("http://service.sap.com/sap/support/notes/1861588","1861588")</f>
        <v>1861588</v>
      </c>
      <c r="E9572">
        <v>1</v>
      </c>
      <c r="F9572" t="s">
        <v>10850</v>
      </c>
    </row>
    <row r="9573" spans="1:6" x14ac:dyDescent="0.25">
      <c r="A9573" t="s">
        <v>10927</v>
      </c>
      <c r="B9573" t="s">
        <v>4048</v>
      </c>
      <c r="C9573" t="s">
        <v>4049</v>
      </c>
      <c r="D9573" t="str">
        <f>HYPERLINK("http://service.sap.com/sap/support/notes/1851416","1851416")</f>
        <v>1851416</v>
      </c>
      <c r="E9573">
        <v>1</v>
      </c>
      <c r="F9573" t="s">
        <v>10851</v>
      </c>
    </row>
    <row r="9574" spans="1:6" x14ac:dyDescent="0.25">
      <c r="A9574" t="s">
        <v>10927</v>
      </c>
      <c r="B9574" t="s">
        <v>4053</v>
      </c>
      <c r="C9574" t="s">
        <v>4054</v>
      </c>
      <c r="D9574" t="str">
        <f>HYPERLINK("http://service.sap.com/sap/support/notes/1834912","1834912")</f>
        <v>1834912</v>
      </c>
      <c r="E9574">
        <v>2</v>
      </c>
      <c r="F9574" t="s">
        <v>10852</v>
      </c>
    </row>
    <row r="9575" spans="1:6" x14ac:dyDescent="0.25">
      <c r="A9575" t="s">
        <v>10927</v>
      </c>
      <c r="B9575" t="s">
        <v>4053</v>
      </c>
      <c r="C9575" t="s">
        <v>4054</v>
      </c>
      <c r="D9575" t="str">
        <f>HYPERLINK("http://service.sap.com/sap/support/notes/1836167","1836167")</f>
        <v>1836167</v>
      </c>
      <c r="E9575">
        <v>1</v>
      </c>
      <c r="F9575" t="s">
        <v>10853</v>
      </c>
    </row>
    <row r="9576" spans="1:6" x14ac:dyDescent="0.25">
      <c r="A9576" t="s">
        <v>10927</v>
      </c>
      <c r="B9576" t="s">
        <v>4053</v>
      </c>
      <c r="C9576" t="s">
        <v>4054</v>
      </c>
      <c r="D9576" t="str">
        <f>HYPERLINK("http://service.sap.com/sap/support/notes/1836530","1836530")</f>
        <v>1836530</v>
      </c>
      <c r="E9576">
        <v>3</v>
      </c>
      <c r="F9576" t="s">
        <v>10854</v>
      </c>
    </row>
    <row r="9577" spans="1:6" x14ac:dyDescent="0.25">
      <c r="A9577" t="s">
        <v>10927</v>
      </c>
      <c r="B9577" t="s">
        <v>4053</v>
      </c>
      <c r="C9577" t="s">
        <v>4054</v>
      </c>
      <c r="D9577" t="str">
        <f>HYPERLINK("http://service.sap.com/sap/support/notes/1850428","1850428")</f>
        <v>1850428</v>
      </c>
      <c r="E9577">
        <v>4</v>
      </c>
      <c r="F9577" t="s">
        <v>10855</v>
      </c>
    </row>
    <row r="9578" spans="1:6" x14ac:dyDescent="0.25">
      <c r="A9578" t="s">
        <v>10927</v>
      </c>
      <c r="B9578" t="s">
        <v>4053</v>
      </c>
      <c r="C9578" t="s">
        <v>4054</v>
      </c>
      <c r="D9578" t="str">
        <f>HYPERLINK("http://service.sap.com/sap/support/notes/1857118","1857118")</f>
        <v>1857118</v>
      </c>
      <c r="E9578">
        <v>3</v>
      </c>
      <c r="F9578" t="s">
        <v>10856</v>
      </c>
    </row>
    <row r="9579" spans="1:6" x14ac:dyDescent="0.25">
      <c r="A9579" t="s">
        <v>10927</v>
      </c>
      <c r="B9579" t="s">
        <v>4060</v>
      </c>
      <c r="C9579" t="s">
        <v>198</v>
      </c>
      <c r="D9579" t="str">
        <f>HYPERLINK("http://service.sap.com/sap/support/notes/1800693","1800693")</f>
        <v>1800693</v>
      </c>
      <c r="E9579">
        <v>3</v>
      </c>
      <c r="F9579" t="s">
        <v>10857</v>
      </c>
    </row>
    <row r="9580" spans="1:6" x14ac:dyDescent="0.25">
      <c r="A9580" t="s">
        <v>10927</v>
      </c>
      <c r="B9580" t="s">
        <v>4060</v>
      </c>
      <c r="C9580" t="s">
        <v>198</v>
      </c>
      <c r="D9580" t="str">
        <f>HYPERLINK("http://service.sap.com/sap/support/notes/1814513","1814513")</f>
        <v>1814513</v>
      </c>
      <c r="E9580">
        <v>2</v>
      </c>
      <c r="F9580" t="s">
        <v>10858</v>
      </c>
    </row>
    <row r="9581" spans="1:6" x14ac:dyDescent="0.25">
      <c r="A9581" t="s">
        <v>10927</v>
      </c>
      <c r="B9581" t="s">
        <v>4060</v>
      </c>
      <c r="C9581" t="s">
        <v>198</v>
      </c>
      <c r="D9581" t="str">
        <f>HYPERLINK("http://service.sap.com/sap/support/notes/1822851","1822851")</f>
        <v>1822851</v>
      </c>
      <c r="E9581">
        <v>2</v>
      </c>
      <c r="F9581" t="s">
        <v>10859</v>
      </c>
    </row>
    <row r="9582" spans="1:6" x14ac:dyDescent="0.25">
      <c r="A9582" t="s">
        <v>10927</v>
      </c>
      <c r="B9582" t="s">
        <v>4060</v>
      </c>
      <c r="C9582" t="s">
        <v>198</v>
      </c>
      <c r="D9582" t="str">
        <f>HYPERLINK("http://service.sap.com/sap/support/notes/1825453","1825453")</f>
        <v>1825453</v>
      </c>
      <c r="E9582">
        <v>7</v>
      </c>
      <c r="F9582" t="s">
        <v>10860</v>
      </c>
    </row>
    <row r="9583" spans="1:6" x14ac:dyDescent="0.25">
      <c r="A9583" t="s">
        <v>10927</v>
      </c>
      <c r="B9583" t="s">
        <v>4060</v>
      </c>
      <c r="C9583" t="s">
        <v>198</v>
      </c>
      <c r="D9583" t="str">
        <f>HYPERLINK("http://service.sap.com/sap/support/notes/1826916","1826916")</f>
        <v>1826916</v>
      </c>
      <c r="E9583">
        <v>5</v>
      </c>
      <c r="F9583" t="s">
        <v>10861</v>
      </c>
    </row>
    <row r="9584" spans="1:6" x14ac:dyDescent="0.25">
      <c r="A9584" t="s">
        <v>10927</v>
      </c>
      <c r="B9584" t="s">
        <v>4060</v>
      </c>
      <c r="C9584" t="s">
        <v>198</v>
      </c>
      <c r="D9584" t="str">
        <f>HYPERLINK("http://service.sap.com/sap/support/notes/1833177","1833177")</f>
        <v>1833177</v>
      </c>
      <c r="E9584">
        <v>1</v>
      </c>
      <c r="F9584" t="s">
        <v>10862</v>
      </c>
    </row>
    <row r="9585" spans="1:6" x14ac:dyDescent="0.25">
      <c r="A9585" t="s">
        <v>10927</v>
      </c>
      <c r="B9585" t="s">
        <v>4060</v>
      </c>
      <c r="C9585" t="s">
        <v>198</v>
      </c>
      <c r="D9585" t="str">
        <f>HYPERLINK("http://service.sap.com/sap/support/notes/1833339","1833339")</f>
        <v>1833339</v>
      </c>
      <c r="E9585">
        <v>4</v>
      </c>
      <c r="F9585" t="s">
        <v>10863</v>
      </c>
    </row>
    <row r="9586" spans="1:6" x14ac:dyDescent="0.25">
      <c r="A9586" t="s">
        <v>10927</v>
      </c>
      <c r="B9586" t="s">
        <v>4060</v>
      </c>
      <c r="C9586" t="s">
        <v>198</v>
      </c>
      <c r="D9586" t="str">
        <f>HYPERLINK("http://service.sap.com/sap/support/notes/1833957","1833957")</f>
        <v>1833957</v>
      </c>
      <c r="E9586">
        <v>1</v>
      </c>
      <c r="F9586" t="s">
        <v>10864</v>
      </c>
    </row>
    <row r="9587" spans="1:6" x14ac:dyDescent="0.25">
      <c r="A9587" t="s">
        <v>10927</v>
      </c>
      <c r="B9587" t="s">
        <v>4060</v>
      </c>
      <c r="C9587" t="s">
        <v>198</v>
      </c>
      <c r="D9587" t="str">
        <f>HYPERLINK("http://service.sap.com/sap/support/notes/1834136","1834136")</f>
        <v>1834136</v>
      </c>
      <c r="E9587">
        <v>2</v>
      </c>
      <c r="F9587" t="s">
        <v>10865</v>
      </c>
    </row>
    <row r="9588" spans="1:6" x14ac:dyDescent="0.25">
      <c r="A9588" t="s">
        <v>10927</v>
      </c>
      <c r="B9588" t="s">
        <v>4060</v>
      </c>
      <c r="C9588" t="s">
        <v>198</v>
      </c>
      <c r="D9588" t="str">
        <f>HYPERLINK("http://service.sap.com/sap/support/notes/1834376","1834376")</f>
        <v>1834376</v>
      </c>
      <c r="E9588">
        <v>1</v>
      </c>
      <c r="F9588" t="s">
        <v>10866</v>
      </c>
    </row>
    <row r="9589" spans="1:6" x14ac:dyDescent="0.25">
      <c r="A9589" t="s">
        <v>10927</v>
      </c>
      <c r="B9589" t="s">
        <v>4060</v>
      </c>
      <c r="C9589" t="s">
        <v>198</v>
      </c>
      <c r="D9589" t="str">
        <f>HYPERLINK("http://service.sap.com/sap/support/notes/1834814","1834814")</f>
        <v>1834814</v>
      </c>
      <c r="E9589">
        <v>5</v>
      </c>
      <c r="F9589" t="s">
        <v>10867</v>
      </c>
    </row>
    <row r="9590" spans="1:6" x14ac:dyDescent="0.25">
      <c r="A9590" t="s">
        <v>10927</v>
      </c>
      <c r="B9590" t="s">
        <v>4060</v>
      </c>
      <c r="C9590" t="s">
        <v>198</v>
      </c>
      <c r="D9590" t="str">
        <f>HYPERLINK("http://service.sap.com/sap/support/notes/1835133","1835133")</f>
        <v>1835133</v>
      </c>
      <c r="E9590">
        <v>3</v>
      </c>
      <c r="F9590" t="s">
        <v>10868</v>
      </c>
    </row>
    <row r="9591" spans="1:6" x14ac:dyDescent="0.25">
      <c r="A9591" t="s">
        <v>10927</v>
      </c>
      <c r="B9591" t="s">
        <v>4060</v>
      </c>
      <c r="C9591" t="s">
        <v>198</v>
      </c>
      <c r="D9591" t="str">
        <f>HYPERLINK("http://service.sap.com/sap/support/notes/1835422","1835422")</f>
        <v>1835422</v>
      </c>
      <c r="E9591">
        <v>3</v>
      </c>
      <c r="F9591" t="s">
        <v>10869</v>
      </c>
    </row>
    <row r="9592" spans="1:6" x14ac:dyDescent="0.25">
      <c r="A9592" t="s">
        <v>10927</v>
      </c>
      <c r="B9592" t="s">
        <v>4060</v>
      </c>
      <c r="C9592" t="s">
        <v>198</v>
      </c>
      <c r="D9592" t="str">
        <f>HYPERLINK("http://service.sap.com/sap/support/notes/1835585","1835585")</f>
        <v>1835585</v>
      </c>
      <c r="E9592">
        <v>4</v>
      </c>
      <c r="F9592" t="s">
        <v>10870</v>
      </c>
    </row>
    <row r="9593" spans="1:6" x14ac:dyDescent="0.25">
      <c r="A9593" t="s">
        <v>10927</v>
      </c>
      <c r="B9593" t="s">
        <v>4060</v>
      </c>
      <c r="C9593" t="s">
        <v>198</v>
      </c>
      <c r="D9593" t="str">
        <f>HYPERLINK("http://service.sap.com/sap/support/notes/1836008","1836008")</f>
        <v>1836008</v>
      </c>
      <c r="E9593">
        <v>1</v>
      </c>
      <c r="F9593" t="s">
        <v>10871</v>
      </c>
    </row>
    <row r="9594" spans="1:6" x14ac:dyDescent="0.25">
      <c r="A9594" t="s">
        <v>10927</v>
      </c>
      <c r="B9594" t="s">
        <v>4060</v>
      </c>
      <c r="C9594" t="s">
        <v>198</v>
      </c>
      <c r="D9594" t="str">
        <f>HYPERLINK("http://service.sap.com/sap/support/notes/1836204","1836204")</f>
        <v>1836204</v>
      </c>
      <c r="E9594">
        <v>2</v>
      </c>
      <c r="F9594" t="s">
        <v>10872</v>
      </c>
    </row>
    <row r="9595" spans="1:6" x14ac:dyDescent="0.25">
      <c r="A9595" t="s">
        <v>10927</v>
      </c>
      <c r="B9595" t="s">
        <v>4060</v>
      </c>
      <c r="C9595" t="s">
        <v>198</v>
      </c>
      <c r="D9595" t="str">
        <f>HYPERLINK("http://service.sap.com/sap/support/notes/1836655","1836655")</f>
        <v>1836655</v>
      </c>
      <c r="E9595">
        <v>5</v>
      </c>
      <c r="F9595" t="s">
        <v>10873</v>
      </c>
    </row>
    <row r="9596" spans="1:6" x14ac:dyDescent="0.25">
      <c r="A9596" t="s">
        <v>10927</v>
      </c>
      <c r="B9596" t="s">
        <v>4060</v>
      </c>
      <c r="C9596" t="s">
        <v>198</v>
      </c>
      <c r="D9596" t="str">
        <f>HYPERLINK("http://service.sap.com/sap/support/notes/1836668","1836668")</f>
        <v>1836668</v>
      </c>
      <c r="E9596">
        <v>4</v>
      </c>
      <c r="F9596" t="s">
        <v>10874</v>
      </c>
    </row>
    <row r="9597" spans="1:6" x14ac:dyDescent="0.25">
      <c r="A9597" t="s">
        <v>10927</v>
      </c>
      <c r="B9597" t="s">
        <v>4060</v>
      </c>
      <c r="C9597" t="s">
        <v>198</v>
      </c>
      <c r="D9597" t="str">
        <f>HYPERLINK("http://service.sap.com/sap/support/notes/1836931","1836931")</f>
        <v>1836931</v>
      </c>
      <c r="E9597">
        <v>2</v>
      </c>
      <c r="F9597" t="s">
        <v>10875</v>
      </c>
    </row>
    <row r="9598" spans="1:6" x14ac:dyDescent="0.25">
      <c r="A9598" t="s">
        <v>10927</v>
      </c>
      <c r="B9598" t="s">
        <v>4060</v>
      </c>
      <c r="C9598" t="s">
        <v>198</v>
      </c>
      <c r="D9598" t="str">
        <f>HYPERLINK("http://service.sap.com/sap/support/notes/1837375","1837375")</f>
        <v>1837375</v>
      </c>
      <c r="E9598">
        <v>2</v>
      </c>
      <c r="F9598" t="s">
        <v>6415</v>
      </c>
    </row>
    <row r="9599" spans="1:6" x14ac:dyDescent="0.25">
      <c r="A9599" t="s">
        <v>10927</v>
      </c>
      <c r="B9599" t="s">
        <v>4060</v>
      </c>
      <c r="C9599" t="s">
        <v>198</v>
      </c>
      <c r="D9599" t="str">
        <f>HYPERLINK("http://service.sap.com/sap/support/notes/1838916","1838916")</f>
        <v>1838916</v>
      </c>
      <c r="E9599">
        <v>4</v>
      </c>
      <c r="F9599" t="s">
        <v>10876</v>
      </c>
    </row>
    <row r="9600" spans="1:6" x14ac:dyDescent="0.25">
      <c r="A9600" t="s">
        <v>10927</v>
      </c>
      <c r="B9600" t="s">
        <v>4060</v>
      </c>
      <c r="C9600" t="s">
        <v>198</v>
      </c>
      <c r="D9600" t="str">
        <f>HYPERLINK("http://service.sap.com/sap/support/notes/1838919","1838919")</f>
        <v>1838919</v>
      </c>
      <c r="E9600">
        <v>3</v>
      </c>
      <c r="F9600" t="s">
        <v>10877</v>
      </c>
    </row>
    <row r="9601" spans="1:6" x14ac:dyDescent="0.25">
      <c r="A9601" t="s">
        <v>10927</v>
      </c>
      <c r="B9601" t="s">
        <v>4060</v>
      </c>
      <c r="C9601" t="s">
        <v>198</v>
      </c>
      <c r="D9601" t="str">
        <f>HYPERLINK("http://service.sap.com/sap/support/notes/1839182","1839182")</f>
        <v>1839182</v>
      </c>
      <c r="E9601">
        <v>2</v>
      </c>
      <c r="F9601" t="s">
        <v>10878</v>
      </c>
    </row>
    <row r="9602" spans="1:6" x14ac:dyDescent="0.25">
      <c r="A9602" t="s">
        <v>10927</v>
      </c>
      <c r="B9602" t="s">
        <v>4060</v>
      </c>
      <c r="C9602" t="s">
        <v>198</v>
      </c>
      <c r="D9602" t="str">
        <f>HYPERLINK("http://service.sap.com/sap/support/notes/1839409","1839409")</f>
        <v>1839409</v>
      </c>
      <c r="E9602">
        <v>4</v>
      </c>
      <c r="F9602" t="s">
        <v>10879</v>
      </c>
    </row>
    <row r="9603" spans="1:6" x14ac:dyDescent="0.25">
      <c r="A9603" t="s">
        <v>10927</v>
      </c>
      <c r="B9603" t="s">
        <v>4060</v>
      </c>
      <c r="C9603" t="s">
        <v>198</v>
      </c>
      <c r="D9603" t="str">
        <f>HYPERLINK("http://service.sap.com/sap/support/notes/1839647","1839647")</f>
        <v>1839647</v>
      </c>
      <c r="E9603">
        <v>2</v>
      </c>
      <c r="F9603" t="s">
        <v>10880</v>
      </c>
    </row>
    <row r="9604" spans="1:6" x14ac:dyDescent="0.25">
      <c r="A9604" t="s">
        <v>10927</v>
      </c>
      <c r="B9604" t="s">
        <v>4060</v>
      </c>
      <c r="C9604" t="s">
        <v>198</v>
      </c>
      <c r="D9604" t="str">
        <f>HYPERLINK("http://service.sap.com/sap/support/notes/1839682","1839682")</f>
        <v>1839682</v>
      </c>
      <c r="E9604">
        <v>2</v>
      </c>
      <c r="F9604" t="s">
        <v>10881</v>
      </c>
    </row>
    <row r="9605" spans="1:6" x14ac:dyDescent="0.25">
      <c r="A9605" t="s">
        <v>10927</v>
      </c>
      <c r="B9605" t="s">
        <v>4060</v>
      </c>
      <c r="C9605" t="s">
        <v>198</v>
      </c>
      <c r="D9605" t="str">
        <f>HYPERLINK("http://service.sap.com/sap/support/notes/1839864","1839864")</f>
        <v>1839864</v>
      </c>
      <c r="E9605">
        <v>7</v>
      </c>
      <c r="F9605" t="s">
        <v>10882</v>
      </c>
    </row>
    <row r="9606" spans="1:6" x14ac:dyDescent="0.25">
      <c r="A9606" t="s">
        <v>10927</v>
      </c>
      <c r="B9606" t="s">
        <v>4060</v>
      </c>
      <c r="C9606" t="s">
        <v>198</v>
      </c>
      <c r="D9606" t="str">
        <f>HYPERLINK("http://service.sap.com/sap/support/notes/1839865","1839865")</f>
        <v>1839865</v>
      </c>
      <c r="E9606">
        <v>2</v>
      </c>
      <c r="F9606" t="s">
        <v>10883</v>
      </c>
    </row>
    <row r="9607" spans="1:6" x14ac:dyDescent="0.25">
      <c r="A9607" t="s">
        <v>10927</v>
      </c>
      <c r="B9607" t="s">
        <v>4060</v>
      </c>
      <c r="C9607" t="s">
        <v>198</v>
      </c>
      <c r="D9607" t="str">
        <f>HYPERLINK("http://service.sap.com/sap/support/notes/1839969","1839969")</f>
        <v>1839969</v>
      </c>
      <c r="E9607">
        <v>2</v>
      </c>
      <c r="F9607" t="s">
        <v>10884</v>
      </c>
    </row>
    <row r="9608" spans="1:6" x14ac:dyDescent="0.25">
      <c r="A9608" t="s">
        <v>10927</v>
      </c>
      <c r="B9608" t="s">
        <v>4060</v>
      </c>
      <c r="C9608" t="s">
        <v>198</v>
      </c>
      <c r="D9608" t="str">
        <f>HYPERLINK("http://service.sap.com/sap/support/notes/1840007","1840007")</f>
        <v>1840007</v>
      </c>
      <c r="E9608">
        <v>4</v>
      </c>
      <c r="F9608" t="s">
        <v>10885</v>
      </c>
    </row>
    <row r="9609" spans="1:6" x14ac:dyDescent="0.25">
      <c r="A9609" t="s">
        <v>10927</v>
      </c>
      <c r="B9609" t="s">
        <v>4060</v>
      </c>
      <c r="C9609" t="s">
        <v>198</v>
      </c>
      <c r="D9609" t="str">
        <f>HYPERLINK("http://service.sap.com/sap/support/notes/1840162","1840162")</f>
        <v>1840162</v>
      </c>
      <c r="E9609">
        <v>4</v>
      </c>
      <c r="F9609" t="s">
        <v>10886</v>
      </c>
    </row>
    <row r="9610" spans="1:6" x14ac:dyDescent="0.25">
      <c r="A9610" t="s">
        <v>10927</v>
      </c>
      <c r="B9610" t="s">
        <v>4060</v>
      </c>
      <c r="C9610" t="s">
        <v>198</v>
      </c>
      <c r="D9610" t="str">
        <f>HYPERLINK("http://service.sap.com/sap/support/notes/1840565","1840565")</f>
        <v>1840565</v>
      </c>
      <c r="E9610">
        <v>3</v>
      </c>
      <c r="F9610" t="s">
        <v>10887</v>
      </c>
    </row>
    <row r="9611" spans="1:6" x14ac:dyDescent="0.25">
      <c r="A9611" t="s">
        <v>10927</v>
      </c>
      <c r="B9611" t="s">
        <v>4060</v>
      </c>
      <c r="C9611" t="s">
        <v>198</v>
      </c>
      <c r="D9611" t="str">
        <f>HYPERLINK("http://service.sap.com/sap/support/notes/1840575","1840575")</f>
        <v>1840575</v>
      </c>
      <c r="E9611">
        <v>6</v>
      </c>
      <c r="F9611" t="s">
        <v>10888</v>
      </c>
    </row>
    <row r="9612" spans="1:6" x14ac:dyDescent="0.25">
      <c r="A9612" t="s">
        <v>10927</v>
      </c>
      <c r="B9612" t="s">
        <v>4060</v>
      </c>
      <c r="C9612" t="s">
        <v>198</v>
      </c>
      <c r="D9612" t="str">
        <f>HYPERLINK("http://service.sap.com/sap/support/notes/1841035","1841035")</f>
        <v>1841035</v>
      </c>
      <c r="E9612">
        <v>2</v>
      </c>
      <c r="F9612" t="s">
        <v>10889</v>
      </c>
    </row>
    <row r="9613" spans="1:6" x14ac:dyDescent="0.25">
      <c r="A9613" t="s">
        <v>10927</v>
      </c>
      <c r="B9613" t="s">
        <v>4060</v>
      </c>
      <c r="C9613" t="s">
        <v>198</v>
      </c>
      <c r="D9613" t="str">
        <f>HYPERLINK("http://service.sap.com/sap/support/notes/1841062","1841062")</f>
        <v>1841062</v>
      </c>
      <c r="E9613">
        <v>2</v>
      </c>
      <c r="F9613" t="s">
        <v>10890</v>
      </c>
    </row>
    <row r="9614" spans="1:6" x14ac:dyDescent="0.25">
      <c r="A9614" t="s">
        <v>10927</v>
      </c>
      <c r="B9614" t="s">
        <v>4060</v>
      </c>
      <c r="C9614" t="s">
        <v>198</v>
      </c>
      <c r="D9614" t="str">
        <f>HYPERLINK("http://service.sap.com/sap/support/notes/1841644","1841644")</f>
        <v>1841644</v>
      </c>
      <c r="E9614">
        <v>2</v>
      </c>
      <c r="F9614" t="s">
        <v>10891</v>
      </c>
    </row>
    <row r="9615" spans="1:6" x14ac:dyDescent="0.25">
      <c r="A9615" t="s">
        <v>10927</v>
      </c>
      <c r="B9615" t="s">
        <v>4060</v>
      </c>
      <c r="C9615" t="s">
        <v>198</v>
      </c>
      <c r="D9615" t="str">
        <f>HYPERLINK("http://service.sap.com/sap/support/notes/1841750","1841750")</f>
        <v>1841750</v>
      </c>
      <c r="E9615">
        <v>4</v>
      </c>
      <c r="F9615" t="s">
        <v>10892</v>
      </c>
    </row>
    <row r="9616" spans="1:6" x14ac:dyDescent="0.25">
      <c r="A9616" t="s">
        <v>10927</v>
      </c>
      <c r="B9616" t="s">
        <v>4060</v>
      </c>
      <c r="C9616" t="s">
        <v>198</v>
      </c>
      <c r="D9616" t="str">
        <f>HYPERLINK("http://service.sap.com/sap/support/notes/1844332","1844332")</f>
        <v>1844332</v>
      </c>
      <c r="E9616">
        <v>6</v>
      </c>
      <c r="F9616" t="s">
        <v>10893</v>
      </c>
    </row>
    <row r="9617" spans="1:6" x14ac:dyDescent="0.25">
      <c r="A9617" t="s">
        <v>10927</v>
      </c>
      <c r="B9617" t="s">
        <v>4060</v>
      </c>
      <c r="C9617" t="s">
        <v>198</v>
      </c>
      <c r="D9617" t="str">
        <f>HYPERLINK("http://service.sap.com/sap/support/notes/1844669","1844669")</f>
        <v>1844669</v>
      </c>
      <c r="E9617">
        <v>10</v>
      </c>
      <c r="F9617" t="s">
        <v>10894</v>
      </c>
    </row>
    <row r="9618" spans="1:6" x14ac:dyDescent="0.25">
      <c r="A9618" t="s">
        <v>10927</v>
      </c>
      <c r="B9618" t="s">
        <v>4060</v>
      </c>
      <c r="C9618" t="s">
        <v>198</v>
      </c>
      <c r="D9618" t="str">
        <f>HYPERLINK("http://service.sap.com/sap/support/notes/1845391","1845391")</f>
        <v>1845391</v>
      </c>
      <c r="E9618">
        <v>3</v>
      </c>
      <c r="F9618" t="s">
        <v>10895</v>
      </c>
    </row>
    <row r="9619" spans="1:6" x14ac:dyDescent="0.25">
      <c r="A9619" t="s">
        <v>10927</v>
      </c>
      <c r="B9619" t="s">
        <v>4060</v>
      </c>
      <c r="C9619" t="s">
        <v>198</v>
      </c>
      <c r="D9619" t="str">
        <f>HYPERLINK("http://service.sap.com/sap/support/notes/1847670","1847670")</f>
        <v>1847670</v>
      </c>
      <c r="E9619">
        <v>1</v>
      </c>
      <c r="F9619" t="s">
        <v>10896</v>
      </c>
    </row>
    <row r="9620" spans="1:6" x14ac:dyDescent="0.25">
      <c r="A9620" t="s">
        <v>10927</v>
      </c>
      <c r="B9620" t="s">
        <v>4060</v>
      </c>
      <c r="C9620" t="s">
        <v>198</v>
      </c>
      <c r="D9620" t="str">
        <f>HYPERLINK("http://service.sap.com/sap/support/notes/1847945","1847945")</f>
        <v>1847945</v>
      </c>
      <c r="E9620">
        <v>3</v>
      </c>
      <c r="F9620" t="s">
        <v>10897</v>
      </c>
    </row>
    <row r="9621" spans="1:6" x14ac:dyDescent="0.25">
      <c r="A9621" t="s">
        <v>10927</v>
      </c>
      <c r="B9621" t="s">
        <v>4060</v>
      </c>
      <c r="C9621" t="s">
        <v>198</v>
      </c>
      <c r="D9621" t="str">
        <f>HYPERLINK("http://service.sap.com/sap/support/notes/1848837","1848837")</f>
        <v>1848837</v>
      </c>
      <c r="E9621">
        <v>2</v>
      </c>
      <c r="F9621" t="s">
        <v>10898</v>
      </c>
    </row>
    <row r="9622" spans="1:6" x14ac:dyDescent="0.25">
      <c r="A9622" t="s">
        <v>10927</v>
      </c>
      <c r="B9622" t="s">
        <v>4060</v>
      </c>
      <c r="C9622" t="s">
        <v>198</v>
      </c>
      <c r="D9622" t="str">
        <f>HYPERLINK("http://service.sap.com/sap/support/notes/1848845","1848845")</f>
        <v>1848845</v>
      </c>
      <c r="E9622">
        <v>2</v>
      </c>
      <c r="F9622" t="s">
        <v>10899</v>
      </c>
    </row>
    <row r="9623" spans="1:6" x14ac:dyDescent="0.25">
      <c r="A9623" t="s">
        <v>10927</v>
      </c>
      <c r="B9623" t="s">
        <v>4060</v>
      </c>
      <c r="C9623" t="s">
        <v>198</v>
      </c>
      <c r="D9623" t="str">
        <f>HYPERLINK("http://service.sap.com/sap/support/notes/1849464","1849464")</f>
        <v>1849464</v>
      </c>
      <c r="E9623">
        <v>2</v>
      </c>
      <c r="F9623" t="s">
        <v>10900</v>
      </c>
    </row>
    <row r="9624" spans="1:6" x14ac:dyDescent="0.25">
      <c r="A9624" t="s">
        <v>10927</v>
      </c>
      <c r="B9624" t="s">
        <v>4060</v>
      </c>
      <c r="C9624" t="s">
        <v>198</v>
      </c>
      <c r="D9624" t="str">
        <f>HYPERLINK("http://service.sap.com/sap/support/notes/1850608","1850608")</f>
        <v>1850608</v>
      </c>
      <c r="E9624">
        <v>10</v>
      </c>
      <c r="F9624" t="s">
        <v>10901</v>
      </c>
    </row>
    <row r="9625" spans="1:6" x14ac:dyDescent="0.25">
      <c r="A9625" t="s">
        <v>10927</v>
      </c>
      <c r="B9625" t="s">
        <v>4060</v>
      </c>
      <c r="C9625" t="s">
        <v>198</v>
      </c>
      <c r="D9625" t="str">
        <f>HYPERLINK("http://service.sap.com/sap/support/notes/1850723","1850723")</f>
        <v>1850723</v>
      </c>
      <c r="E9625">
        <v>4</v>
      </c>
      <c r="F9625" t="s">
        <v>10902</v>
      </c>
    </row>
    <row r="9626" spans="1:6" x14ac:dyDescent="0.25">
      <c r="A9626" t="s">
        <v>10927</v>
      </c>
      <c r="B9626" t="s">
        <v>4060</v>
      </c>
      <c r="C9626" t="s">
        <v>198</v>
      </c>
      <c r="D9626" t="str">
        <f>HYPERLINK("http://service.sap.com/sap/support/notes/1851340","1851340")</f>
        <v>1851340</v>
      </c>
      <c r="E9626">
        <v>2</v>
      </c>
      <c r="F9626" t="s">
        <v>10903</v>
      </c>
    </row>
    <row r="9627" spans="1:6" x14ac:dyDescent="0.25">
      <c r="A9627" t="s">
        <v>10927</v>
      </c>
      <c r="B9627" t="s">
        <v>4060</v>
      </c>
      <c r="C9627" t="s">
        <v>198</v>
      </c>
      <c r="D9627" t="str">
        <f>HYPERLINK("http://service.sap.com/sap/support/notes/1858330","1858330")</f>
        <v>1858330</v>
      </c>
      <c r="E9627">
        <v>1</v>
      </c>
      <c r="F9627" t="s">
        <v>10904</v>
      </c>
    </row>
    <row r="9628" spans="1:6" x14ac:dyDescent="0.25">
      <c r="A9628" t="s">
        <v>10927</v>
      </c>
      <c r="B9628" t="s">
        <v>4060</v>
      </c>
      <c r="C9628" t="s">
        <v>198</v>
      </c>
      <c r="D9628" t="str">
        <f>HYPERLINK("http://service.sap.com/sap/support/notes/1858421","1858421")</f>
        <v>1858421</v>
      </c>
      <c r="E9628">
        <v>3</v>
      </c>
      <c r="F9628" t="s">
        <v>10905</v>
      </c>
    </row>
    <row r="9629" spans="1:6" x14ac:dyDescent="0.25">
      <c r="A9629" t="s">
        <v>10927</v>
      </c>
      <c r="B9629" t="s">
        <v>4060</v>
      </c>
      <c r="C9629" t="s">
        <v>198</v>
      </c>
      <c r="D9629" t="str">
        <f>HYPERLINK("http://service.sap.com/sap/support/notes/1858645","1858645")</f>
        <v>1858645</v>
      </c>
      <c r="E9629">
        <v>3</v>
      </c>
      <c r="F9629" t="s">
        <v>10906</v>
      </c>
    </row>
    <row r="9630" spans="1:6" x14ac:dyDescent="0.25">
      <c r="A9630" t="s">
        <v>10927</v>
      </c>
      <c r="B9630" t="s">
        <v>4060</v>
      </c>
      <c r="C9630" t="s">
        <v>198</v>
      </c>
      <c r="D9630" t="str">
        <f>HYPERLINK("http://service.sap.com/sap/support/notes/1858674","1858674")</f>
        <v>1858674</v>
      </c>
      <c r="E9630">
        <v>1</v>
      </c>
      <c r="F9630" t="s">
        <v>10907</v>
      </c>
    </row>
    <row r="9631" spans="1:6" x14ac:dyDescent="0.25">
      <c r="A9631" t="s">
        <v>10927</v>
      </c>
      <c r="B9631" t="s">
        <v>4060</v>
      </c>
      <c r="C9631" t="s">
        <v>198</v>
      </c>
      <c r="D9631" t="str">
        <f>HYPERLINK("http://service.sap.com/sap/support/notes/1859042","1859042")</f>
        <v>1859042</v>
      </c>
      <c r="E9631">
        <v>1</v>
      </c>
      <c r="F9631" t="s">
        <v>10908</v>
      </c>
    </row>
    <row r="9632" spans="1:6" x14ac:dyDescent="0.25">
      <c r="A9632" t="s">
        <v>10927</v>
      </c>
      <c r="B9632" t="s">
        <v>4060</v>
      </c>
      <c r="C9632" t="s">
        <v>198</v>
      </c>
      <c r="D9632" t="str">
        <f>HYPERLINK("http://service.sap.com/sap/support/notes/1859139","1859139")</f>
        <v>1859139</v>
      </c>
      <c r="E9632">
        <v>1</v>
      </c>
      <c r="F9632" t="s">
        <v>10909</v>
      </c>
    </row>
    <row r="9633" spans="1:6" x14ac:dyDescent="0.25">
      <c r="A9633" t="s">
        <v>10927</v>
      </c>
      <c r="B9633" t="s">
        <v>4060</v>
      </c>
      <c r="C9633" t="s">
        <v>198</v>
      </c>
      <c r="D9633" t="str">
        <f>HYPERLINK("http://service.sap.com/sap/support/notes/1859556","1859556")</f>
        <v>1859556</v>
      </c>
      <c r="E9633">
        <v>1</v>
      </c>
      <c r="F9633" t="s">
        <v>10910</v>
      </c>
    </row>
    <row r="9634" spans="1:6" x14ac:dyDescent="0.25">
      <c r="A9634" t="s">
        <v>10927</v>
      </c>
      <c r="B9634" t="s">
        <v>4060</v>
      </c>
      <c r="C9634" t="s">
        <v>198</v>
      </c>
      <c r="D9634" t="str">
        <f>HYPERLINK("http://service.sap.com/sap/support/notes/1862406","1862406")</f>
        <v>1862406</v>
      </c>
      <c r="E9634">
        <v>1</v>
      </c>
      <c r="F9634" t="s">
        <v>10911</v>
      </c>
    </row>
    <row r="9635" spans="1:6" x14ac:dyDescent="0.25">
      <c r="A9635" t="s">
        <v>10927</v>
      </c>
      <c r="B9635" t="s">
        <v>4060</v>
      </c>
      <c r="C9635" t="s">
        <v>198</v>
      </c>
      <c r="D9635" t="str">
        <f>HYPERLINK("http://service.sap.com/sap/support/notes/1862870","1862870")</f>
        <v>1862870</v>
      </c>
      <c r="E9635">
        <v>1</v>
      </c>
      <c r="F9635" t="s">
        <v>6389</v>
      </c>
    </row>
    <row r="9636" spans="1:6" x14ac:dyDescent="0.25">
      <c r="A9636" t="s">
        <v>10927</v>
      </c>
      <c r="B9636" t="s">
        <v>4060</v>
      </c>
      <c r="C9636" t="s">
        <v>198</v>
      </c>
      <c r="D9636" t="str">
        <f>HYPERLINK("http://service.sap.com/sap/support/notes/1863250","1863250")</f>
        <v>1863250</v>
      </c>
      <c r="E9636">
        <v>3</v>
      </c>
      <c r="F9636" t="s">
        <v>10912</v>
      </c>
    </row>
    <row r="9637" spans="1:6" x14ac:dyDescent="0.25">
      <c r="A9637" t="s">
        <v>10927</v>
      </c>
      <c r="B9637" t="s">
        <v>4060</v>
      </c>
      <c r="C9637" t="s">
        <v>198</v>
      </c>
      <c r="D9637" t="str">
        <f>HYPERLINK("http://service.sap.com/sap/support/notes/1864470","1864470")</f>
        <v>1864470</v>
      </c>
      <c r="E9637">
        <v>3</v>
      </c>
      <c r="F9637" t="s">
        <v>10913</v>
      </c>
    </row>
    <row r="9638" spans="1:6" x14ac:dyDescent="0.25">
      <c r="A9638" t="s">
        <v>10927</v>
      </c>
      <c r="B9638" t="s">
        <v>4060</v>
      </c>
      <c r="C9638" t="s">
        <v>198</v>
      </c>
      <c r="D9638" t="str">
        <f>HYPERLINK("http://service.sap.com/sap/support/notes/1864989","1864989")</f>
        <v>1864989</v>
      </c>
      <c r="E9638">
        <v>2</v>
      </c>
      <c r="F9638" t="s">
        <v>10914</v>
      </c>
    </row>
    <row r="9639" spans="1:6" x14ac:dyDescent="0.25">
      <c r="A9639" t="s">
        <v>10927</v>
      </c>
      <c r="B9639" t="s">
        <v>4060</v>
      </c>
      <c r="C9639" t="s">
        <v>198</v>
      </c>
      <c r="D9639" t="str">
        <f>HYPERLINK("http://service.sap.com/sap/support/notes/1865162","1865162")</f>
        <v>1865162</v>
      </c>
      <c r="E9639">
        <v>3</v>
      </c>
      <c r="F9639" t="s">
        <v>10915</v>
      </c>
    </row>
    <row r="9640" spans="1:6" x14ac:dyDescent="0.25">
      <c r="A9640" t="s">
        <v>10927</v>
      </c>
      <c r="B9640" t="s">
        <v>4142</v>
      </c>
      <c r="C9640" t="s">
        <v>2999</v>
      </c>
      <c r="D9640" t="str">
        <f>HYPERLINK("http://service.sap.com/sap/support/notes/1834323","1834323")</f>
        <v>1834323</v>
      </c>
      <c r="E9640">
        <v>3</v>
      </c>
      <c r="F9640" t="s">
        <v>10916</v>
      </c>
    </row>
    <row r="9641" spans="1:6" x14ac:dyDescent="0.25">
      <c r="A9641" t="s">
        <v>10927</v>
      </c>
      <c r="B9641" t="s">
        <v>4142</v>
      </c>
      <c r="C9641" t="s">
        <v>2999</v>
      </c>
      <c r="D9641" t="str">
        <f>HYPERLINK("http://service.sap.com/sap/support/notes/1856167","1856167")</f>
        <v>1856167</v>
      </c>
      <c r="E9641">
        <v>3</v>
      </c>
      <c r="F9641" t="s">
        <v>10917</v>
      </c>
    </row>
    <row r="9642" spans="1:6" x14ac:dyDescent="0.25">
      <c r="A9642" t="s">
        <v>10927</v>
      </c>
      <c r="B9642" t="s">
        <v>4142</v>
      </c>
      <c r="C9642" t="s">
        <v>2999</v>
      </c>
      <c r="D9642" t="str">
        <f>HYPERLINK("http://service.sap.com/sap/support/notes/1859566","1859566")</f>
        <v>1859566</v>
      </c>
      <c r="E9642">
        <v>2</v>
      </c>
      <c r="F9642" t="s">
        <v>10918</v>
      </c>
    </row>
    <row r="9643" spans="1:6" x14ac:dyDescent="0.25">
      <c r="A9643" t="s">
        <v>10927</v>
      </c>
      <c r="B9643" t="s">
        <v>4147</v>
      </c>
      <c r="C9643" t="s">
        <v>4148</v>
      </c>
    </row>
    <row r="9644" spans="1:6" x14ac:dyDescent="0.25">
      <c r="A9644" t="s">
        <v>10927</v>
      </c>
      <c r="B9644" t="s">
        <v>8944</v>
      </c>
      <c r="C9644" t="s">
        <v>3698</v>
      </c>
      <c r="D9644" t="str">
        <f>HYPERLINK("http://service.sap.com/sap/support/notes/1819244","1819244")</f>
        <v>1819244</v>
      </c>
      <c r="E9644">
        <v>2</v>
      </c>
      <c r="F9644" t="s">
        <v>8946</v>
      </c>
    </row>
    <row r="9645" spans="1:6" x14ac:dyDescent="0.25">
      <c r="A9645" t="s">
        <v>10927</v>
      </c>
      <c r="B9645" t="s">
        <v>4154</v>
      </c>
      <c r="C9645" t="s">
        <v>4155</v>
      </c>
    </row>
    <row r="9646" spans="1:6" x14ac:dyDescent="0.25">
      <c r="A9646" t="s">
        <v>10927</v>
      </c>
      <c r="B9646" t="s">
        <v>4156</v>
      </c>
      <c r="C9646" t="s">
        <v>4157</v>
      </c>
      <c r="D9646" t="str">
        <f>HYPERLINK("http://service.sap.com/sap/support/notes/1820043","1820043")</f>
        <v>1820043</v>
      </c>
      <c r="E9646">
        <v>1</v>
      </c>
      <c r="F9646" t="s">
        <v>10919</v>
      </c>
    </row>
    <row r="9647" spans="1:6" x14ac:dyDescent="0.25">
      <c r="A9647" t="s">
        <v>10927</v>
      </c>
      <c r="B9647" t="s">
        <v>4163</v>
      </c>
      <c r="C9647" t="s">
        <v>4164</v>
      </c>
      <c r="D9647" t="str">
        <f>HYPERLINK("http://service.sap.com/sap/support/notes/1826433","1826433")</f>
        <v>1826433</v>
      </c>
      <c r="E9647">
        <v>2</v>
      </c>
      <c r="F9647" t="s">
        <v>10920</v>
      </c>
    </row>
    <row r="9648" spans="1:6" x14ac:dyDescent="0.25">
      <c r="A9648" t="s">
        <v>10927</v>
      </c>
      <c r="B9648" t="s">
        <v>10921</v>
      </c>
      <c r="C9648" t="s">
        <v>10922</v>
      </c>
      <c r="D9648" t="str">
        <f>HYPERLINK("http://service.sap.com/sap/support/notes/1248667","1248667")</f>
        <v>1248667</v>
      </c>
      <c r="E9648">
        <v>4</v>
      </c>
      <c r="F9648" t="s">
        <v>10923</v>
      </c>
    </row>
    <row r="9649" spans="1:6" x14ac:dyDescent="0.25">
      <c r="A9649" t="s">
        <v>10927</v>
      </c>
      <c r="B9649" t="s">
        <v>4171</v>
      </c>
      <c r="C9649" t="s">
        <v>4172</v>
      </c>
      <c r="D9649" t="str">
        <f>HYPERLINK("http://service.sap.com/sap/support/notes/1812288","1812288")</f>
        <v>1812288</v>
      </c>
      <c r="E9649">
        <v>3</v>
      </c>
      <c r="F9649" t="s">
        <v>10924</v>
      </c>
    </row>
    <row r="9650" spans="1:6" x14ac:dyDescent="0.25">
      <c r="A9650" t="s">
        <v>10927</v>
      </c>
      <c r="B9650" t="s">
        <v>4175</v>
      </c>
      <c r="C9650" t="s">
        <v>4176</v>
      </c>
    </row>
    <row r="9651" spans="1:6" x14ac:dyDescent="0.25">
      <c r="A9651" t="s">
        <v>10927</v>
      </c>
      <c r="B9651" t="s">
        <v>4177</v>
      </c>
      <c r="C9651" t="s">
        <v>4178</v>
      </c>
      <c r="D9651" t="str">
        <f>HYPERLINK("http://service.sap.com/sap/support/notes/1853205","1853205")</f>
        <v>1853205</v>
      </c>
      <c r="E9651">
        <v>2</v>
      </c>
      <c r="F9651" t="s">
        <v>10925</v>
      </c>
    </row>
    <row r="9652" spans="1:6" x14ac:dyDescent="0.25">
      <c r="A9652" t="s">
        <v>10927</v>
      </c>
      <c r="B9652" t="s">
        <v>72</v>
      </c>
      <c r="C9652" t="s">
        <v>73</v>
      </c>
    </row>
    <row r="9653" spans="1:6" x14ac:dyDescent="0.25">
      <c r="A9653" t="s">
        <v>10927</v>
      </c>
      <c r="B9653" t="s">
        <v>74</v>
      </c>
      <c r="C9653" t="s">
        <v>75</v>
      </c>
    </row>
    <row r="9654" spans="1:6" x14ac:dyDescent="0.25">
      <c r="A9654" t="s">
        <v>10927</v>
      </c>
      <c r="B9654" t="s">
        <v>76</v>
      </c>
      <c r="C9654" t="s">
        <v>77</v>
      </c>
      <c r="D9654" t="str">
        <f>HYPERLINK("http://service.sap.com/sap/support/notes/1834048","1834048")</f>
        <v>1834048</v>
      </c>
      <c r="E9654">
        <v>3</v>
      </c>
      <c r="F9654" t="s">
        <v>10926</v>
      </c>
    </row>
    <row r="9655" spans="1:6" x14ac:dyDescent="0.25">
      <c r="A9655" t="s">
        <v>13142</v>
      </c>
      <c r="B9655" t="s">
        <v>128</v>
      </c>
      <c r="C9655" t="s">
        <v>129</v>
      </c>
    </row>
    <row r="9656" spans="1:6" x14ac:dyDescent="0.25">
      <c r="A9656" t="s">
        <v>13142</v>
      </c>
      <c r="B9656" t="s">
        <v>130</v>
      </c>
      <c r="C9656" t="s">
        <v>131</v>
      </c>
      <c r="D9656" t="str">
        <f>HYPERLINK("http://service.sap.com/sap/support/notes/1897514","1897514")</f>
        <v>1897514</v>
      </c>
      <c r="E9656">
        <v>1</v>
      </c>
      <c r="F9656" t="s">
        <v>13141</v>
      </c>
    </row>
    <row r="9657" spans="1:6" x14ac:dyDescent="0.25">
      <c r="A9657" t="s">
        <v>13142</v>
      </c>
      <c r="B9657" t="s">
        <v>130</v>
      </c>
      <c r="C9657" t="s">
        <v>131</v>
      </c>
      <c r="D9657" t="str">
        <f>HYPERLINK("http://service.sap.com/sap/support/notes/1902869","1902869")</f>
        <v>1902869</v>
      </c>
      <c r="E9657">
        <v>1</v>
      </c>
      <c r="F9657" t="s">
        <v>13140</v>
      </c>
    </row>
    <row r="9658" spans="1:6" x14ac:dyDescent="0.25">
      <c r="A9658" t="s">
        <v>13142</v>
      </c>
      <c r="B9658" t="s">
        <v>139</v>
      </c>
      <c r="C9658" t="s">
        <v>140</v>
      </c>
      <c r="D9658" t="str">
        <f>HYPERLINK("http://service.sap.com/sap/support/notes/1862454","1862454")</f>
        <v>1862454</v>
      </c>
      <c r="E9658">
        <v>2</v>
      </c>
      <c r="F9658" t="s">
        <v>13139</v>
      </c>
    </row>
    <row r="9659" spans="1:6" x14ac:dyDescent="0.25">
      <c r="A9659" t="s">
        <v>13142</v>
      </c>
      <c r="B9659" t="s">
        <v>139</v>
      </c>
      <c r="C9659" t="s">
        <v>140</v>
      </c>
      <c r="D9659" t="str">
        <f>HYPERLINK("http://service.sap.com/sap/support/notes/1869159","1869159")</f>
        <v>1869159</v>
      </c>
      <c r="E9659">
        <v>1</v>
      </c>
      <c r="F9659" t="s">
        <v>13138</v>
      </c>
    </row>
    <row r="9660" spans="1:6" x14ac:dyDescent="0.25">
      <c r="A9660" t="s">
        <v>13142</v>
      </c>
      <c r="B9660" t="s">
        <v>139</v>
      </c>
      <c r="C9660" t="s">
        <v>140</v>
      </c>
      <c r="D9660" t="str">
        <f>HYPERLINK("http://service.sap.com/sap/support/notes/1873541","1873541")</f>
        <v>1873541</v>
      </c>
      <c r="E9660">
        <v>1</v>
      </c>
      <c r="F9660" t="s">
        <v>13137</v>
      </c>
    </row>
    <row r="9661" spans="1:6" x14ac:dyDescent="0.25">
      <c r="A9661" t="s">
        <v>13142</v>
      </c>
      <c r="B9661" t="s">
        <v>139</v>
      </c>
      <c r="C9661" t="s">
        <v>140</v>
      </c>
      <c r="D9661" t="str">
        <f>HYPERLINK("http://service.sap.com/sap/support/notes/1873723","1873723")</f>
        <v>1873723</v>
      </c>
      <c r="E9661">
        <v>1</v>
      </c>
      <c r="F9661" t="s">
        <v>13136</v>
      </c>
    </row>
    <row r="9662" spans="1:6" x14ac:dyDescent="0.25">
      <c r="A9662" t="s">
        <v>13142</v>
      </c>
      <c r="B9662" t="s">
        <v>139</v>
      </c>
      <c r="C9662" t="s">
        <v>140</v>
      </c>
      <c r="D9662" t="str">
        <f>HYPERLINK("http://service.sap.com/sap/support/notes/1875644","1875644")</f>
        <v>1875644</v>
      </c>
      <c r="E9662">
        <v>4</v>
      </c>
      <c r="F9662" t="s">
        <v>13135</v>
      </c>
    </row>
    <row r="9663" spans="1:6" x14ac:dyDescent="0.25">
      <c r="A9663" t="s">
        <v>13142</v>
      </c>
      <c r="B9663" t="s">
        <v>139</v>
      </c>
      <c r="C9663" t="s">
        <v>140</v>
      </c>
      <c r="D9663" t="str">
        <f>HYPERLINK("http://service.sap.com/sap/support/notes/1890143","1890143")</f>
        <v>1890143</v>
      </c>
      <c r="E9663">
        <v>2</v>
      </c>
      <c r="F9663" t="s">
        <v>13134</v>
      </c>
    </row>
    <row r="9664" spans="1:6" x14ac:dyDescent="0.25">
      <c r="A9664" t="s">
        <v>13142</v>
      </c>
      <c r="B9664" t="s">
        <v>139</v>
      </c>
      <c r="C9664" t="s">
        <v>140</v>
      </c>
      <c r="D9664" t="str">
        <f>HYPERLINK("http://service.sap.com/sap/support/notes/1891435","1891435")</f>
        <v>1891435</v>
      </c>
      <c r="E9664">
        <v>1</v>
      </c>
      <c r="F9664" t="s">
        <v>13133</v>
      </c>
    </row>
    <row r="9665" spans="1:6" x14ac:dyDescent="0.25">
      <c r="A9665" t="s">
        <v>13142</v>
      </c>
      <c r="B9665" t="s">
        <v>139</v>
      </c>
      <c r="C9665" t="s">
        <v>140</v>
      </c>
      <c r="D9665" t="str">
        <f>HYPERLINK("http://service.sap.com/sap/support/notes/1899789","1899789")</f>
        <v>1899789</v>
      </c>
      <c r="E9665">
        <v>2</v>
      </c>
      <c r="F9665" t="s">
        <v>13132</v>
      </c>
    </row>
    <row r="9666" spans="1:6" x14ac:dyDescent="0.25">
      <c r="A9666" t="s">
        <v>13142</v>
      </c>
      <c r="B9666" t="s">
        <v>144</v>
      </c>
      <c r="C9666" t="s">
        <v>145</v>
      </c>
      <c r="D9666" t="str">
        <f>HYPERLINK("http://service.sap.com/sap/support/notes/1850794","1850794")</f>
        <v>1850794</v>
      </c>
      <c r="E9666">
        <v>2</v>
      </c>
      <c r="F9666" t="s">
        <v>13131</v>
      </c>
    </row>
    <row r="9667" spans="1:6" x14ac:dyDescent="0.25">
      <c r="A9667" t="s">
        <v>13142</v>
      </c>
      <c r="B9667" t="s">
        <v>144</v>
      </c>
      <c r="C9667" t="s">
        <v>145</v>
      </c>
      <c r="D9667" t="str">
        <f>HYPERLINK("http://service.sap.com/sap/support/notes/1851146","1851146")</f>
        <v>1851146</v>
      </c>
      <c r="E9667">
        <v>3</v>
      </c>
      <c r="F9667" t="s">
        <v>13130</v>
      </c>
    </row>
    <row r="9668" spans="1:6" x14ac:dyDescent="0.25">
      <c r="A9668" t="s">
        <v>13142</v>
      </c>
      <c r="B9668" t="s">
        <v>5</v>
      </c>
      <c r="C9668" t="s">
        <v>6</v>
      </c>
    </row>
    <row r="9669" spans="1:6" x14ac:dyDescent="0.25">
      <c r="A9669" t="s">
        <v>13142</v>
      </c>
      <c r="B9669" t="s">
        <v>28</v>
      </c>
      <c r="C9669" t="s">
        <v>29</v>
      </c>
    </row>
    <row r="9670" spans="1:6" x14ac:dyDescent="0.25">
      <c r="A9670" t="s">
        <v>13142</v>
      </c>
      <c r="B9670" t="s">
        <v>150</v>
      </c>
      <c r="C9670" t="s">
        <v>151</v>
      </c>
    </row>
    <row r="9671" spans="1:6" x14ac:dyDescent="0.25">
      <c r="A9671" t="s">
        <v>13142</v>
      </c>
      <c r="B9671" t="s">
        <v>152</v>
      </c>
      <c r="C9671" t="s">
        <v>153</v>
      </c>
      <c r="D9671" t="str">
        <f>HYPERLINK("http://service.sap.com/sap/support/notes/1887042","1887042")</f>
        <v>1887042</v>
      </c>
      <c r="E9671">
        <v>1</v>
      </c>
      <c r="F9671" t="s">
        <v>13129</v>
      </c>
    </row>
    <row r="9672" spans="1:6" x14ac:dyDescent="0.25">
      <c r="A9672" t="s">
        <v>13142</v>
      </c>
      <c r="B9672" t="s">
        <v>125</v>
      </c>
      <c r="C9672" t="s">
        <v>126</v>
      </c>
    </row>
    <row r="9673" spans="1:6" x14ac:dyDescent="0.25">
      <c r="A9673" t="s">
        <v>13142</v>
      </c>
      <c r="B9673" t="s">
        <v>159</v>
      </c>
      <c r="C9673" t="s">
        <v>160</v>
      </c>
      <c r="D9673" t="str">
        <f>HYPERLINK("http://service.sap.com/sap/support/notes/1866654","1866654")</f>
        <v>1866654</v>
      </c>
      <c r="E9673">
        <v>2</v>
      </c>
      <c r="F9673" t="s">
        <v>13128</v>
      </c>
    </row>
    <row r="9674" spans="1:6" x14ac:dyDescent="0.25">
      <c r="A9674" t="s">
        <v>13142</v>
      </c>
      <c r="B9674" t="s">
        <v>159</v>
      </c>
      <c r="C9674" t="s">
        <v>160</v>
      </c>
      <c r="D9674" t="str">
        <f>HYPERLINK("http://service.sap.com/sap/support/notes/1869885","1869885")</f>
        <v>1869885</v>
      </c>
      <c r="E9674">
        <v>2</v>
      </c>
      <c r="F9674" t="s">
        <v>13127</v>
      </c>
    </row>
    <row r="9675" spans="1:6" x14ac:dyDescent="0.25">
      <c r="A9675" t="s">
        <v>13142</v>
      </c>
      <c r="B9675" t="s">
        <v>159</v>
      </c>
      <c r="C9675" t="s">
        <v>160</v>
      </c>
      <c r="D9675" t="str">
        <f>HYPERLINK("http://service.sap.com/sap/support/notes/1890396","1890396")</f>
        <v>1890396</v>
      </c>
      <c r="E9675">
        <v>2</v>
      </c>
      <c r="F9675" t="s">
        <v>13126</v>
      </c>
    </row>
    <row r="9676" spans="1:6" x14ac:dyDescent="0.25">
      <c r="A9676" t="s">
        <v>13142</v>
      </c>
      <c r="B9676" t="s">
        <v>159</v>
      </c>
      <c r="C9676" t="s">
        <v>160</v>
      </c>
      <c r="D9676" t="str">
        <f>HYPERLINK("http://service.sap.com/sap/support/notes/1903708","1903708")</f>
        <v>1903708</v>
      </c>
      <c r="E9676">
        <v>1</v>
      </c>
      <c r="F9676" t="s">
        <v>13125</v>
      </c>
    </row>
    <row r="9677" spans="1:6" x14ac:dyDescent="0.25">
      <c r="A9677" t="s">
        <v>13142</v>
      </c>
      <c r="B9677" t="s">
        <v>164</v>
      </c>
      <c r="C9677" t="s">
        <v>165</v>
      </c>
    </row>
    <row r="9678" spans="1:6" x14ac:dyDescent="0.25">
      <c r="A9678" t="s">
        <v>13142</v>
      </c>
      <c r="B9678" t="s">
        <v>166</v>
      </c>
      <c r="C9678" t="s">
        <v>167</v>
      </c>
    </row>
    <row r="9679" spans="1:6" x14ac:dyDescent="0.25">
      <c r="A9679" t="s">
        <v>13142</v>
      </c>
      <c r="B9679" t="s">
        <v>6472</v>
      </c>
      <c r="C9679" t="s">
        <v>6473</v>
      </c>
      <c r="D9679" t="str">
        <f>HYPERLINK("http://service.sap.com/sap/support/notes/1863278","1863278")</f>
        <v>1863278</v>
      </c>
      <c r="E9679">
        <v>3</v>
      </c>
      <c r="F9679" t="s">
        <v>13124</v>
      </c>
    </row>
    <row r="9680" spans="1:6" x14ac:dyDescent="0.25">
      <c r="A9680" t="s">
        <v>13142</v>
      </c>
      <c r="B9680" t="s">
        <v>168</v>
      </c>
      <c r="C9680" t="s">
        <v>169</v>
      </c>
    </row>
    <row r="9681" spans="1:6" x14ac:dyDescent="0.25">
      <c r="A9681" t="s">
        <v>13142</v>
      </c>
      <c r="B9681" t="s">
        <v>170</v>
      </c>
      <c r="C9681" t="s">
        <v>171</v>
      </c>
      <c r="D9681" t="str">
        <f>HYPERLINK("http://service.sap.com/sap/support/notes/1103920","1103920")</f>
        <v>1103920</v>
      </c>
      <c r="E9681">
        <v>6</v>
      </c>
      <c r="F9681" t="s">
        <v>13123</v>
      </c>
    </row>
    <row r="9682" spans="1:6" x14ac:dyDescent="0.25">
      <c r="A9682" t="s">
        <v>13142</v>
      </c>
      <c r="B9682" t="s">
        <v>170</v>
      </c>
      <c r="C9682" t="s">
        <v>171</v>
      </c>
      <c r="D9682" t="str">
        <f>HYPERLINK("http://service.sap.com/sap/support/notes/1836781","1836781")</f>
        <v>1836781</v>
      </c>
      <c r="E9682">
        <v>5</v>
      </c>
      <c r="F9682" t="s">
        <v>13122</v>
      </c>
    </row>
    <row r="9683" spans="1:6" x14ac:dyDescent="0.25">
      <c r="A9683" t="s">
        <v>13142</v>
      </c>
      <c r="B9683" t="s">
        <v>170</v>
      </c>
      <c r="C9683" t="s">
        <v>171</v>
      </c>
      <c r="D9683" t="str">
        <f>HYPERLINK("http://service.sap.com/sap/support/notes/1849925","1849925")</f>
        <v>1849925</v>
      </c>
      <c r="E9683">
        <v>4</v>
      </c>
      <c r="F9683" t="s">
        <v>13121</v>
      </c>
    </row>
    <row r="9684" spans="1:6" x14ac:dyDescent="0.25">
      <c r="A9684" t="s">
        <v>13142</v>
      </c>
      <c r="B9684" t="s">
        <v>170</v>
      </c>
      <c r="C9684" t="s">
        <v>171</v>
      </c>
      <c r="D9684" t="str">
        <f>HYPERLINK("http://service.sap.com/sap/support/notes/1879812","1879812")</f>
        <v>1879812</v>
      </c>
      <c r="E9684">
        <v>1</v>
      </c>
      <c r="F9684" t="s">
        <v>13120</v>
      </c>
    </row>
    <row r="9685" spans="1:6" x14ac:dyDescent="0.25">
      <c r="A9685" t="s">
        <v>13142</v>
      </c>
      <c r="B9685" t="s">
        <v>170</v>
      </c>
      <c r="C9685" t="s">
        <v>171</v>
      </c>
      <c r="D9685" t="str">
        <f>HYPERLINK("http://service.sap.com/sap/support/notes/1888468","1888468")</f>
        <v>1888468</v>
      </c>
      <c r="E9685">
        <v>3</v>
      </c>
      <c r="F9685" t="s">
        <v>13119</v>
      </c>
    </row>
    <row r="9686" spans="1:6" x14ac:dyDescent="0.25">
      <c r="A9686" t="s">
        <v>13142</v>
      </c>
      <c r="B9686" t="s">
        <v>175</v>
      </c>
      <c r="C9686" t="s">
        <v>176</v>
      </c>
    </row>
    <row r="9687" spans="1:6" x14ac:dyDescent="0.25">
      <c r="A9687" t="s">
        <v>13142</v>
      </c>
      <c r="B9687" t="s">
        <v>177</v>
      </c>
      <c r="C9687" t="s">
        <v>178</v>
      </c>
    </row>
    <row r="9688" spans="1:6" x14ac:dyDescent="0.25">
      <c r="A9688" t="s">
        <v>13142</v>
      </c>
      <c r="B9688" t="s">
        <v>182</v>
      </c>
      <c r="C9688" t="s">
        <v>183</v>
      </c>
    </row>
    <row r="9689" spans="1:6" x14ac:dyDescent="0.25">
      <c r="A9689" t="s">
        <v>13142</v>
      </c>
      <c r="B9689" t="s">
        <v>184</v>
      </c>
      <c r="C9689" t="s">
        <v>185</v>
      </c>
      <c r="D9689" t="str">
        <f>HYPERLINK("http://service.sap.com/sap/support/notes/1864096","1864096")</f>
        <v>1864096</v>
      </c>
      <c r="E9689">
        <v>5</v>
      </c>
      <c r="F9689" t="s">
        <v>13118</v>
      </c>
    </row>
    <row r="9690" spans="1:6" x14ac:dyDescent="0.25">
      <c r="A9690" t="s">
        <v>13142</v>
      </c>
      <c r="B9690" t="s">
        <v>184</v>
      </c>
      <c r="C9690" t="s">
        <v>185</v>
      </c>
      <c r="D9690" t="str">
        <f>HYPERLINK("http://service.sap.com/sap/support/notes/1887608","1887608")</f>
        <v>1887608</v>
      </c>
      <c r="E9690">
        <v>3</v>
      </c>
      <c r="F9690" t="s">
        <v>13117</v>
      </c>
    </row>
    <row r="9691" spans="1:6" x14ac:dyDescent="0.25">
      <c r="A9691" t="s">
        <v>13142</v>
      </c>
      <c r="B9691" t="s">
        <v>192</v>
      </c>
      <c r="C9691" t="s">
        <v>193</v>
      </c>
      <c r="D9691" t="str">
        <f>HYPERLINK("http://service.sap.com/sap/support/notes/1864605","1864605")</f>
        <v>1864605</v>
      </c>
      <c r="E9691">
        <v>1</v>
      </c>
      <c r="F9691" t="s">
        <v>13116</v>
      </c>
    </row>
    <row r="9692" spans="1:6" x14ac:dyDescent="0.25">
      <c r="A9692" t="s">
        <v>13142</v>
      </c>
      <c r="B9692" t="s">
        <v>192</v>
      </c>
      <c r="C9692" t="s">
        <v>193</v>
      </c>
      <c r="D9692" t="str">
        <f>HYPERLINK("http://service.sap.com/sap/support/notes/1874723","1874723")</f>
        <v>1874723</v>
      </c>
      <c r="E9692">
        <v>1</v>
      </c>
      <c r="F9692" t="s">
        <v>13115</v>
      </c>
    </row>
    <row r="9693" spans="1:6" x14ac:dyDescent="0.25">
      <c r="A9693" t="s">
        <v>13142</v>
      </c>
      <c r="B9693" t="s">
        <v>192</v>
      </c>
      <c r="C9693" t="s">
        <v>193</v>
      </c>
      <c r="D9693" t="str">
        <f>HYPERLINK("http://service.sap.com/sap/support/notes/1889997","1889997")</f>
        <v>1889997</v>
      </c>
      <c r="E9693">
        <v>1</v>
      </c>
      <c r="F9693" t="s">
        <v>13114</v>
      </c>
    </row>
    <row r="9694" spans="1:6" x14ac:dyDescent="0.25">
      <c r="A9694" t="s">
        <v>13142</v>
      </c>
      <c r="B9694" t="s">
        <v>197</v>
      </c>
      <c r="C9694" t="s">
        <v>198</v>
      </c>
    </row>
    <row r="9695" spans="1:6" x14ac:dyDescent="0.25">
      <c r="A9695" t="s">
        <v>13142</v>
      </c>
      <c r="B9695" t="s">
        <v>200</v>
      </c>
      <c r="C9695" t="s">
        <v>201</v>
      </c>
      <c r="D9695" t="str">
        <f>HYPERLINK("http://service.sap.com/sap/support/notes/1742981","1742981")</f>
        <v>1742981</v>
      </c>
      <c r="E9695">
        <v>2</v>
      </c>
      <c r="F9695" t="s">
        <v>13113</v>
      </c>
    </row>
    <row r="9696" spans="1:6" x14ac:dyDescent="0.25">
      <c r="A9696" t="s">
        <v>13142</v>
      </c>
      <c r="B9696" t="s">
        <v>200</v>
      </c>
      <c r="C9696" t="s">
        <v>201</v>
      </c>
      <c r="D9696" t="str">
        <f>HYPERLINK("http://service.sap.com/sap/support/notes/1879098","1879098")</f>
        <v>1879098</v>
      </c>
      <c r="E9696">
        <v>2</v>
      </c>
    </row>
    <row r="9697" spans="1:6" x14ac:dyDescent="0.25">
      <c r="A9697" t="s">
        <v>13142</v>
      </c>
      <c r="B9697" t="s">
        <v>200</v>
      </c>
      <c r="C9697" t="s">
        <v>201</v>
      </c>
      <c r="D9697" t="str">
        <f>HYPERLINK("http://service.sap.com/sap/support/notes/1881747","1881747")</f>
        <v>1881747</v>
      </c>
      <c r="E9697">
        <v>1</v>
      </c>
    </row>
    <row r="9698" spans="1:6" x14ac:dyDescent="0.25">
      <c r="A9698" t="s">
        <v>13142</v>
      </c>
      <c r="B9698" t="s">
        <v>206</v>
      </c>
      <c r="C9698" t="s">
        <v>207</v>
      </c>
      <c r="D9698" t="str">
        <f>HYPERLINK("http://service.sap.com/sap/support/notes/1425166","1425166")</f>
        <v>1425166</v>
      </c>
      <c r="E9698">
        <v>6</v>
      </c>
      <c r="F9698" t="s">
        <v>13112</v>
      </c>
    </row>
    <row r="9699" spans="1:6" x14ac:dyDescent="0.25">
      <c r="A9699" t="s">
        <v>13142</v>
      </c>
      <c r="B9699" t="s">
        <v>206</v>
      </c>
      <c r="C9699" t="s">
        <v>207</v>
      </c>
      <c r="D9699" t="str">
        <f>HYPERLINK("http://service.sap.com/sap/support/notes/1799276","1799276")</f>
        <v>1799276</v>
      </c>
      <c r="E9699">
        <v>3</v>
      </c>
      <c r="F9699" t="s">
        <v>13111</v>
      </c>
    </row>
    <row r="9700" spans="1:6" x14ac:dyDescent="0.25">
      <c r="A9700" t="s">
        <v>13142</v>
      </c>
      <c r="B9700" t="s">
        <v>206</v>
      </c>
      <c r="C9700" t="s">
        <v>207</v>
      </c>
      <c r="D9700" t="str">
        <f>HYPERLINK("http://service.sap.com/sap/support/notes/1870096","1870096")</f>
        <v>1870096</v>
      </c>
      <c r="E9700">
        <v>3</v>
      </c>
      <c r="F9700" t="s">
        <v>13110</v>
      </c>
    </row>
    <row r="9701" spans="1:6" x14ac:dyDescent="0.25">
      <c r="A9701" t="s">
        <v>13142</v>
      </c>
      <c r="B9701" t="s">
        <v>206</v>
      </c>
      <c r="C9701" t="s">
        <v>207</v>
      </c>
      <c r="D9701" t="str">
        <f>HYPERLINK("http://service.sap.com/sap/support/notes/1878554","1878554")</f>
        <v>1878554</v>
      </c>
      <c r="E9701">
        <v>1</v>
      </c>
      <c r="F9701" t="s">
        <v>13109</v>
      </c>
    </row>
    <row r="9702" spans="1:6" x14ac:dyDescent="0.25">
      <c r="A9702" t="s">
        <v>13142</v>
      </c>
      <c r="B9702" t="s">
        <v>206</v>
      </c>
      <c r="C9702" t="s">
        <v>207</v>
      </c>
      <c r="D9702" t="str">
        <f>HYPERLINK("http://service.sap.com/sap/support/notes/1890754","1890754")</f>
        <v>1890754</v>
      </c>
      <c r="E9702">
        <v>1</v>
      </c>
      <c r="F9702" t="s">
        <v>13108</v>
      </c>
    </row>
    <row r="9703" spans="1:6" x14ac:dyDescent="0.25">
      <c r="A9703" t="s">
        <v>13142</v>
      </c>
      <c r="B9703" t="s">
        <v>209</v>
      </c>
      <c r="C9703" t="s">
        <v>210</v>
      </c>
    </row>
    <row r="9704" spans="1:6" x14ac:dyDescent="0.25">
      <c r="A9704" t="s">
        <v>13142</v>
      </c>
      <c r="B9704" t="s">
        <v>214</v>
      </c>
      <c r="C9704" t="s">
        <v>215</v>
      </c>
      <c r="D9704" t="str">
        <f>HYPERLINK("http://service.sap.com/sap/support/notes/1870981","1870981")</f>
        <v>1870981</v>
      </c>
      <c r="E9704">
        <v>1</v>
      </c>
    </row>
    <row r="9705" spans="1:6" x14ac:dyDescent="0.25">
      <c r="A9705" t="s">
        <v>13142</v>
      </c>
      <c r="B9705" t="s">
        <v>214</v>
      </c>
      <c r="C9705" t="s">
        <v>215</v>
      </c>
      <c r="D9705" t="str">
        <f>HYPERLINK("http://service.sap.com/sap/support/notes/1871229","1871229")</f>
        <v>1871229</v>
      </c>
      <c r="E9705">
        <v>1</v>
      </c>
      <c r="F9705" t="s">
        <v>13107</v>
      </c>
    </row>
    <row r="9706" spans="1:6" x14ac:dyDescent="0.25">
      <c r="A9706" t="s">
        <v>13142</v>
      </c>
      <c r="B9706" t="s">
        <v>214</v>
      </c>
      <c r="C9706" t="s">
        <v>215</v>
      </c>
      <c r="D9706" t="str">
        <f>HYPERLINK("http://service.sap.com/sap/support/notes/1871630","1871630")</f>
        <v>1871630</v>
      </c>
      <c r="E9706">
        <v>1</v>
      </c>
      <c r="F9706" t="s">
        <v>13106</v>
      </c>
    </row>
    <row r="9707" spans="1:6" x14ac:dyDescent="0.25">
      <c r="A9707" t="s">
        <v>13142</v>
      </c>
      <c r="B9707" t="s">
        <v>214</v>
      </c>
      <c r="C9707" t="s">
        <v>215</v>
      </c>
      <c r="D9707" t="str">
        <f>HYPERLINK("http://service.sap.com/sap/support/notes/1871983","1871983")</f>
        <v>1871983</v>
      </c>
      <c r="E9707">
        <v>1</v>
      </c>
    </row>
    <row r="9708" spans="1:6" x14ac:dyDescent="0.25">
      <c r="A9708" t="s">
        <v>13142</v>
      </c>
      <c r="B9708" t="s">
        <v>214</v>
      </c>
      <c r="C9708" t="s">
        <v>215</v>
      </c>
      <c r="D9708" t="str">
        <f>HYPERLINK("http://service.sap.com/sap/support/notes/1873095","1873095")</f>
        <v>1873095</v>
      </c>
      <c r="E9708">
        <v>1</v>
      </c>
    </row>
    <row r="9709" spans="1:6" x14ac:dyDescent="0.25">
      <c r="A9709" t="s">
        <v>13142</v>
      </c>
      <c r="B9709" t="s">
        <v>214</v>
      </c>
      <c r="C9709" t="s">
        <v>215</v>
      </c>
      <c r="D9709" t="str">
        <f>HYPERLINK("http://service.sap.com/sap/support/notes/1873629","1873629")</f>
        <v>1873629</v>
      </c>
      <c r="E9709">
        <v>1</v>
      </c>
      <c r="F9709" t="s">
        <v>13105</v>
      </c>
    </row>
    <row r="9710" spans="1:6" x14ac:dyDescent="0.25">
      <c r="A9710" t="s">
        <v>13142</v>
      </c>
      <c r="B9710" t="s">
        <v>214</v>
      </c>
      <c r="C9710" t="s">
        <v>215</v>
      </c>
      <c r="D9710" t="str">
        <f>HYPERLINK("http://service.sap.com/sap/support/notes/1874189","1874189")</f>
        <v>1874189</v>
      </c>
      <c r="E9710">
        <v>1</v>
      </c>
      <c r="F9710" t="s">
        <v>13104</v>
      </c>
    </row>
    <row r="9711" spans="1:6" x14ac:dyDescent="0.25">
      <c r="A9711" t="s">
        <v>13142</v>
      </c>
      <c r="B9711" t="s">
        <v>214</v>
      </c>
      <c r="C9711" t="s">
        <v>215</v>
      </c>
      <c r="D9711" t="str">
        <f>HYPERLINK("http://service.sap.com/sap/support/notes/1877672","1877672")</f>
        <v>1877672</v>
      </c>
      <c r="E9711">
        <v>1</v>
      </c>
      <c r="F9711" t="s">
        <v>13103</v>
      </c>
    </row>
    <row r="9712" spans="1:6" x14ac:dyDescent="0.25">
      <c r="A9712" t="s">
        <v>13142</v>
      </c>
      <c r="B9712" t="s">
        <v>214</v>
      </c>
      <c r="C9712" t="s">
        <v>215</v>
      </c>
      <c r="D9712" t="str">
        <f>HYPERLINK("http://service.sap.com/sap/support/notes/1877720","1877720")</f>
        <v>1877720</v>
      </c>
      <c r="E9712">
        <v>1</v>
      </c>
      <c r="F9712" t="s">
        <v>13102</v>
      </c>
    </row>
    <row r="9713" spans="1:6" x14ac:dyDescent="0.25">
      <c r="A9713" t="s">
        <v>13142</v>
      </c>
      <c r="B9713" t="s">
        <v>214</v>
      </c>
      <c r="C9713" t="s">
        <v>215</v>
      </c>
      <c r="D9713" t="str">
        <f>HYPERLINK("http://service.sap.com/sap/support/notes/1878029","1878029")</f>
        <v>1878029</v>
      </c>
      <c r="E9713">
        <v>1</v>
      </c>
      <c r="F9713" t="s">
        <v>13101</v>
      </c>
    </row>
    <row r="9714" spans="1:6" x14ac:dyDescent="0.25">
      <c r="A9714" t="s">
        <v>13142</v>
      </c>
      <c r="B9714" t="s">
        <v>214</v>
      </c>
      <c r="C9714" t="s">
        <v>215</v>
      </c>
      <c r="D9714" t="str">
        <f>HYPERLINK("http://service.sap.com/sap/support/notes/1878119","1878119")</f>
        <v>1878119</v>
      </c>
      <c r="E9714">
        <v>1</v>
      </c>
    </row>
    <row r="9715" spans="1:6" x14ac:dyDescent="0.25">
      <c r="A9715" t="s">
        <v>13142</v>
      </c>
      <c r="B9715" t="s">
        <v>214</v>
      </c>
      <c r="C9715" t="s">
        <v>215</v>
      </c>
      <c r="D9715" t="str">
        <f>HYPERLINK("http://service.sap.com/sap/support/notes/1878228","1878228")</f>
        <v>1878228</v>
      </c>
      <c r="E9715">
        <v>1</v>
      </c>
    </row>
    <row r="9716" spans="1:6" x14ac:dyDescent="0.25">
      <c r="A9716" t="s">
        <v>13142</v>
      </c>
      <c r="B9716" t="s">
        <v>214</v>
      </c>
      <c r="C9716" t="s">
        <v>215</v>
      </c>
      <c r="D9716" t="str">
        <f>HYPERLINK("http://service.sap.com/sap/support/notes/1878246","1878246")</f>
        <v>1878246</v>
      </c>
      <c r="E9716">
        <v>1</v>
      </c>
    </row>
    <row r="9717" spans="1:6" x14ac:dyDescent="0.25">
      <c r="A9717" t="s">
        <v>13142</v>
      </c>
      <c r="B9717" t="s">
        <v>214</v>
      </c>
      <c r="C9717" t="s">
        <v>215</v>
      </c>
      <c r="D9717" t="str">
        <f>HYPERLINK("http://service.sap.com/sap/support/notes/1878403","1878403")</f>
        <v>1878403</v>
      </c>
      <c r="E9717">
        <v>1</v>
      </c>
      <c r="F9717" t="s">
        <v>13100</v>
      </c>
    </row>
    <row r="9718" spans="1:6" x14ac:dyDescent="0.25">
      <c r="A9718" t="s">
        <v>13142</v>
      </c>
      <c r="B9718" t="s">
        <v>214</v>
      </c>
      <c r="C9718" t="s">
        <v>215</v>
      </c>
      <c r="D9718" t="str">
        <f>HYPERLINK("http://service.sap.com/sap/support/notes/1878514","1878514")</f>
        <v>1878514</v>
      </c>
      <c r="E9718">
        <v>1</v>
      </c>
      <c r="F9718" t="s">
        <v>13099</v>
      </c>
    </row>
    <row r="9719" spans="1:6" x14ac:dyDescent="0.25">
      <c r="A9719" t="s">
        <v>13142</v>
      </c>
      <c r="B9719" t="s">
        <v>214</v>
      </c>
      <c r="C9719" t="s">
        <v>215</v>
      </c>
      <c r="D9719" t="str">
        <f>HYPERLINK("http://service.sap.com/sap/support/notes/1878518","1878518")</f>
        <v>1878518</v>
      </c>
      <c r="E9719">
        <v>1</v>
      </c>
    </row>
    <row r="9720" spans="1:6" x14ac:dyDescent="0.25">
      <c r="A9720" t="s">
        <v>13142</v>
      </c>
      <c r="B9720" t="s">
        <v>214</v>
      </c>
      <c r="C9720" t="s">
        <v>215</v>
      </c>
      <c r="D9720" t="str">
        <f>HYPERLINK("http://service.sap.com/sap/support/notes/1878881","1878881")</f>
        <v>1878881</v>
      </c>
      <c r="E9720">
        <v>1</v>
      </c>
    </row>
    <row r="9721" spans="1:6" x14ac:dyDescent="0.25">
      <c r="A9721" t="s">
        <v>13142</v>
      </c>
      <c r="B9721" t="s">
        <v>214</v>
      </c>
      <c r="C9721" t="s">
        <v>215</v>
      </c>
      <c r="D9721" t="str">
        <f>HYPERLINK("http://service.sap.com/sap/support/notes/1878951","1878951")</f>
        <v>1878951</v>
      </c>
      <c r="E9721">
        <v>1</v>
      </c>
      <c r="F9721" t="s">
        <v>13098</v>
      </c>
    </row>
    <row r="9722" spans="1:6" x14ac:dyDescent="0.25">
      <c r="A9722" t="s">
        <v>13142</v>
      </c>
      <c r="B9722" t="s">
        <v>214</v>
      </c>
      <c r="C9722" t="s">
        <v>215</v>
      </c>
      <c r="D9722" t="str">
        <f>HYPERLINK("http://service.sap.com/sap/support/notes/1879553","1879553")</f>
        <v>1879553</v>
      </c>
      <c r="E9722">
        <v>1</v>
      </c>
    </row>
    <row r="9723" spans="1:6" x14ac:dyDescent="0.25">
      <c r="A9723" t="s">
        <v>13142</v>
      </c>
      <c r="B9723" t="s">
        <v>214</v>
      </c>
      <c r="C9723" t="s">
        <v>215</v>
      </c>
      <c r="D9723" t="str">
        <f>HYPERLINK("http://service.sap.com/sap/support/notes/1879567","1879567")</f>
        <v>1879567</v>
      </c>
      <c r="E9723">
        <v>1</v>
      </c>
      <c r="F9723" t="s">
        <v>13097</v>
      </c>
    </row>
    <row r="9724" spans="1:6" x14ac:dyDescent="0.25">
      <c r="A9724" t="s">
        <v>13142</v>
      </c>
      <c r="B9724" t="s">
        <v>214</v>
      </c>
      <c r="C9724" t="s">
        <v>215</v>
      </c>
      <c r="D9724" t="str">
        <f>HYPERLINK("http://service.sap.com/sap/support/notes/1879619","1879619")</f>
        <v>1879619</v>
      </c>
      <c r="E9724">
        <v>1</v>
      </c>
      <c r="F9724" t="s">
        <v>13096</v>
      </c>
    </row>
    <row r="9725" spans="1:6" x14ac:dyDescent="0.25">
      <c r="A9725" t="s">
        <v>13142</v>
      </c>
      <c r="B9725" t="s">
        <v>214</v>
      </c>
      <c r="C9725" t="s">
        <v>215</v>
      </c>
      <c r="D9725" t="str">
        <f>HYPERLINK("http://service.sap.com/sap/support/notes/1879686","1879686")</f>
        <v>1879686</v>
      </c>
      <c r="E9725">
        <v>1</v>
      </c>
    </row>
    <row r="9726" spans="1:6" x14ac:dyDescent="0.25">
      <c r="A9726" t="s">
        <v>13142</v>
      </c>
      <c r="B9726" t="s">
        <v>214</v>
      </c>
      <c r="C9726" t="s">
        <v>215</v>
      </c>
      <c r="D9726" t="str">
        <f>HYPERLINK("http://service.sap.com/sap/support/notes/1879785","1879785")</f>
        <v>1879785</v>
      </c>
      <c r="E9726">
        <v>1</v>
      </c>
      <c r="F9726" t="s">
        <v>13095</v>
      </c>
    </row>
    <row r="9727" spans="1:6" x14ac:dyDescent="0.25">
      <c r="A9727" t="s">
        <v>13142</v>
      </c>
      <c r="B9727" t="s">
        <v>214</v>
      </c>
      <c r="C9727" t="s">
        <v>215</v>
      </c>
      <c r="D9727" t="str">
        <f>HYPERLINK("http://service.sap.com/sap/support/notes/1879874","1879874")</f>
        <v>1879874</v>
      </c>
      <c r="E9727">
        <v>1</v>
      </c>
      <c r="F9727" t="s">
        <v>13094</v>
      </c>
    </row>
    <row r="9728" spans="1:6" x14ac:dyDescent="0.25">
      <c r="A9728" t="s">
        <v>13142</v>
      </c>
      <c r="B9728" t="s">
        <v>214</v>
      </c>
      <c r="C9728" t="s">
        <v>215</v>
      </c>
      <c r="D9728" t="str">
        <f>HYPERLINK("http://service.sap.com/sap/support/notes/1879934","1879934")</f>
        <v>1879934</v>
      </c>
      <c r="E9728">
        <v>1</v>
      </c>
    </row>
    <row r="9729" spans="1:6" x14ac:dyDescent="0.25">
      <c r="A9729" t="s">
        <v>13142</v>
      </c>
      <c r="B9729" t="s">
        <v>214</v>
      </c>
      <c r="C9729" t="s">
        <v>215</v>
      </c>
      <c r="D9729" t="str">
        <f>HYPERLINK("http://service.sap.com/sap/support/notes/1893591","1893591")</f>
        <v>1893591</v>
      </c>
      <c r="E9729">
        <v>1</v>
      </c>
    </row>
    <row r="9730" spans="1:6" x14ac:dyDescent="0.25">
      <c r="A9730" t="s">
        <v>13142</v>
      </c>
      <c r="B9730" t="s">
        <v>214</v>
      </c>
      <c r="C9730" t="s">
        <v>215</v>
      </c>
      <c r="D9730" t="str">
        <f>HYPERLINK("http://service.sap.com/sap/support/notes/1893617","1893617")</f>
        <v>1893617</v>
      </c>
      <c r="E9730">
        <v>1</v>
      </c>
    </row>
    <row r="9731" spans="1:6" x14ac:dyDescent="0.25">
      <c r="A9731" t="s">
        <v>13142</v>
      </c>
      <c r="B9731" t="s">
        <v>214</v>
      </c>
      <c r="C9731" t="s">
        <v>215</v>
      </c>
      <c r="D9731" t="str">
        <f>HYPERLINK("http://service.sap.com/sap/support/notes/1893733","1893733")</f>
        <v>1893733</v>
      </c>
      <c r="E9731">
        <v>1</v>
      </c>
    </row>
    <row r="9732" spans="1:6" x14ac:dyDescent="0.25">
      <c r="A9732" t="s">
        <v>13142</v>
      </c>
      <c r="B9732" t="s">
        <v>214</v>
      </c>
      <c r="C9732" t="s">
        <v>215</v>
      </c>
      <c r="D9732" t="str">
        <f>HYPERLINK("http://service.sap.com/sap/support/notes/1893901","1893901")</f>
        <v>1893901</v>
      </c>
      <c r="E9732">
        <v>1</v>
      </c>
      <c r="F9732" t="s">
        <v>13093</v>
      </c>
    </row>
    <row r="9733" spans="1:6" x14ac:dyDescent="0.25">
      <c r="A9733" t="s">
        <v>13142</v>
      </c>
      <c r="B9733" t="s">
        <v>222</v>
      </c>
      <c r="C9733" t="s">
        <v>223</v>
      </c>
    </row>
    <row r="9734" spans="1:6" x14ac:dyDescent="0.25">
      <c r="A9734" t="s">
        <v>13142</v>
      </c>
      <c r="B9734" t="s">
        <v>224</v>
      </c>
      <c r="C9734" t="s">
        <v>225</v>
      </c>
      <c r="D9734" t="str">
        <f>HYPERLINK("http://service.sap.com/sap/support/notes/1863283","1863283")</f>
        <v>1863283</v>
      </c>
      <c r="E9734">
        <v>1</v>
      </c>
      <c r="F9734" t="s">
        <v>13092</v>
      </c>
    </row>
    <row r="9735" spans="1:6" x14ac:dyDescent="0.25">
      <c r="A9735" t="s">
        <v>13142</v>
      </c>
      <c r="B9735" t="s">
        <v>224</v>
      </c>
      <c r="C9735" t="s">
        <v>225</v>
      </c>
      <c r="D9735" t="str">
        <f>HYPERLINK("http://service.sap.com/sap/support/notes/1901323","1901323")</f>
        <v>1901323</v>
      </c>
      <c r="E9735">
        <v>1</v>
      </c>
      <c r="F9735" t="s">
        <v>13091</v>
      </c>
    </row>
    <row r="9736" spans="1:6" x14ac:dyDescent="0.25">
      <c r="A9736" t="s">
        <v>13142</v>
      </c>
      <c r="B9736" t="s">
        <v>232</v>
      </c>
      <c r="C9736" t="s">
        <v>233</v>
      </c>
      <c r="D9736" t="str">
        <f>HYPERLINK("http://service.sap.com/sap/support/notes/1858521","1858521")</f>
        <v>1858521</v>
      </c>
      <c r="E9736">
        <v>2</v>
      </c>
      <c r="F9736" t="s">
        <v>13090</v>
      </c>
    </row>
    <row r="9737" spans="1:6" x14ac:dyDescent="0.25">
      <c r="A9737" t="s">
        <v>13142</v>
      </c>
      <c r="B9737" t="s">
        <v>232</v>
      </c>
      <c r="C9737" t="s">
        <v>233</v>
      </c>
      <c r="D9737" t="str">
        <f>HYPERLINK("http://service.sap.com/sap/support/notes/1902546","1902546")</f>
        <v>1902546</v>
      </c>
      <c r="E9737">
        <v>1</v>
      </c>
      <c r="F9737" t="s">
        <v>13089</v>
      </c>
    </row>
    <row r="9738" spans="1:6" x14ac:dyDescent="0.25">
      <c r="A9738" t="s">
        <v>13142</v>
      </c>
      <c r="B9738" t="s">
        <v>232</v>
      </c>
      <c r="C9738" t="s">
        <v>233</v>
      </c>
      <c r="D9738" t="str">
        <f>HYPERLINK("http://service.sap.com/sap/support/notes/1903788","1903788")</f>
        <v>1903788</v>
      </c>
      <c r="E9738">
        <v>1</v>
      </c>
      <c r="F9738" t="s">
        <v>13088</v>
      </c>
    </row>
    <row r="9739" spans="1:6" x14ac:dyDescent="0.25">
      <c r="A9739" t="s">
        <v>13142</v>
      </c>
      <c r="B9739" t="s">
        <v>237</v>
      </c>
      <c r="C9739" t="s">
        <v>238</v>
      </c>
    </row>
    <row r="9740" spans="1:6" x14ac:dyDescent="0.25">
      <c r="A9740" t="s">
        <v>13142</v>
      </c>
      <c r="B9740" t="s">
        <v>239</v>
      </c>
      <c r="C9740" t="s">
        <v>240</v>
      </c>
      <c r="D9740" t="str">
        <f>HYPERLINK("http://service.sap.com/sap/support/notes/1871563","1871563")</f>
        <v>1871563</v>
      </c>
      <c r="E9740">
        <v>3</v>
      </c>
      <c r="F9740" t="s">
        <v>13087</v>
      </c>
    </row>
    <row r="9741" spans="1:6" x14ac:dyDescent="0.25">
      <c r="A9741" t="s">
        <v>13142</v>
      </c>
      <c r="B9741" t="s">
        <v>4251</v>
      </c>
      <c r="C9741" t="s">
        <v>2948</v>
      </c>
      <c r="D9741" t="str">
        <f>HYPERLINK("http://service.sap.com/sap/support/notes/1859479","1859479")</f>
        <v>1859479</v>
      </c>
      <c r="E9741">
        <v>2</v>
      </c>
      <c r="F9741" t="s">
        <v>13086</v>
      </c>
    </row>
    <row r="9742" spans="1:6" x14ac:dyDescent="0.25">
      <c r="A9742" t="s">
        <v>13142</v>
      </c>
      <c r="B9742" t="s">
        <v>6501</v>
      </c>
      <c r="C9742" t="s">
        <v>3342</v>
      </c>
    </row>
    <row r="9743" spans="1:6" x14ac:dyDescent="0.25">
      <c r="A9743" t="s">
        <v>13142</v>
      </c>
      <c r="B9743" t="s">
        <v>9007</v>
      </c>
      <c r="C9743" t="s">
        <v>1878</v>
      </c>
      <c r="D9743" t="str">
        <f>HYPERLINK("http://service.sap.com/sap/support/notes/1896840","1896840")</f>
        <v>1896840</v>
      </c>
      <c r="E9743">
        <v>1</v>
      </c>
      <c r="F9743" t="s">
        <v>13085</v>
      </c>
    </row>
    <row r="9744" spans="1:6" x14ac:dyDescent="0.25">
      <c r="A9744" t="s">
        <v>13142</v>
      </c>
      <c r="B9744" t="s">
        <v>248</v>
      </c>
      <c r="C9744" t="s">
        <v>249</v>
      </c>
    </row>
    <row r="9745" spans="1:6" x14ac:dyDescent="0.25">
      <c r="A9745" t="s">
        <v>13142</v>
      </c>
      <c r="B9745" t="s">
        <v>250</v>
      </c>
      <c r="C9745" t="s">
        <v>251</v>
      </c>
      <c r="D9745" t="str">
        <f>HYPERLINK("http://service.sap.com/sap/support/notes/1884305","1884305")</f>
        <v>1884305</v>
      </c>
      <c r="E9745">
        <v>1</v>
      </c>
      <c r="F9745" t="s">
        <v>13084</v>
      </c>
    </row>
    <row r="9746" spans="1:6" x14ac:dyDescent="0.25">
      <c r="A9746" t="s">
        <v>13142</v>
      </c>
      <c r="B9746" t="s">
        <v>258</v>
      </c>
      <c r="C9746" t="s">
        <v>259</v>
      </c>
      <c r="D9746" t="str">
        <f>HYPERLINK("http://service.sap.com/sap/support/notes/1848919","1848919")</f>
        <v>1848919</v>
      </c>
      <c r="E9746">
        <v>1</v>
      </c>
      <c r="F9746" t="s">
        <v>266</v>
      </c>
    </row>
    <row r="9747" spans="1:6" x14ac:dyDescent="0.25">
      <c r="A9747" t="s">
        <v>13142</v>
      </c>
      <c r="B9747" t="s">
        <v>258</v>
      </c>
      <c r="C9747" t="s">
        <v>259</v>
      </c>
      <c r="D9747" t="str">
        <f>HYPERLINK("http://service.sap.com/sap/support/notes/1882838","1882838")</f>
        <v>1882838</v>
      </c>
      <c r="E9747">
        <v>2</v>
      </c>
      <c r="F9747" t="s">
        <v>13083</v>
      </c>
    </row>
    <row r="9748" spans="1:6" x14ac:dyDescent="0.25">
      <c r="A9748" t="s">
        <v>13142</v>
      </c>
      <c r="B9748" t="s">
        <v>258</v>
      </c>
      <c r="C9748" t="s">
        <v>259</v>
      </c>
      <c r="D9748" t="str">
        <f>HYPERLINK("http://service.sap.com/sap/support/notes/1895549","1895549")</f>
        <v>1895549</v>
      </c>
      <c r="E9748">
        <v>2</v>
      </c>
      <c r="F9748" t="s">
        <v>13082</v>
      </c>
    </row>
    <row r="9749" spans="1:6" x14ac:dyDescent="0.25">
      <c r="A9749" t="s">
        <v>13142</v>
      </c>
      <c r="B9749" t="s">
        <v>13081</v>
      </c>
      <c r="C9749" t="s">
        <v>13080</v>
      </c>
    </row>
    <row r="9750" spans="1:6" x14ac:dyDescent="0.25">
      <c r="A9750" t="s">
        <v>13142</v>
      </c>
      <c r="B9750" t="s">
        <v>13079</v>
      </c>
      <c r="C9750" t="s">
        <v>13078</v>
      </c>
      <c r="D9750" t="str">
        <f>HYPERLINK("http://service.sap.com/sap/support/notes/1890684","1890684")</f>
        <v>1890684</v>
      </c>
      <c r="E9750">
        <v>1</v>
      </c>
      <c r="F9750" t="s">
        <v>13077</v>
      </c>
    </row>
    <row r="9751" spans="1:6" x14ac:dyDescent="0.25">
      <c r="A9751" t="s">
        <v>13142</v>
      </c>
      <c r="B9751" t="s">
        <v>267</v>
      </c>
      <c r="C9751" t="s">
        <v>268</v>
      </c>
    </row>
    <row r="9752" spans="1:6" x14ac:dyDescent="0.25">
      <c r="A9752" t="s">
        <v>13142</v>
      </c>
      <c r="B9752" t="s">
        <v>269</v>
      </c>
      <c r="C9752" t="s">
        <v>270</v>
      </c>
      <c r="D9752" t="str">
        <f>HYPERLINK("http://service.sap.com/sap/support/notes/1872136","1872136")</f>
        <v>1872136</v>
      </c>
      <c r="E9752">
        <v>2</v>
      </c>
      <c r="F9752" t="s">
        <v>13076</v>
      </c>
    </row>
    <row r="9753" spans="1:6" x14ac:dyDescent="0.25">
      <c r="A9753" t="s">
        <v>13142</v>
      </c>
      <c r="B9753" t="s">
        <v>269</v>
      </c>
      <c r="C9753" t="s">
        <v>270</v>
      </c>
      <c r="D9753" t="str">
        <f>HYPERLINK("http://service.sap.com/sap/support/notes/1881317","1881317")</f>
        <v>1881317</v>
      </c>
      <c r="E9753">
        <v>2</v>
      </c>
      <c r="F9753" t="s">
        <v>13075</v>
      </c>
    </row>
    <row r="9754" spans="1:6" x14ac:dyDescent="0.25">
      <c r="A9754" t="s">
        <v>13142</v>
      </c>
      <c r="B9754" t="s">
        <v>269</v>
      </c>
      <c r="C9754" t="s">
        <v>270</v>
      </c>
      <c r="D9754" t="str">
        <f>HYPERLINK("http://service.sap.com/sap/support/notes/1893689","1893689")</f>
        <v>1893689</v>
      </c>
      <c r="E9754">
        <v>1</v>
      </c>
      <c r="F9754" t="s">
        <v>13074</v>
      </c>
    </row>
    <row r="9755" spans="1:6" x14ac:dyDescent="0.25">
      <c r="A9755" t="s">
        <v>13142</v>
      </c>
      <c r="B9755" t="s">
        <v>269</v>
      </c>
      <c r="C9755" t="s">
        <v>270</v>
      </c>
      <c r="D9755" t="str">
        <f>HYPERLINK("http://service.sap.com/sap/support/notes/1900511","1900511")</f>
        <v>1900511</v>
      </c>
      <c r="E9755">
        <v>2</v>
      </c>
      <c r="F9755" t="s">
        <v>13073</v>
      </c>
    </row>
    <row r="9756" spans="1:6" x14ac:dyDescent="0.25">
      <c r="A9756" t="s">
        <v>13142</v>
      </c>
      <c r="B9756" t="s">
        <v>274</v>
      </c>
      <c r="C9756" t="s">
        <v>275</v>
      </c>
      <c r="D9756" t="str">
        <f>HYPERLINK("http://service.sap.com/sap/support/notes/1866758","1866758")</f>
        <v>1866758</v>
      </c>
      <c r="E9756">
        <v>2</v>
      </c>
      <c r="F9756" t="s">
        <v>13072</v>
      </c>
    </row>
    <row r="9757" spans="1:6" x14ac:dyDescent="0.25">
      <c r="A9757" t="s">
        <v>13142</v>
      </c>
      <c r="B9757" t="s">
        <v>277</v>
      </c>
      <c r="C9757" t="s">
        <v>278</v>
      </c>
      <c r="D9757" t="str">
        <f>HYPERLINK("http://service.sap.com/sap/support/notes/1838792","1838792")</f>
        <v>1838792</v>
      </c>
      <c r="E9757">
        <v>3</v>
      </c>
      <c r="F9757" t="s">
        <v>13071</v>
      </c>
    </row>
    <row r="9758" spans="1:6" x14ac:dyDescent="0.25">
      <c r="A9758" t="s">
        <v>13142</v>
      </c>
      <c r="B9758" t="s">
        <v>277</v>
      </c>
      <c r="C9758" t="s">
        <v>278</v>
      </c>
      <c r="D9758" t="str">
        <f>HYPERLINK("http://service.sap.com/sap/support/notes/1861983","1861983")</f>
        <v>1861983</v>
      </c>
      <c r="E9758">
        <v>2</v>
      </c>
      <c r="F9758" t="s">
        <v>13070</v>
      </c>
    </row>
    <row r="9759" spans="1:6" x14ac:dyDescent="0.25">
      <c r="A9759" t="s">
        <v>13142</v>
      </c>
      <c r="B9759" t="s">
        <v>277</v>
      </c>
      <c r="C9759" t="s">
        <v>278</v>
      </c>
      <c r="D9759" t="str">
        <f>HYPERLINK("http://service.sap.com/sap/support/notes/1864570","1864570")</f>
        <v>1864570</v>
      </c>
      <c r="E9759">
        <v>2</v>
      </c>
      <c r="F9759" t="s">
        <v>13069</v>
      </c>
    </row>
    <row r="9760" spans="1:6" x14ac:dyDescent="0.25">
      <c r="A9760" t="s">
        <v>13142</v>
      </c>
      <c r="B9760" t="s">
        <v>277</v>
      </c>
      <c r="C9760" t="s">
        <v>278</v>
      </c>
      <c r="D9760" t="str">
        <f>HYPERLINK("http://service.sap.com/sap/support/notes/1867064","1867064")</f>
        <v>1867064</v>
      </c>
      <c r="E9760">
        <v>3</v>
      </c>
      <c r="F9760" t="s">
        <v>13068</v>
      </c>
    </row>
    <row r="9761" spans="1:6" x14ac:dyDescent="0.25">
      <c r="A9761" t="s">
        <v>13142</v>
      </c>
      <c r="B9761" t="s">
        <v>277</v>
      </c>
      <c r="C9761" t="s">
        <v>278</v>
      </c>
      <c r="D9761" t="str">
        <f>HYPERLINK("http://service.sap.com/sap/support/notes/1873518","1873518")</f>
        <v>1873518</v>
      </c>
      <c r="E9761">
        <v>1</v>
      </c>
      <c r="F9761" t="s">
        <v>13067</v>
      </c>
    </row>
    <row r="9762" spans="1:6" x14ac:dyDescent="0.25">
      <c r="A9762" t="s">
        <v>13142</v>
      </c>
      <c r="B9762" t="s">
        <v>277</v>
      </c>
      <c r="C9762" t="s">
        <v>278</v>
      </c>
      <c r="D9762" t="str">
        <f>HYPERLINK("http://service.sap.com/sap/support/notes/1877577","1877577")</f>
        <v>1877577</v>
      </c>
      <c r="E9762">
        <v>2</v>
      </c>
      <c r="F9762" t="s">
        <v>13066</v>
      </c>
    </row>
    <row r="9763" spans="1:6" x14ac:dyDescent="0.25">
      <c r="A9763" t="s">
        <v>13142</v>
      </c>
      <c r="B9763" t="s">
        <v>277</v>
      </c>
      <c r="C9763" t="s">
        <v>278</v>
      </c>
      <c r="D9763" t="str">
        <f>HYPERLINK("http://service.sap.com/sap/support/notes/1878209","1878209")</f>
        <v>1878209</v>
      </c>
      <c r="E9763">
        <v>1</v>
      </c>
      <c r="F9763" t="s">
        <v>13065</v>
      </c>
    </row>
    <row r="9764" spans="1:6" x14ac:dyDescent="0.25">
      <c r="A9764" t="s">
        <v>13142</v>
      </c>
      <c r="B9764" t="s">
        <v>277</v>
      </c>
      <c r="C9764" t="s">
        <v>278</v>
      </c>
      <c r="D9764" t="str">
        <f>HYPERLINK("http://service.sap.com/sap/support/notes/1879484","1879484")</f>
        <v>1879484</v>
      </c>
      <c r="E9764">
        <v>1</v>
      </c>
      <c r="F9764" t="s">
        <v>13064</v>
      </c>
    </row>
    <row r="9765" spans="1:6" x14ac:dyDescent="0.25">
      <c r="A9765" t="s">
        <v>13142</v>
      </c>
      <c r="B9765" t="s">
        <v>277</v>
      </c>
      <c r="C9765" t="s">
        <v>278</v>
      </c>
      <c r="D9765" t="str">
        <f>HYPERLINK("http://service.sap.com/sap/support/notes/1880283","1880283")</f>
        <v>1880283</v>
      </c>
      <c r="E9765">
        <v>1</v>
      </c>
      <c r="F9765" t="s">
        <v>13063</v>
      </c>
    </row>
    <row r="9766" spans="1:6" x14ac:dyDescent="0.25">
      <c r="A9766" t="s">
        <v>13142</v>
      </c>
      <c r="B9766" t="s">
        <v>277</v>
      </c>
      <c r="C9766" t="s">
        <v>278</v>
      </c>
      <c r="D9766" t="str">
        <f>HYPERLINK("http://service.sap.com/sap/support/notes/1884645","1884645")</f>
        <v>1884645</v>
      </c>
      <c r="E9766">
        <v>1</v>
      </c>
      <c r="F9766" t="s">
        <v>13062</v>
      </c>
    </row>
    <row r="9767" spans="1:6" x14ac:dyDescent="0.25">
      <c r="A9767" t="s">
        <v>13142</v>
      </c>
      <c r="B9767" t="s">
        <v>277</v>
      </c>
      <c r="C9767" t="s">
        <v>278</v>
      </c>
      <c r="D9767" t="str">
        <f>HYPERLINK("http://service.sap.com/sap/support/notes/1885819","1885819")</f>
        <v>1885819</v>
      </c>
      <c r="E9767">
        <v>1</v>
      </c>
      <c r="F9767" t="s">
        <v>13061</v>
      </c>
    </row>
    <row r="9768" spans="1:6" x14ac:dyDescent="0.25">
      <c r="A9768" t="s">
        <v>13142</v>
      </c>
      <c r="B9768" t="s">
        <v>277</v>
      </c>
      <c r="C9768" t="s">
        <v>278</v>
      </c>
      <c r="D9768" t="str">
        <f>HYPERLINK("http://service.sap.com/sap/support/notes/1889148","1889148")</f>
        <v>1889148</v>
      </c>
      <c r="E9768">
        <v>3</v>
      </c>
      <c r="F9768" t="s">
        <v>13060</v>
      </c>
    </row>
    <row r="9769" spans="1:6" x14ac:dyDescent="0.25">
      <c r="A9769" t="s">
        <v>13142</v>
      </c>
      <c r="B9769" t="s">
        <v>277</v>
      </c>
      <c r="C9769" t="s">
        <v>278</v>
      </c>
      <c r="D9769" t="str">
        <f>HYPERLINK("http://service.sap.com/sap/support/notes/1892540","1892540")</f>
        <v>1892540</v>
      </c>
      <c r="E9769">
        <v>1</v>
      </c>
      <c r="F9769" t="s">
        <v>13059</v>
      </c>
    </row>
    <row r="9770" spans="1:6" x14ac:dyDescent="0.25">
      <c r="A9770" t="s">
        <v>13142</v>
      </c>
      <c r="B9770" t="s">
        <v>277</v>
      </c>
      <c r="C9770" t="s">
        <v>278</v>
      </c>
      <c r="D9770" t="str">
        <f>HYPERLINK("http://service.sap.com/sap/support/notes/1892906","1892906")</f>
        <v>1892906</v>
      </c>
      <c r="E9770">
        <v>2</v>
      </c>
      <c r="F9770" t="s">
        <v>13058</v>
      </c>
    </row>
    <row r="9771" spans="1:6" x14ac:dyDescent="0.25">
      <c r="A9771" t="s">
        <v>13142</v>
      </c>
      <c r="B9771" t="s">
        <v>277</v>
      </c>
      <c r="C9771" t="s">
        <v>278</v>
      </c>
      <c r="D9771" t="str">
        <f>HYPERLINK("http://service.sap.com/sap/support/notes/1894965","1894965")</f>
        <v>1894965</v>
      </c>
      <c r="E9771">
        <v>2</v>
      </c>
      <c r="F9771" t="s">
        <v>13057</v>
      </c>
    </row>
    <row r="9772" spans="1:6" x14ac:dyDescent="0.25">
      <c r="A9772" t="s">
        <v>13142</v>
      </c>
      <c r="B9772" t="s">
        <v>277</v>
      </c>
      <c r="C9772" t="s">
        <v>278</v>
      </c>
      <c r="D9772" t="str">
        <f>HYPERLINK("http://service.sap.com/sap/support/notes/1903796","1903796")</f>
        <v>1903796</v>
      </c>
      <c r="E9772">
        <v>1</v>
      </c>
      <c r="F9772" t="s">
        <v>13056</v>
      </c>
    </row>
    <row r="9773" spans="1:6" x14ac:dyDescent="0.25">
      <c r="A9773" t="s">
        <v>13142</v>
      </c>
      <c r="B9773" t="s">
        <v>288</v>
      </c>
      <c r="C9773" t="s">
        <v>289</v>
      </c>
      <c r="D9773" t="str">
        <f>HYPERLINK("http://service.sap.com/sap/support/notes/1816062","1816062")</f>
        <v>1816062</v>
      </c>
      <c r="E9773">
        <v>1</v>
      </c>
      <c r="F9773" t="s">
        <v>6545</v>
      </c>
    </row>
    <row r="9774" spans="1:6" x14ac:dyDescent="0.25">
      <c r="A9774" t="s">
        <v>13142</v>
      </c>
      <c r="B9774" t="s">
        <v>288</v>
      </c>
      <c r="C9774" t="s">
        <v>289</v>
      </c>
      <c r="D9774" t="str">
        <f>HYPERLINK("http://service.sap.com/sap/support/notes/1861724","1861724")</f>
        <v>1861724</v>
      </c>
      <c r="E9774">
        <v>1</v>
      </c>
      <c r="F9774" t="s">
        <v>13055</v>
      </c>
    </row>
    <row r="9775" spans="1:6" x14ac:dyDescent="0.25">
      <c r="A9775" t="s">
        <v>13142</v>
      </c>
      <c r="B9775" t="s">
        <v>288</v>
      </c>
      <c r="C9775" t="s">
        <v>289</v>
      </c>
      <c r="D9775" t="str">
        <f>HYPERLINK("http://service.sap.com/sap/support/notes/1869636","1869636")</f>
        <v>1869636</v>
      </c>
      <c r="E9775">
        <v>2</v>
      </c>
      <c r="F9775" t="s">
        <v>13054</v>
      </c>
    </row>
    <row r="9776" spans="1:6" x14ac:dyDescent="0.25">
      <c r="A9776" t="s">
        <v>13142</v>
      </c>
      <c r="B9776" t="s">
        <v>288</v>
      </c>
      <c r="C9776" t="s">
        <v>289</v>
      </c>
      <c r="D9776" t="str">
        <f>HYPERLINK("http://service.sap.com/sap/support/notes/1878742","1878742")</f>
        <v>1878742</v>
      </c>
      <c r="E9776">
        <v>1</v>
      </c>
      <c r="F9776" t="s">
        <v>13053</v>
      </c>
    </row>
    <row r="9777" spans="1:6" x14ac:dyDescent="0.25">
      <c r="A9777" t="s">
        <v>13142</v>
      </c>
      <c r="B9777" t="s">
        <v>288</v>
      </c>
      <c r="C9777" t="s">
        <v>289</v>
      </c>
      <c r="D9777" t="str">
        <f>HYPERLINK("http://service.sap.com/sap/support/notes/1878750","1878750")</f>
        <v>1878750</v>
      </c>
      <c r="E9777">
        <v>1</v>
      </c>
      <c r="F9777" t="s">
        <v>13052</v>
      </c>
    </row>
    <row r="9778" spans="1:6" x14ac:dyDescent="0.25">
      <c r="A9778" t="s">
        <v>13142</v>
      </c>
      <c r="B9778" t="s">
        <v>288</v>
      </c>
      <c r="C9778" t="s">
        <v>289</v>
      </c>
      <c r="D9778" t="str">
        <f>HYPERLINK("http://service.sap.com/sap/support/notes/1879457","1879457")</f>
        <v>1879457</v>
      </c>
      <c r="E9778">
        <v>1</v>
      </c>
      <c r="F9778" t="s">
        <v>13051</v>
      </c>
    </row>
    <row r="9779" spans="1:6" x14ac:dyDescent="0.25">
      <c r="A9779" t="s">
        <v>13142</v>
      </c>
      <c r="B9779" t="s">
        <v>288</v>
      </c>
      <c r="C9779" t="s">
        <v>289</v>
      </c>
      <c r="D9779" t="str">
        <f>HYPERLINK("http://service.sap.com/sap/support/notes/1880122","1880122")</f>
        <v>1880122</v>
      </c>
      <c r="E9779">
        <v>3</v>
      </c>
      <c r="F9779" t="s">
        <v>13050</v>
      </c>
    </row>
    <row r="9780" spans="1:6" x14ac:dyDescent="0.25">
      <c r="A9780" t="s">
        <v>13142</v>
      </c>
      <c r="B9780" t="s">
        <v>288</v>
      </c>
      <c r="C9780" t="s">
        <v>289</v>
      </c>
      <c r="D9780" t="str">
        <f>HYPERLINK("http://service.sap.com/sap/support/notes/1881506","1881506")</f>
        <v>1881506</v>
      </c>
      <c r="E9780">
        <v>2</v>
      </c>
      <c r="F9780" t="s">
        <v>13049</v>
      </c>
    </row>
    <row r="9781" spans="1:6" x14ac:dyDescent="0.25">
      <c r="A9781" t="s">
        <v>13142</v>
      </c>
      <c r="B9781" t="s">
        <v>288</v>
      </c>
      <c r="C9781" t="s">
        <v>289</v>
      </c>
      <c r="D9781" t="str">
        <f>HYPERLINK("http://service.sap.com/sap/support/notes/1884387","1884387")</f>
        <v>1884387</v>
      </c>
      <c r="E9781">
        <v>1</v>
      </c>
      <c r="F9781" t="s">
        <v>13048</v>
      </c>
    </row>
    <row r="9782" spans="1:6" x14ac:dyDescent="0.25">
      <c r="A9782" t="s">
        <v>13142</v>
      </c>
      <c r="B9782" t="s">
        <v>288</v>
      </c>
      <c r="C9782" t="s">
        <v>289</v>
      </c>
      <c r="D9782" t="str">
        <f>HYPERLINK("http://service.sap.com/sap/support/notes/1885197","1885197")</f>
        <v>1885197</v>
      </c>
      <c r="E9782">
        <v>1</v>
      </c>
      <c r="F9782" t="s">
        <v>13047</v>
      </c>
    </row>
    <row r="9783" spans="1:6" x14ac:dyDescent="0.25">
      <c r="A9783" t="s">
        <v>13142</v>
      </c>
      <c r="B9783" t="s">
        <v>288</v>
      </c>
      <c r="C9783" t="s">
        <v>289</v>
      </c>
      <c r="D9783" t="str">
        <f>HYPERLINK("http://service.sap.com/sap/support/notes/1885746","1885746")</f>
        <v>1885746</v>
      </c>
      <c r="E9783">
        <v>1</v>
      </c>
      <c r="F9783" t="s">
        <v>13046</v>
      </c>
    </row>
    <row r="9784" spans="1:6" x14ac:dyDescent="0.25">
      <c r="A9784" t="s">
        <v>13142</v>
      </c>
      <c r="B9784" t="s">
        <v>288</v>
      </c>
      <c r="C9784" t="s">
        <v>289</v>
      </c>
      <c r="D9784" t="str">
        <f>HYPERLINK("http://service.sap.com/sap/support/notes/1889524","1889524")</f>
        <v>1889524</v>
      </c>
      <c r="E9784">
        <v>1</v>
      </c>
      <c r="F9784" t="s">
        <v>13045</v>
      </c>
    </row>
    <row r="9785" spans="1:6" x14ac:dyDescent="0.25">
      <c r="A9785" t="s">
        <v>13142</v>
      </c>
      <c r="B9785" t="s">
        <v>288</v>
      </c>
      <c r="C9785" t="s">
        <v>289</v>
      </c>
      <c r="D9785" t="str">
        <f>HYPERLINK("http://service.sap.com/sap/support/notes/1893905","1893905")</f>
        <v>1893905</v>
      </c>
      <c r="E9785">
        <v>2</v>
      </c>
      <c r="F9785" t="s">
        <v>13044</v>
      </c>
    </row>
    <row r="9786" spans="1:6" x14ac:dyDescent="0.25">
      <c r="A9786" t="s">
        <v>13142</v>
      </c>
      <c r="B9786" t="s">
        <v>288</v>
      </c>
      <c r="C9786" t="s">
        <v>289</v>
      </c>
      <c r="D9786" t="str">
        <f>HYPERLINK("http://service.sap.com/sap/support/notes/1902181","1902181")</f>
        <v>1902181</v>
      </c>
      <c r="E9786">
        <v>1</v>
      </c>
      <c r="F9786" t="s">
        <v>13043</v>
      </c>
    </row>
    <row r="9787" spans="1:6" x14ac:dyDescent="0.25">
      <c r="A9787" t="s">
        <v>13142</v>
      </c>
      <c r="B9787" t="s">
        <v>4276</v>
      </c>
      <c r="C9787" t="s">
        <v>4277</v>
      </c>
      <c r="D9787" t="str">
        <f>HYPERLINK("http://service.sap.com/sap/support/notes/1902946","1902946")</f>
        <v>1902946</v>
      </c>
      <c r="E9787">
        <v>2</v>
      </c>
      <c r="F9787" t="s">
        <v>13042</v>
      </c>
    </row>
    <row r="9788" spans="1:6" x14ac:dyDescent="0.25">
      <c r="A9788" t="s">
        <v>13142</v>
      </c>
      <c r="B9788" t="s">
        <v>312</v>
      </c>
      <c r="C9788" t="s">
        <v>313</v>
      </c>
    </row>
    <row r="9789" spans="1:6" x14ac:dyDescent="0.25">
      <c r="A9789" t="s">
        <v>13142</v>
      </c>
      <c r="B9789" t="s">
        <v>321</v>
      </c>
      <c r="C9789" t="s">
        <v>322</v>
      </c>
      <c r="D9789" t="str">
        <f>HYPERLINK("http://service.sap.com/sap/support/notes/1554208","1554208")</f>
        <v>1554208</v>
      </c>
      <c r="E9789">
        <v>1</v>
      </c>
      <c r="F9789" t="s">
        <v>13041</v>
      </c>
    </row>
    <row r="9790" spans="1:6" x14ac:dyDescent="0.25">
      <c r="A9790" t="s">
        <v>13142</v>
      </c>
      <c r="B9790" t="s">
        <v>321</v>
      </c>
      <c r="C9790" t="s">
        <v>322</v>
      </c>
      <c r="D9790" t="str">
        <f>HYPERLINK("http://service.sap.com/sap/support/notes/1872465","1872465")</f>
        <v>1872465</v>
      </c>
      <c r="E9790">
        <v>1</v>
      </c>
      <c r="F9790" t="s">
        <v>13040</v>
      </c>
    </row>
    <row r="9791" spans="1:6" x14ac:dyDescent="0.25">
      <c r="A9791" t="s">
        <v>13142</v>
      </c>
      <c r="B9791" t="s">
        <v>326</v>
      </c>
      <c r="C9791" t="s">
        <v>327</v>
      </c>
    </row>
    <row r="9792" spans="1:6" x14ac:dyDescent="0.25">
      <c r="A9792" t="s">
        <v>13142</v>
      </c>
      <c r="B9792" t="s">
        <v>328</v>
      </c>
      <c r="C9792" t="s">
        <v>329</v>
      </c>
      <c r="D9792" t="str">
        <f>HYPERLINK("http://service.sap.com/sap/support/notes/1894069","1894069")</f>
        <v>1894069</v>
      </c>
      <c r="E9792">
        <v>1</v>
      </c>
      <c r="F9792" t="s">
        <v>13039</v>
      </c>
    </row>
    <row r="9793" spans="1:6" x14ac:dyDescent="0.25">
      <c r="A9793" t="s">
        <v>13142</v>
      </c>
      <c r="B9793" t="s">
        <v>331</v>
      </c>
      <c r="C9793" t="s">
        <v>332</v>
      </c>
      <c r="D9793" t="str">
        <f>HYPERLINK("http://service.sap.com/sap/support/notes/1835039","1835039")</f>
        <v>1835039</v>
      </c>
      <c r="E9793">
        <v>1</v>
      </c>
      <c r="F9793" t="s">
        <v>13038</v>
      </c>
    </row>
    <row r="9794" spans="1:6" x14ac:dyDescent="0.25">
      <c r="A9794" t="s">
        <v>13142</v>
      </c>
      <c r="B9794" t="s">
        <v>331</v>
      </c>
      <c r="C9794" t="s">
        <v>332</v>
      </c>
      <c r="D9794" t="str">
        <f>HYPERLINK("http://service.sap.com/sap/support/notes/1866874","1866874")</f>
        <v>1866874</v>
      </c>
      <c r="E9794">
        <v>4</v>
      </c>
    </row>
    <row r="9795" spans="1:6" x14ac:dyDescent="0.25">
      <c r="A9795" t="s">
        <v>13142</v>
      </c>
      <c r="B9795" t="s">
        <v>331</v>
      </c>
      <c r="C9795" t="s">
        <v>332</v>
      </c>
      <c r="D9795" t="str">
        <f>HYPERLINK("http://service.sap.com/sap/support/notes/1892650","1892650")</f>
        <v>1892650</v>
      </c>
      <c r="E9795">
        <v>3</v>
      </c>
      <c r="F9795" t="s">
        <v>13037</v>
      </c>
    </row>
    <row r="9796" spans="1:6" x14ac:dyDescent="0.25">
      <c r="A9796" t="s">
        <v>13142</v>
      </c>
      <c r="B9796" t="s">
        <v>331</v>
      </c>
      <c r="C9796" t="s">
        <v>332</v>
      </c>
      <c r="D9796" t="str">
        <f>HYPERLINK("http://service.sap.com/sap/support/notes/1898147","1898147")</f>
        <v>1898147</v>
      </c>
      <c r="E9796">
        <v>1</v>
      </c>
      <c r="F9796" t="s">
        <v>13036</v>
      </c>
    </row>
    <row r="9797" spans="1:6" x14ac:dyDescent="0.25">
      <c r="A9797" t="s">
        <v>13142</v>
      </c>
      <c r="B9797" t="s">
        <v>338</v>
      </c>
      <c r="C9797" t="s">
        <v>339</v>
      </c>
    </row>
    <row r="9798" spans="1:6" x14ac:dyDescent="0.25">
      <c r="A9798" t="s">
        <v>13142</v>
      </c>
      <c r="B9798" t="s">
        <v>340</v>
      </c>
      <c r="C9798" t="s">
        <v>341</v>
      </c>
    </row>
    <row r="9799" spans="1:6" x14ac:dyDescent="0.25">
      <c r="A9799" t="s">
        <v>13142</v>
      </c>
      <c r="B9799" t="s">
        <v>347</v>
      </c>
      <c r="C9799" t="s">
        <v>348</v>
      </c>
      <c r="D9799" t="str">
        <f>HYPERLINK("http://service.sap.com/sap/support/notes/1869107","1869107")</f>
        <v>1869107</v>
      </c>
      <c r="E9799">
        <v>1</v>
      </c>
      <c r="F9799" t="s">
        <v>13035</v>
      </c>
    </row>
    <row r="9800" spans="1:6" x14ac:dyDescent="0.25">
      <c r="A9800" t="s">
        <v>13142</v>
      </c>
      <c r="B9800" t="s">
        <v>347</v>
      </c>
      <c r="C9800" t="s">
        <v>348</v>
      </c>
      <c r="D9800" t="str">
        <f>HYPERLINK("http://service.sap.com/sap/support/notes/1871759","1871759")</f>
        <v>1871759</v>
      </c>
      <c r="E9800">
        <v>1</v>
      </c>
      <c r="F9800" t="s">
        <v>13034</v>
      </c>
    </row>
    <row r="9801" spans="1:6" x14ac:dyDescent="0.25">
      <c r="A9801" t="s">
        <v>13142</v>
      </c>
      <c r="B9801" t="s">
        <v>347</v>
      </c>
      <c r="C9801" t="s">
        <v>348</v>
      </c>
      <c r="D9801" t="str">
        <f>HYPERLINK("http://service.sap.com/sap/support/notes/1873420","1873420")</f>
        <v>1873420</v>
      </c>
      <c r="E9801">
        <v>1</v>
      </c>
      <c r="F9801" t="s">
        <v>13033</v>
      </c>
    </row>
    <row r="9802" spans="1:6" x14ac:dyDescent="0.25">
      <c r="A9802" t="s">
        <v>13142</v>
      </c>
      <c r="B9802" t="s">
        <v>347</v>
      </c>
      <c r="C9802" t="s">
        <v>348</v>
      </c>
      <c r="D9802" t="str">
        <f>HYPERLINK("http://service.sap.com/sap/support/notes/1892667","1892667")</f>
        <v>1892667</v>
      </c>
      <c r="E9802">
        <v>1</v>
      </c>
      <c r="F9802" t="s">
        <v>13032</v>
      </c>
    </row>
    <row r="9803" spans="1:6" x14ac:dyDescent="0.25">
      <c r="A9803" t="s">
        <v>13142</v>
      </c>
      <c r="B9803" t="s">
        <v>13031</v>
      </c>
      <c r="C9803" t="s">
        <v>348</v>
      </c>
      <c r="D9803" t="str">
        <f>HYPERLINK("http://service.sap.com/sap/support/notes/1876201","1876201")</f>
        <v>1876201</v>
      </c>
      <c r="E9803">
        <v>1</v>
      </c>
      <c r="F9803" t="s">
        <v>13030</v>
      </c>
    </row>
    <row r="9804" spans="1:6" x14ac:dyDescent="0.25">
      <c r="A9804" t="s">
        <v>13142</v>
      </c>
      <c r="B9804" t="s">
        <v>356</v>
      </c>
      <c r="C9804" t="s">
        <v>357</v>
      </c>
      <c r="D9804" t="str">
        <f>HYPERLINK("http://service.sap.com/sap/support/notes/1831421","1831421")</f>
        <v>1831421</v>
      </c>
      <c r="E9804">
        <v>5</v>
      </c>
      <c r="F9804" t="s">
        <v>9057</v>
      </c>
    </row>
    <row r="9805" spans="1:6" x14ac:dyDescent="0.25">
      <c r="A9805" t="s">
        <v>13142</v>
      </c>
      <c r="B9805" t="s">
        <v>356</v>
      </c>
      <c r="C9805" t="s">
        <v>357</v>
      </c>
      <c r="D9805" t="str">
        <f>HYPERLINK("http://service.sap.com/sap/support/notes/1859936","1859936")</f>
        <v>1859936</v>
      </c>
      <c r="E9805">
        <v>1</v>
      </c>
      <c r="F9805" t="s">
        <v>13029</v>
      </c>
    </row>
    <row r="9806" spans="1:6" x14ac:dyDescent="0.25">
      <c r="A9806" t="s">
        <v>13142</v>
      </c>
      <c r="B9806" t="s">
        <v>356</v>
      </c>
      <c r="C9806" t="s">
        <v>357</v>
      </c>
      <c r="D9806" t="str">
        <f>HYPERLINK("http://service.sap.com/sap/support/notes/1881099","1881099")</f>
        <v>1881099</v>
      </c>
      <c r="E9806">
        <v>3</v>
      </c>
      <c r="F9806" t="s">
        <v>13028</v>
      </c>
    </row>
    <row r="9807" spans="1:6" x14ac:dyDescent="0.25">
      <c r="A9807" t="s">
        <v>13142</v>
      </c>
      <c r="B9807" t="s">
        <v>356</v>
      </c>
      <c r="C9807" t="s">
        <v>357</v>
      </c>
      <c r="D9807" t="str">
        <f>HYPERLINK("http://service.sap.com/sap/support/notes/1882383","1882383")</f>
        <v>1882383</v>
      </c>
      <c r="E9807">
        <v>1</v>
      </c>
      <c r="F9807" t="s">
        <v>13027</v>
      </c>
    </row>
    <row r="9808" spans="1:6" x14ac:dyDescent="0.25">
      <c r="A9808" t="s">
        <v>13142</v>
      </c>
      <c r="B9808" t="s">
        <v>356</v>
      </c>
      <c r="C9808" t="s">
        <v>357</v>
      </c>
      <c r="D9808" t="str">
        <f>HYPERLINK("http://service.sap.com/sap/support/notes/1900746","1900746")</f>
        <v>1900746</v>
      </c>
      <c r="E9808">
        <v>1</v>
      </c>
      <c r="F9808" t="s">
        <v>13026</v>
      </c>
    </row>
    <row r="9809" spans="1:6" x14ac:dyDescent="0.25">
      <c r="A9809" t="s">
        <v>13142</v>
      </c>
      <c r="B9809" t="s">
        <v>376</v>
      </c>
      <c r="C9809" t="s">
        <v>377</v>
      </c>
      <c r="D9809" t="str">
        <f>HYPERLINK("http://service.sap.com/sap/support/notes/1903296","1903296")</f>
        <v>1903296</v>
      </c>
      <c r="E9809">
        <v>1</v>
      </c>
      <c r="F9809" t="s">
        <v>13025</v>
      </c>
    </row>
    <row r="9810" spans="1:6" x14ac:dyDescent="0.25">
      <c r="A9810" t="s">
        <v>13142</v>
      </c>
      <c r="B9810" t="s">
        <v>383</v>
      </c>
      <c r="C9810" t="s">
        <v>384</v>
      </c>
      <c r="D9810" t="str">
        <f>HYPERLINK("http://service.sap.com/sap/support/notes/1823271","1823271")</f>
        <v>1823271</v>
      </c>
      <c r="E9810">
        <v>2</v>
      </c>
      <c r="F9810" t="s">
        <v>13024</v>
      </c>
    </row>
    <row r="9811" spans="1:6" x14ac:dyDescent="0.25">
      <c r="A9811" t="s">
        <v>13142</v>
      </c>
      <c r="B9811" t="s">
        <v>4311</v>
      </c>
      <c r="C9811" t="s">
        <v>4312</v>
      </c>
      <c r="D9811" t="str">
        <f>HYPERLINK("http://service.sap.com/sap/support/notes/1885818","1885818")</f>
        <v>1885818</v>
      </c>
      <c r="E9811">
        <v>1</v>
      </c>
      <c r="F9811" t="s">
        <v>13023</v>
      </c>
    </row>
    <row r="9812" spans="1:6" x14ac:dyDescent="0.25">
      <c r="A9812" t="s">
        <v>13142</v>
      </c>
      <c r="B9812" t="s">
        <v>9060</v>
      </c>
      <c r="C9812" t="s">
        <v>3151</v>
      </c>
      <c r="D9812" t="str">
        <f>HYPERLINK("http://service.sap.com/sap/support/notes/1871200","1871200")</f>
        <v>1871200</v>
      </c>
      <c r="E9812">
        <v>1</v>
      </c>
      <c r="F9812" t="s">
        <v>9062</v>
      </c>
    </row>
    <row r="9813" spans="1:6" x14ac:dyDescent="0.25">
      <c r="A9813" t="s">
        <v>13142</v>
      </c>
      <c r="B9813" t="s">
        <v>9060</v>
      </c>
      <c r="C9813" t="s">
        <v>3151</v>
      </c>
      <c r="D9813" t="str">
        <f>HYPERLINK("http://service.sap.com/sap/support/notes/1876084","1876084")</f>
        <v>1876084</v>
      </c>
      <c r="E9813">
        <v>1</v>
      </c>
      <c r="F9813" t="s">
        <v>13022</v>
      </c>
    </row>
    <row r="9814" spans="1:6" x14ac:dyDescent="0.25">
      <c r="A9814" t="s">
        <v>13142</v>
      </c>
      <c r="B9814" t="s">
        <v>9060</v>
      </c>
      <c r="C9814" t="s">
        <v>3151</v>
      </c>
      <c r="D9814" t="str">
        <f>HYPERLINK("http://service.sap.com/sap/support/notes/1883023","1883023")</f>
        <v>1883023</v>
      </c>
      <c r="E9814">
        <v>1</v>
      </c>
      <c r="F9814" t="s">
        <v>13021</v>
      </c>
    </row>
    <row r="9815" spans="1:6" x14ac:dyDescent="0.25">
      <c r="A9815" t="s">
        <v>13142</v>
      </c>
      <c r="B9815" t="s">
        <v>13020</v>
      </c>
      <c r="C9815" t="s">
        <v>13019</v>
      </c>
      <c r="D9815" t="str">
        <f>HYPERLINK("http://service.sap.com/sap/support/notes/1293811","1293811")</f>
        <v>1293811</v>
      </c>
      <c r="E9815">
        <v>1</v>
      </c>
      <c r="F9815" t="s">
        <v>13018</v>
      </c>
    </row>
    <row r="9816" spans="1:6" x14ac:dyDescent="0.25">
      <c r="A9816" t="s">
        <v>13142</v>
      </c>
      <c r="B9816" t="s">
        <v>389</v>
      </c>
      <c r="C9816" t="s">
        <v>390</v>
      </c>
      <c r="D9816" t="str">
        <f>HYPERLINK("http://service.sap.com/sap/support/notes/1819695","1819695")</f>
        <v>1819695</v>
      </c>
      <c r="E9816">
        <v>3</v>
      </c>
      <c r="F9816" t="s">
        <v>13017</v>
      </c>
    </row>
    <row r="9817" spans="1:6" x14ac:dyDescent="0.25">
      <c r="A9817" t="s">
        <v>13142</v>
      </c>
      <c r="B9817" t="s">
        <v>389</v>
      </c>
      <c r="C9817" t="s">
        <v>390</v>
      </c>
      <c r="D9817" t="str">
        <f>HYPERLINK("http://service.sap.com/sap/support/notes/1825297","1825297")</f>
        <v>1825297</v>
      </c>
      <c r="E9817">
        <v>2</v>
      </c>
      <c r="F9817" t="s">
        <v>13016</v>
      </c>
    </row>
    <row r="9818" spans="1:6" x14ac:dyDescent="0.25">
      <c r="A9818" t="s">
        <v>13142</v>
      </c>
      <c r="B9818" t="s">
        <v>389</v>
      </c>
      <c r="C9818" t="s">
        <v>390</v>
      </c>
      <c r="D9818" t="str">
        <f>HYPERLINK("http://service.sap.com/sap/support/notes/1872142","1872142")</f>
        <v>1872142</v>
      </c>
      <c r="E9818">
        <v>1</v>
      </c>
      <c r="F9818" t="s">
        <v>13015</v>
      </c>
    </row>
    <row r="9819" spans="1:6" x14ac:dyDescent="0.25">
      <c r="A9819" t="s">
        <v>13142</v>
      </c>
      <c r="B9819" t="s">
        <v>396</v>
      </c>
      <c r="C9819" t="s">
        <v>397</v>
      </c>
    </row>
    <row r="9820" spans="1:6" x14ac:dyDescent="0.25">
      <c r="A9820" t="s">
        <v>13142</v>
      </c>
      <c r="B9820" t="s">
        <v>398</v>
      </c>
      <c r="C9820" t="s">
        <v>399</v>
      </c>
      <c r="D9820" t="str">
        <f>HYPERLINK("http://service.sap.com/sap/support/notes/1796292","1796292")</f>
        <v>1796292</v>
      </c>
      <c r="E9820">
        <v>2</v>
      </c>
      <c r="F9820" t="s">
        <v>13014</v>
      </c>
    </row>
    <row r="9821" spans="1:6" x14ac:dyDescent="0.25">
      <c r="A9821" t="s">
        <v>13142</v>
      </c>
      <c r="B9821" t="s">
        <v>398</v>
      </c>
      <c r="C9821" t="s">
        <v>399</v>
      </c>
      <c r="D9821" t="str">
        <f>HYPERLINK("http://service.sap.com/sap/support/notes/1854385","1854385")</f>
        <v>1854385</v>
      </c>
      <c r="E9821">
        <v>2</v>
      </c>
      <c r="F9821" t="s">
        <v>13013</v>
      </c>
    </row>
    <row r="9822" spans="1:6" x14ac:dyDescent="0.25">
      <c r="A9822" t="s">
        <v>13142</v>
      </c>
      <c r="B9822" t="s">
        <v>401</v>
      </c>
      <c r="C9822" t="s">
        <v>183</v>
      </c>
      <c r="D9822" t="str">
        <f>HYPERLINK("http://service.sap.com/sap/support/notes/1865450","1865450")</f>
        <v>1865450</v>
      </c>
      <c r="E9822">
        <v>1</v>
      </c>
      <c r="F9822" t="s">
        <v>13012</v>
      </c>
    </row>
    <row r="9823" spans="1:6" x14ac:dyDescent="0.25">
      <c r="A9823" t="s">
        <v>13142</v>
      </c>
      <c r="B9823" t="s">
        <v>403</v>
      </c>
      <c r="C9823" t="s">
        <v>185</v>
      </c>
      <c r="D9823" t="str">
        <f>HYPERLINK("http://service.sap.com/sap/support/notes/395134","395134")</f>
        <v>395134</v>
      </c>
      <c r="E9823">
        <v>3</v>
      </c>
      <c r="F9823" t="s">
        <v>13011</v>
      </c>
    </row>
    <row r="9824" spans="1:6" x14ac:dyDescent="0.25">
      <c r="A9824" t="s">
        <v>13142</v>
      </c>
      <c r="B9824" t="s">
        <v>403</v>
      </c>
      <c r="C9824" t="s">
        <v>185</v>
      </c>
      <c r="D9824" t="str">
        <f>HYPERLINK("http://service.sap.com/sap/support/notes/1855600","1855600")</f>
        <v>1855600</v>
      </c>
      <c r="E9824">
        <v>1</v>
      </c>
      <c r="F9824" t="s">
        <v>13010</v>
      </c>
    </row>
    <row r="9825" spans="1:6" x14ac:dyDescent="0.25">
      <c r="A9825" t="s">
        <v>13142</v>
      </c>
      <c r="B9825" t="s">
        <v>403</v>
      </c>
      <c r="C9825" t="s">
        <v>185</v>
      </c>
      <c r="D9825" t="str">
        <f>HYPERLINK("http://service.sap.com/sap/support/notes/1885684","1885684")</f>
        <v>1885684</v>
      </c>
      <c r="E9825">
        <v>1</v>
      </c>
      <c r="F9825" t="s">
        <v>13009</v>
      </c>
    </row>
    <row r="9826" spans="1:6" x14ac:dyDescent="0.25">
      <c r="A9826" t="s">
        <v>13142</v>
      </c>
      <c r="B9826" t="s">
        <v>403</v>
      </c>
      <c r="C9826" t="s">
        <v>185</v>
      </c>
      <c r="D9826" t="str">
        <f>HYPERLINK("http://service.sap.com/sap/support/notes/1893078","1893078")</f>
        <v>1893078</v>
      </c>
      <c r="E9826">
        <v>1</v>
      </c>
      <c r="F9826" t="s">
        <v>13008</v>
      </c>
    </row>
    <row r="9827" spans="1:6" x14ac:dyDescent="0.25">
      <c r="A9827" t="s">
        <v>13142</v>
      </c>
      <c r="B9827" t="s">
        <v>403</v>
      </c>
      <c r="C9827" t="s">
        <v>185</v>
      </c>
      <c r="D9827" t="str">
        <f>HYPERLINK("http://service.sap.com/sap/support/notes/1893707","1893707")</f>
        <v>1893707</v>
      </c>
      <c r="E9827">
        <v>1</v>
      </c>
      <c r="F9827" t="s">
        <v>13007</v>
      </c>
    </row>
    <row r="9828" spans="1:6" x14ac:dyDescent="0.25">
      <c r="A9828" t="s">
        <v>13142</v>
      </c>
      <c r="B9828" t="s">
        <v>423</v>
      </c>
      <c r="C9828" t="s">
        <v>13006</v>
      </c>
    </row>
    <row r="9829" spans="1:6" x14ac:dyDescent="0.25">
      <c r="A9829" t="s">
        <v>13142</v>
      </c>
      <c r="B9829" t="s">
        <v>430</v>
      </c>
      <c r="C9829" t="s">
        <v>431</v>
      </c>
      <c r="D9829" t="str">
        <f>HYPERLINK("http://service.sap.com/sap/support/notes/1577957","1577957")</f>
        <v>1577957</v>
      </c>
      <c r="E9829">
        <v>3</v>
      </c>
      <c r="F9829" t="s">
        <v>13005</v>
      </c>
    </row>
    <row r="9830" spans="1:6" x14ac:dyDescent="0.25">
      <c r="A9830" t="s">
        <v>13142</v>
      </c>
      <c r="B9830" t="s">
        <v>430</v>
      </c>
      <c r="C9830" t="s">
        <v>431</v>
      </c>
      <c r="D9830" t="str">
        <f>HYPERLINK("http://service.sap.com/sap/support/notes/1581487","1581487")</f>
        <v>1581487</v>
      </c>
      <c r="E9830">
        <v>3</v>
      </c>
      <c r="F9830" t="s">
        <v>13004</v>
      </c>
    </row>
    <row r="9831" spans="1:6" x14ac:dyDescent="0.25">
      <c r="A9831" t="s">
        <v>13142</v>
      </c>
      <c r="B9831" t="s">
        <v>436</v>
      </c>
      <c r="C9831" t="s">
        <v>437</v>
      </c>
    </row>
    <row r="9832" spans="1:6" x14ac:dyDescent="0.25">
      <c r="A9832" t="s">
        <v>13142</v>
      </c>
      <c r="B9832" t="s">
        <v>4329</v>
      </c>
      <c r="C9832" t="s">
        <v>29</v>
      </c>
      <c r="D9832" t="str">
        <f>HYPERLINK("http://service.sap.com/sap/support/notes/1888336","1888336")</f>
        <v>1888336</v>
      </c>
      <c r="E9832">
        <v>1</v>
      </c>
      <c r="F9832" t="s">
        <v>13003</v>
      </c>
    </row>
    <row r="9833" spans="1:6" x14ac:dyDescent="0.25">
      <c r="A9833" t="s">
        <v>13142</v>
      </c>
      <c r="B9833" t="s">
        <v>438</v>
      </c>
      <c r="C9833" t="s">
        <v>431</v>
      </c>
      <c r="D9833" t="str">
        <f>HYPERLINK("http://service.sap.com/sap/support/notes/1641039","1641039")</f>
        <v>1641039</v>
      </c>
      <c r="E9833">
        <v>2</v>
      </c>
      <c r="F9833" t="s">
        <v>13002</v>
      </c>
    </row>
    <row r="9834" spans="1:6" x14ac:dyDescent="0.25">
      <c r="A9834" t="s">
        <v>13142</v>
      </c>
      <c r="B9834" t="s">
        <v>438</v>
      </c>
      <c r="C9834" t="s">
        <v>431</v>
      </c>
      <c r="D9834" t="str">
        <f>HYPERLINK("http://service.sap.com/sap/support/notes/1835118","1835118")</f>
        <v>1835118</v>
      </c>
      <c r="E9834">
        <v>5</v>
      </c>
      <c r="F9834" t="s">
        <v>13001</v>
      </c>
    </row>
    <row r="9835" spans="1:6" x14ac:dyDescent="0.25">
      <c r="A9835" t="s">
        <v>13142</v>
      </c>
      <c r="B9835" t="s">
        <v>442</v>
      </c>
      <c r="C9835" t="s">
        <v>443</v>
      </c>
    </row>
    <row r="9836" spans="1:6" x14ac:dyDescent="0.25">
      <c r="A9836" t="s">
        <v>13142</v>
      </c>
      <c r="B9836" t="s">
        <v>4333</v>
      </c>
      <c r="C9836" t="s">
        <v>29</v>
      </c>
      <c r="D9836" t="str">
        <f>HYPERLINK("http://service.sap.com/sap/support/notes/1862427","1862427")</f>
        <v>1862427</v>
      </c>
      <c r="E9836">
        <v>2</v>
      </c>
      <c r="F9836" t="s">
        <v>13000</v>
      </c>
    </row>
    <row r="9837" spans="1:6" x14ac:dyDescent="0.25">
      <c r="A9837" t="s">
        <v>13142</v>
      </c>
      <c r="B9837" t="s">
        <v>4333</v>
      </c>
      <c r="C9837" t="s">
        <v>29</v>
      </c>
      <c r="D9837" t="str">
        <f>HYPERLINK("http://service.sap.com/sap/support/notes/1897608","1897608")</f>
        <v>1897608</v>
      </c>
      <c r="E9837">
        <v>2</v>
      </c>
      <c r="F9837" t="s">
        <v>12999</v>
      </c>
    </row>
    <row r="9838" spans="1:6" x14ac:dyDescent="0.25">
      <c r="A9838" t="s">
        <v>13142</v>
      </c>
      <c r="B9838" t="s">
        <v>444</v>
      </c>
      <c r="C9838" t="s">
        <v>445</v>
      </c>
      <c r="D9838" t="str">
        <f>HYPERLINK("http://service.sap.com/sap/support/notes/1857121","1857121")</f>
        <v>1857121</v>
      </c>
      <c r="E9838">
        <v>1</v>
      </c>
      <c r="F9838" t="s">
        <v>12998</v>
      </c>
    </row>
    <row r="9839" spans="1:6" x14ac:dyDescent="0.25">
      <c r="A9839" t="s">
        <v>13142</v>
      </c>
      <c r="B9839" t="s">
        <v>444</v>
      </c>
      <c r="C9839" t="s">
        <v>445</v>
      </c>
      <c r="D9839" t="str">
        <f>HYPERLINK("http://service.sap.com/sap/support/notes/1891307","1891307")</f>
        <v>1891307</v>
      </c>
      <c r="E9839">
        <v>1</v>
      </c>
      <c r="F9839" t="s">
        <v>12997</v>
      </c>
    </row>
    <row r="9840" spans="1:6" x14ac:dyDescent="0.25">
      <c r="A9840" t="s">
        <v>13142</v>
      </c>
      <c r="B9840" t="s">
        <v>12996</v>
      </c>
      <c r="C9840" t="s">
        <v>502</v>
      </c>
      <c r="D9840" t="str">
        <f>HYPERLINK("http://service.sap.com/sap/support/notes/1882760","1882760")</f>
        <v>1882760</v>
      </c>
      <c r="E9840">
        <v>2</v>
      </c>
      <c r="F9840" t="s">
        <v>12995</v>
      </c>
    </row>
    <row r="9841" spans="1:6" x14ac:dyDescent="0.25">
      <c r="A9841" t="s">
        <v>13142</v>
      </c>
      <c r="B9841" t="s">
        <v>450</v>
      </c>
      <c r="C9841" t="s">
        <v>451</v>
      </c>
      <c r="D9841" t="str">
        <f>HYPERLINK("http://service.sap.com/sap/support/notes/1873059","1873059")</f>
        <v>1873059</v>
      </c>
      <c r="E9841">
        <v>1</v>
      </c>
      <c r="F9841" t="s">
        <v>12994</v>
      </c>
    </row>
    <row r="9842" spans="1:6" x14ac:dyDescent="0.25">
      <c r="A9842" t="s">
        <v>13142</v>
      </c>
      <c r="B9842" t="s">
        <v>450</v>
      </c>
      <c r="C9842" t="s">
        <v>451</v>
      </c>
      <c r="D9842" t="str">
        <f>HYPERLINK("http://service.sap.com/sap/support/notes/1884747","1884747")</f>
        <v>1884747</v>
      </c>
      <c r="E9842">
        <v>1</v>
      </c>
      <c r="F9842" t="s">
        <v>12993</v>
      </c>
    </row>
    <row r="9843" spans="1:6" x14ac:dyDescent="0.25">
      <c r="A9843" t="s">
        <v>13142</v>
      </c>
      <c r="B9843" t="s">
        <v>456</v>
      </c>
      <c r="C9843" t="s">
        <v>431</v>
      </c>
      <c r="D9843" t="str">
        <f>HYPERLINK("http://service.sap.com/sap/support/notes/1524174","1524174")</f>
        <v>1524174</v>
      </c>
      <c r="E9843">
        <v>9</v>
      </c>
      <c r="F9843" t="s">
        <v>12992</v>
      </c>
    </row>
    <row r="9844" spans="1:6" x14ac:dyDescent="0.25">
      <c r="A9844" t="s">
        <v>13142</v>
      </c>
      <c r="B9844" t="s">
        <v>456</v>
      </c>
      <c r="C9844" t="s">
        <v>431</v>
      </c>
      <c r="D9844" t="str">
        <f>HYPERLINK("http://service.sap.com/sap/support/notes/1541228","1541228")</f>
        <v>1541228</v>
      </c>
      <c r="E9844">
        <v>3</v>
      </c>
      <c r="F9844" t="s">
        <v>12991</v>
      </c>
    </row>
    <row r="9845" spans="1:6" x14ac:dyDescent="0.25">
      <c r="A9845" t="s">
        <v>13142</v>
      </c>
      <c r="B9845" t="s">
        <v>456</v>
      </c>
      <c r="C9845" t="s">
        <v>431</v>
      </c>
      <c r="D9845" t="str">
        <f>HYPERLINK("http://service.sap.com/sap/support/notes/1765792","1765792")</f>
        <v>1765792</v>
      </c>
      <c r="E9845">
        <v>8</v>
      </c>
      <c r="F9845" t="s">
        <v>12990</v>
      </c>
    </row>
    <row r="9846" spans="1:6" x14ac:dyDescent="0.25">
      <c r="A9846" t="s">
        <v>13142</v>
      </c>
      <c r="B9846" t="s">
        <v>456</v>
      </c>
      <c r="C9846" t="s">
        <v>431</v>
      </c>
      <c r="D9846" t="str">
        <f>HYPERLINK("http://service.sap.com/sap/support/notes/1868566","1868566")</f>
        <v>1868566</v>
      </c>
      <c r="E9846">
        <v>2</v>
      </c>
      <c r="F9846" t="s">
        <v>12989</v>
      </c>
    </row>
    <row r="9847" spans="1:6" x14ac:dyDescent="0.25">
      <c r="A9847" t="s">
        <v>13142</v>
      </c>
      <c r="B9847" t="s">
        <v>456</v>
      </c>
      <c r="C9847" t="s">
        <v>431</v>
      </c>
      <c r="D9847" t="str">
        <f>HYPERLINK("http://service.sap.com/sap/support/notes/1881273","1881273")</f>
        <v>1881273</v>
      </c>
      <c r="E9847">
        <v>2</v>
      </c>
      <c r="F9847" t="s">
        <v>12988</v>
      </c>
    </row>
    <row r="9848" spans="1:6" x14ac:dyDescent="0.25">
      <c r="A9848" t="s">
        <v>13142</v>
      </c>
      <c r="B9848" t="s">
        <v>456</v>
      </c>
      <c r="C9848" t="s">
        <v>431</v>
      </c>
      <c r="D9848" t="str">
        <f>HYPERLINK("http://service.sap.com/sap/support/notes/1881876","1881876")</f>
        <v>1881876</v>
      </c>
      <c r="E9848">
        <v>1</v>
      </c>
      <c r="F9848" t="s">
        <v>12987</v>
      </c>
    </row>
    <row r="9849" spans="1:6" x14ac:dyDescent="0.25">
      <c r="A9849" t="s">
        <v>13142</v>
      </c>
      <c r="B9849" t="s">
        <v>456</v>
      </c>
      <c r="C9849" t="s">
        <v>431</v>
      </c>
      <c r="D9849" t="str">
        <f>HYPERLINK("http://service.sap.com/sap/support/notes/1883584","1883584")</f>
        <v>1883584</v>
      </c>
      <c r="E9849">
        <v>1</v>
      </c>
      <c r="F9849" t="s">
        <v>12986</v>
      </c>
    </row>
    <row r="9850" spans="1:6" x14ac:dyDescent="0.25">
      <c r="A9850" t="s">
        <v>13142</v>
      </c>
      <c r="B9850" t="s">
        <v>465</v>
      </c>
      <c r="C9850" t="s">
        <v>466</v>
      </c>
      <c r="D9850" t="str">
        <f>HYPERLINK("http://service.sap.com/sap/support/notes/1874153","1874153")</f>
        <v>1874153</v>
      </c>
      <c r="E9850">
        <v>1</v>
      </c>
      <c r="F9850" t="s">
        <v>12985</v>
      </c>
    </row>
    <row r="9851" spans="1:6" x14ac:dyDescent="0.25">
      <c r="A9851" t="s">
        <v>13142</v>
      </c>
      <c r="B9851" t="s">
        <v>469</v>
      </c>
      <c r="C9851" t="s">
        <v>470</v>
      </c>
    </row>
    <row r="9852" spans="1:6" x14ac:dyDescent="0.25">
      <c r="A9852" t="s">
        <v>13142</v>
      </c>
      <c r="B9852" t="s">
        <v>6630</v>
      </c>
      <c r="C9852" t="s">
        <v>29</v>
      </c>
      <c r="D9852" t="str">
        <f>HYPERLINK("http://service.sap.com/sap/support/notes/1879690","1879690")</f>
        <v>1879690</v>
      </c>
      <c r="E9852">
        <v>2</v>
      </c>
      <c r="F9852" t="s">
        <v>12984</v>
      </c>
    </row>
    <row r="9853" spans="1:6" x14ac:dyDescent="0.25">
      <c r="A9853" t="s">
        <v>13142</v>
      </c>
      <c r="B9853" t="s">
        <v>473</v>
      </c>
      <c r="C9853" t="s">
        <v>474</v>
      </c>
      <c r="D9853" t="str">
        <f>HYPERLINK("http://service.sap.com/sap/support/notes/865072","865072")</f>
        <v>865072</v>
      </c>
      <c r="E9853">
        <v>7</v>
      </c>
      <c r="F9853" t="s">
        <v>12983</v>
      </c>
    </row>
    <row r="9854" spans="1:6" x14ac:dyDescent="0.25">
      <c r="A9854" t="s">
        <v>13142</v>
      </c>
      <c r="B9854" t="s">
        <v>473</v>
      </c>
      <c r="C9854" t="s">
        <v>474</v>
      </c>
      <c r="D9854" t="str">
        <f>HYPERLINK("http://service.sap.com/sap/support/notes/1876048","1876048")</f>
        <v>1876048</v>
      </c>
      <c r="E9854">
        <v>3</v>
      </c>
      <c r="F9854" t="s">
        <v>12982</v>
      </c>
    </row>
    <row r="9855" spans="1:6" x14ac:dyDescent="0.25">
      <c r="A9855" t="s">
        <v>13142</v>
      </c>
      <c r="B9855" t="s">
        <v>473</v>
      </c>
      <c r="C9855" t="s">
        <v>474</v>
      </c>
      <c r="D9855" t="str">
        <f>HYPERLINK("http://service.sap.com/sap/support/notes/1879220","1879220")</f>
        <v>1879220</v>
      </c>
      <c r="E9855">
        <v>1</v>
      </c>
      <c r="F9855" t="s">
        <v>12981</v>
      </c>
    </row>
    <row r="9856" spans="1:6" x14ac:dyDescent="0.25">
      <c r="A9856" t="s">
        <v>13142</v>
      </c>
      <c r="B9856" t="s">
        <v>473</v>
      </c>
      <c r="C9856" t="s">
        <v>474</v>
      </c>
      <c r="D9856" t="str">
        <f>HYPERLINK("http://service.sap.com/sap/support/notes/1881731","1881731")</f>
        <v>1881731</v>
      </c>
      <c r="E9856">
        <v>1</v>
      </c>
      <c r="F9856" t="s">
        <v>12980</v>
      </c>
    </row>
    <row r="9857" spans="1:6" x14ac:dyDescent="0.25">
      <c r="A9857" t="s">
        <v>13142</v>
      </c>
      <c r="B9857" t="s">
        <v>479</v>
      </c>
      <c r="C9857" t="s">
        <v>480</v>
      </c>
    </row>
    <row r="9858" spans="1:6" x14ac:dyDescent="0.25">
      <c r="A9858" t="s">
        <v>13142</v>
      </c>
      <c r="B9858" t="s">
        <v>481</v>
      </c>
      <c r="C9858" t="s">
        <v>29</v>
      </c>
      <c r="D9858" t="str">
        <f>HYPERLINK("http://service.sap.com/sap/support/notes/1788350","1788350")</f>
        <v>1788350</v>
      </c>
      <c r="E9858">
        <v>2</v>
      </c>
      <c r="F9858" t="s">
        <v>12979</v>
      </c>
    </row>
    <row r="9859" spans="1:6" x14ac:dyDescent="0.25">
      <c r="A9859" t="s">
        <v>13142</v>
      </c>
      <c r="B9859" t="s">
        <v>481</v>
      </c>
      <c r="C9859" t="s">
        <v>29</v>
      </c>
      <c r="D9859" t="str">
        <f>HYPERLINK("http://service.sap.com/sap/support/notes/1870481","1870481")</f>
        <v>1870481</v>
      </c>
      <c r="E9859">
        <v>1</v>
      </c>
      <c r="F9859" t="s">
        <v>12978</v>
      </c>
    </row>
    <row r="9860" spans="1:6" x14ac:dyDescent="0.25">
      <c r="A9860" t="s">
        <v>13142</v>
      </c>
      <c r="B9860" t="s">
        <v>485</v>
      </c>
      <c r="C9860" t="s">
        <v>445</v>
      </c>
      <c r="D9860" t="str">
        <f>HYPERLINK("http://service.sap.com/sap/support/notes/1878895","1878895")</f>
        <v>1878895</v>
      </c>
      <c r="E9860">
        <v>1</v>
      </c>
      <c r="F9860" t="s">
        <v>12977</v>
      </c>
    </row>
    <row r="9861" spans="1:6" x14ac:dyDescent="0.25">
      <c r="A9861" t="s">
        <v>13142</v>
      </c>
      <c r="B9861" t="s">
        <v>485</v>
      </c>
      <c r="C9861" t="s">
        <v>445</v>
      </c>
      <c r="D9861" t="str">
        <f>HYPERLINK("http://service.sap.com/sap/support/notes/1901618","1901618")</f>
        <v>1901618</v>
      </c>
      <c r="E9861">
        <v>1</v>
      </c>
      <c r="F9861" t="s">
        <v>12976</v>
      </c>
    </row>
    <row r="9862" spans="1:6" x14ac:dyDescent="0.25">
      <c r="A9862" t="s">
        <v>13142</v>
      </c>
      <c r="B9862" t="s">
        <v>489</v>
      </c>
      <c r="C9862" t="s">
        <v>490</v>
      </c>
      <c r="D9862" t="str">
        <f>HYPERLINK("http://service.sap.com/sap/support/notes/1847059","1847059")</f>
        <v>1847059</v>
      </c>
      <c r="E9862">
        <v>1</v>
      </c>
      <c r="F9862" t="s">
        <v>12975</v>
      </c>
    </row>
    <row r="9863" spans="1:6" x14ac:dyDescent="0.25">
      <c r="A9863" t="s">
        <v>13142</v>
      </c>
      <c r="B9863" t="s">
        <v>489</v>
      </c>
      <c r="C9863" t="s">
        <v>490</v>
      </c>
      <c r="D9863" t="str">
        <f>HYPERLINK("http://service.sap.com/sap/support/notes/1874200","1874200")</f>
        <v>1874200</v>
      </c>
      <c r="E9863">
        <v>1</v>
      </c>
      <c r="F9863" t="s">
        <v>12974</v>
      </c>
    </row>
    <row r="9864" spans="1:6" x14ac:dyDescent="0.25">
      <c r="A9864" t="s">
        <v>13142</v>
      </c>
      <c r="B9864" t="s">
        <v>489</v>
      </c>
      <c r="C9864" t="s">
        <v>490</v>
      </c>
      <c r="D9864" t="str">
        <f>HYPERLINK("http://service.sap.com/sap/support/notes/1875402","1875402")</f>
        <v>1875402</v>
      </c>
      <c r="E9864">
        <v>3</v>
      </c>
      <c r="F9864" t="s">
        <v>12973</v>
      </c>
    </row>
    <row r="9865" spans="1:6" x14ac:dyDescent="0.25">
      <c r="A9865" t="s">
        <v>13142</v>
      </c>
      <c r="B9865" t="s">
        <v>489</v>
      </c>
      <c r="C9865" t="s">
        <v>490</v>
      </c>
      <c r="D9865" t="str">
        <f>HYPERLINK("http://service.sap.com/sap/support/notes/1889094","1889094")</f>
        <v>1889094</v>
      </c>
      <c r="E9865">
        <v>2</v>
      </c>
      <c r="F9865" t="s">
        <v>12972</v>
      </c>
    </row>
    <row r="9866" spans="1:6" x14ac:dyDescent="0.25">
      <c r="A9866" t="s">
        <v>13142</v>
      </c>
      <c r="B9866" t="s">
        <v>489</v>
      </c>
      <c r="C9866" t="s">
        <v>490</v>
      </c>
      <c r="D9866" t="str">
        <f>HYPERLINK("http://service.sap.com/sap/support/notes/1891646","1891646")</f>
        <v>1891646</v>
      </c>
      <c r="E9866">
        <v>1</v>
      </c>
      <c r="F9866" t="s">
        <v>12971</v>
      </c>
    </row>
    <row r="9867" spans="1:6" x14ac:dyDescent="0.25">
      <c r="A9867" t="s">
        <v>13142</v>
      </c>
      <c r="B9867" t="s">
        <v>489</v>
      </c>
      <c r="C9867" t="s">
        <v>490</v>
      </c>
      <c r="D9867" t="str">
        <f>HYPERLINK("http://service.sap.com/sap/support/notes/1892217","1892217")</f>
        <v>1892217</v>
      </c>
      <c r="E9867">
        <v>1</v>
      </c>
      <c r="F9867" t="s">
        <v>12970</v>
      </c>
    </row>
    <row r="9868" spans="1:6" x14ac:dyDescent="0.25">
      <c r="A9868" t="s">
        <v>13142</v>
      </c>
      <c r="B9868" t="s">
        <v>489</v>
      </c>
      <c r="C9868" t="s">
        <v>490</v>
      </c>
      <c r="D9868" t="str">
        <f>HYPERLINK("http://service.sap.com/sap/support/notes/1893204","1893204")</f>
        <v>1893204</v>
      </c>
      <c r="E9868">
        <v>1</v>
      </c>
      <c r="F9868" t="s">
        <v>12969</v>
      </c>
    </row>
    <row r="9869" spans="1:6" x14ac:dyDescent="0.25">
      <c r="A9869" t="s">
        <v>13142</v>
      </c>
      <c r="B9869" t="s">
        <v>501</v>
      </c>
      <c r="C9869" t="s">
        <v>502</v>
      </c>
      <c r="D9869" t="str">
        <f>HYPERLINK("http://service.sap.com/sap/support/notes/1867595","1867595")</f>
        <v>1867595</v>
      </c>
      <c r="E9869">
        <v>1</v>
      </c>
      <c r="F9869" t="s">
        <v>12968</v>
      </c>
    </row>
    <row r="9870" spans="1:6" x14ac:dyDescent="0.25">
      <c r="A9870" t="s">
        <v>13142</v>
      </c>
      <c r="B9870" t="s">
        <v>501</v>
      </c>
      <c r="C9870" t="s">
        <v>502</v>
      </c>
      <c r="D9870" t="str">
        <f>HYPERLINK("http://service.sap.com/sap/support/notes/1887127","1887127")</f>
        <v>1887127</v>
      </c>
      <c r="E9870">
        <v>2</v>
      </c>
      <c r="F9870" t="s">
        <v>12967</v>
      </c>
    </row>
    <row r="9871" spans="1:6" x14ac:dyDescent="0.25">
      <c r="A9871" t="s">
        <v>13142</v>
      </c>
      <c r="B9871" t="s">
        <v>504</v>
      </c>
      <c r="C9871" t="s">
        <v>431</v>
      </c>
      <c r="D9871" t="str">
        <f>HYPERLINK("http://service.sap.com/sap/support/notes/1014227","1014227")</f>
        <v>1014227</v>
      </c>
      <c r="E9871">
        <v>12</v>
      </c>
      <c r="F9871" t="s">
        <v>12966</v>
      </c>
    </row>
    <row r="9872" spans="1:6" x14ac:dyDescent="0.25">
      <c r="A9872" t="s">
        <v>13142</v>
      </c>
      <c r="B9872" t="s">
        <v>504</v>
      </c>
      <c r="C9872" t="s">
        <v>431</v>
      </c>
      <c r="D9872" t="str">
        <f>HYPERLINK("http://service.sap.com/sap/support/notes/1247184","1247184")</f>
        <v>1247184</v>
      </c>
      <c r="E9872">
        <v>8</v>
      </c>
      <c r="F9872" t="s">
        <v>12965</v>
      </c>
    </row>
    <row r="9873" spans="1:6" x14ac:dyDescent="0.25">
      <c r="A9873" t="s">
        <v>13142</v>
      </c>
      <c r="B9873" t="s">
        <v>504</v>
      </c>
      <c r="C9873" t="s">
        <v>431</v>
      </c>
      <c r="D9873" t="str">
        <f>HYPERLINK("http://service.sap.com/sap/support/notes/1809392","1809392")</f>
        <v>1809392</v>
      </c>
      <c r="E9873">
        <v>2</v>
      </c>
      <c r="F9873" t="s">
        <v>12964</v>
      </c>
    </row>
    <row r="9874" spans="1:6" x14ac:dyDescent="0.25">
      <c r="A9874" t="s">
        <v>13142</v>
      </c>
      <c r="B9874" t="s">
        <v>504</v>
      </c>
      <c r="C9874" t="s">
        <v>431</v>
      </c>
      <c r="D9874" t="str">
        <f>HYPERLINK("http://service.sap.com/sap/support/notes/1833935","1833935")</f>
        <v>1833935</v>
      </c>
      <c r="E9874">
        <v>5</v>
      </c>
      <c r="F9874" t="s">
        <v>12963</v>
      </c>
    </row>
    <row r="9875" spans="1:6" x14ac:dyDescent="0.25">
      <c r="A9875" t="s">
        <v>13142</v>
      </c>
      <c r="B9875" t="s">
        <v>504</v>
      </c>
      <c r="C9875" t="s">
        <v>431</v>
      </c>
      <c r="D9875" t="str">
        <f>HYPERLINK("http://service.sap.com/sap/support/notes/1835490","1835490")</f>
        <v>1835490</v>
      </c>
      <c r="E9875">
        <v>3</v>
      </c>
      <c r="F9875" t="s">
        <v>12962</v>
      </c>
    </row>
    <row r="9876" spans="1:6" x14ac:dyDescent="0.25">
      <c r="A9876" t="s">
        <v>13142</v>
      </c>
      <c r="B9876" t="s">
        <v>504</v>
      </c>
      <c r="C9876" t="s">
        <v>431</v>
      </c>
      <c r="D9876" t="str">
        <f>HYPERLINK("http://service.sap.com/sap/support/notes/1853037","1853037")</f>
        <v>1853037</v>
      </c>
      <c r="E9876">
        <v>3</v>
      </c>
      <c r="F9876" t="s">
        <v>12961</v>
      </c>
    </row>
    <row r="9877" spans="1:6" x14ac:dyDescent="0.25">
      <c r="A9877" t="s">
        <v>13142</v>
      </c>
      <c r="B9877" t="s">
        <v>504</v>
      </c>
      <c r="C9877" t="s">
        <v>431</v>
      </c>
      <c r="D9877" t="str">
        <f>HYPERLINK("http://service.sap.com/sap/support/notes/1891854","1891854")</f>
        <v>1891854</v>
      </c>
      <c r="E9877">
        <v>1</v>
      </c>
      <c r="F9877" t="s">
        <v>12960</v>
      </c>
    </row>
    <row r="9878" spans="1:6" x14ac:dyDescent="0.25">
      <c r="A9878" t="s">
        <v>13142</v>
      </c>
      <c r="B9878" t="s">
        <v>517</v>
      </c>
      <c r="C9878" t="s">
        <v>466</v>
      </c>
      <c r="D9878" t="str">
        <f>HYPERLINK("http://service.sap.com/sap/support/notes/1883019","1883019")</f>
        <v>1883019</v>
      </c>
      <c r="E9878">
        <v>2</v>
      </c>
      <c r="F9878" t="s">
        <v>12959</v>
      </c>
    </row>
    <row r="9879" spans="1:6" x14ac:dyDescent="0.25">
      <c r="A9879" t="s">
        <v>13142</v>
      </c>
      <c r="B9879" t="s">
        <v>519</v>
      </c>
      <c r="C9879" t="s">
        <v>190</v>
      </c>
      <c r="D9879" t="str">
        <f>HYPERLINK("http://service.sap.com/sap/support/notes/1834753","1834753")</f>
        <v>1834753</v>
      </c>
      <c r="E9879">
        <v>2</v>
      </c>
      <c r="F9879" t="s">
        <v>12958</v>
      </c>
    </row>
    <row r="9880" spans="1:6" x14ac:dyDescent="0.25">
      <c r="A9880" t="s">
        <v>13142</v>
      </c>
      <c r="B9880" t="s">
        <v>519</v>
      </c>
      <c r="C9880" t="s">
        <v>190</v>
      </c>
      <c r="D9880" t="str">
        <f>HYPERLINK("http://service.sap.com/sap/support/notes/1877075","1877075")</f>
        <v>1877075</v>
      </c>
      <c r="E9880">
        <v>1</v>
      </c>
      <c r="F9880" t="s">
        <v>12957</v>
      </c>
    </row>
    <row r="9881" spans="1:6" x14ac:dyDescent="0.25">
      <c r="A9881" t="s">
        <v>13142</v>
      </c>
      <c r="B9881" t="s">
        <v>519</v>
      </c>
      <c r="C9881" t="s">
        <v>190</v>
      </c>
      <c r="D9881" t="str">
        <f>HYPERLINK("http://service.sap.com/sap/support/notes/1886021","1886021")</f>
        <v>1886021</v>
      </c>
      <c r="E9881">
        <v>1</v>
      </c>
      <c r="F9881" t="s">
        <v>12956</v>
      </c>
    </row>
    <row r="9882" spans="1:6" x14ac:dyDescent="0.25">
      <c r="A9882" t="s">
        <v>13142</v>
      </c>
      <c r="B9882" t="s">
        <v>535</v>
      </c>
      <c r="C9882" t="s">
        <v>536</v>
      </c>
      <c r="D9882" t="str">
        <f>HYPERLINK("http://service.sap.com/sap/support/notes/999199","999199")</f>
        <v>999199</v>
      </c>
      <c r="E9882">
        <v>6</v>
      </c>
      <c r="F9882" t="s">
        <v>12955</v>
      </c>
    </row>
    <row r="9883" spans="1:6" x14ac:dyDescent="0.25">
      <c r="A9883" t="s">
        <v>13142</v>
      </c>
      <c r="B9883" t="s">
        <v>535</v>
      </c>
      <c r="C9883" t="s">
        <v>536</v>
      </c>
      <c r="D9883" t="str">
        <f>HYPERLINK("http://service.sap.com/sap/support/notes/1772644","1772644")</f>
        <v>1772644</v>
      </c>
      <c r="E9883">
        <v>5</v>
      </c>
      <c r="F9883" t="s">
        <v>12954</v>
      </c>
    </row>
    <row r="9884" spans="1:6" x14ac:dyDescent="0.25">
      <c r="A9884" t="s">
        <v>13142</v>
      </c>
      <c r="B9884" t="s">
        <v>535</v>
      </c>
      <c r="C9884" t="s">
        <v>536</v>
      </c>
      <c r="D9884" t="str">
        <f>HYPERLINK("http://service.sap.com/sap/support/notes/1827755","1827755")</f>
        <v>1827755</v>
      </c>
      <c r="E9884">
        <v>1</v>
      </c>
      <c r="F9884" t="s">
        <v>12953</v>
      </c>
    </row>
    <row r="9885" spans="1:6" x14ac:dyDescent="0.25">
      <c r="A9885" t="s">
        <v>13142</v>
      </c>
      <c r="B9885" t="s">
        <v>535</v>
      </c>
      <c r="C9885" t="s">
        <v>536</v>
      </c>
      <c r="D9885" t="str">
        <f>HYPERLINK("http://service.sap.com/sap/support/notes/1860409","1860409")</f>
        <v>1860409</v>
      </c>
      <c r="E9885">
        <v>1</v>
      </c>
      <c r="F9885" t="s">
        <v>12952</v>
      </c>
    </row>
    <row r="9886" spans="1:6" x14ac:dyDescent="0.25">
      <c r="A9886" t="s">
        <v>13142</v>
      </c>
      <c r="B9886" t="s">
        <v>535</v>
      </c>
      <c r="C9886" t="s">
        <v>536</v>
      </c>
      <c r="D9886" t="str">
        <f>HYPERLINK("http://service.sap.com/sap/support/notes/1864779","1864779")</f>
        <v>1864779</v>
      </c>
      <c r="E9886">
        <v>2</v>
      </c>
      <c r="F9886" t="s">
        <v>12951</v>
      </c>
    </row>
    <row r="9887" spans="1:6" x14ac:dyDescent="0.25">
      <c r="A9887" t="s">
        <v>13142</v>
      </c>
      <c r="B9887" t="s">
        <v>535</v>
      </c>
      <c r="C9887" t="s">
        <v>536</v>
      </c>
      <c r="D9887" t="str">
        <f>HYPERLINK("http://service.sap.com/sap/support/notes/1865105","1865105")</f>
        <v>1865105</v>
      </c>
      <c r="E9887">
        <v>3</v>
      </c>
      <c r="F9887" t="s">
        <v>12950</v>
      </c>
    </row>
    <row r="9888" spans="1:6" x14ac:dyDescent="0.25">
      <c r="A9888" t="s">
        <v>13142</v>
      </c>
      <c r="B9888" t="s">
        <v>535</v>
      </c>
      <c r="C9888" t="s">
        <v>536</v>
      </c>
      <c r="D9888" t="str">
        <f>HYPERLINK("http://service.sap.com/sap/support/notes/1882426","1882426")</f>
        <v>1882426</v>
      </c>
      <c r="E9888">
        <v>3</v>
      </c>
      <c r="F9888" t="s">
        <v>12949</v>
      </c>
    </row>
    <row r="9889" spans="1:6" x14ac:dyDescent="0.25">
      <c r="A9889" t="s">
        <v>13142</v>
      </c>
      <c r="B9889" t="s">
        <v>4381</v>
      </c>
      <c r="C9889" t="s">
        <v>824</v>
      </c>
      <c r="D9889" t="str">
        <f>HYPERLINK("http://service.sap.com/sap/support/notes/1831304","1831304")</f>
        <v>1831304</v>
      </c>
      <c r="E9889">
        <v>3</v>
      </c>
      <c r="F9889" t="s">
        <v>12948</v>
      </c>
    </row>
    <row r="9890" spans="1:6" x14ac:dyDescent="0.25">
      <c r="A9890" t="s">
        <v>13142</v>
      </c>
      <c r="B9890" t="s">
        <v>4381</v>
      </c>
      <c r="C9890" t="s">
        <v>824</v>
      </c>
      <c r="D9890" t="str">
        <f>HYPERLINK("http://service.sap.com/sap/support/notes/1877037","1877037")</f>
        <v>1877037</v>
      </c>
      <c r="E9890">
        <v>1</v>
      </c>
      <c r="F9890" t="s">
        <v>12947</v>
      </c>
    </row>
    <row r="9891" spans="1:6" x14ac:dyDescent="0.25">
      <c r="A9891" t="s">
        <v>13142</v>
      </c>
      <c r="B9891" t="s">
        <v>543</v>
      </c>
      <c r="C9891" t="s">
        <v>29</v>
      </c>
      <c r="D9891" t="str">
        <f>HYPERLINK("http://service.sap.com/sap/support/notes/1815862","1815862")</f>
        <v>1815862</v>
      </c>
      <c r="E9891">
        <v>2</v>
      </c>
      <c r="F9891" t="s">
        <v>12946</v>
      </c>
    </row>
    <row r="9892" spans="1:6" x14ac:dyDescent="0.25">
      <c r="A9892" t="s">
        <v>13142</v>
      </c>
      <c r="B9892" t="s">
        <v>545</v>
      </c>
      <c r="C9892" t="s">
        <v>546</v>
      </c>
      <c r="D9892" t="str">
        <f>HYPERLINK("http://service.sap.com/sap/support/notes/1726245","1726245")</f>
        <v>1726245</v>
      </c>
      <c r="E9892">
        <v>2</v>
      </c>
      <c r="F9892" t="s">
        <v>12945</v>
      </c>
    </row>
    <row r="9893" spans="1:6" x14ac:dyDescent="0.25">
      <c r="A9893" t="s">
        <v>13142</v>
      </c>
      <c r="B9893" t="s">
        <v>545</v>
      </c>
      <c r="C9893" t="s">
        <v>546</v>
      </c>
      <c r="D9893" t="str">
        <f>HYPERLINK("http://service.sap.com/sap/support/notes/1824651","1824651")</f>
        <v>1824651</v>
      </c>
      <c r="E9893">
        <v>2</v>
      </c>
      <c r="F9893" t="s">
        <v>12944</v>
      </c>
    </row>
    <row r="9894" spans="1:6" x14ac:dyDescent="0.25">
      <c r="A9894" t="s">
        <v>13142</v>
      </c>
      <c r="B9894" t="s">
        <v>550</v>
      </c>
      <c r="C9894" t="s">
        <v>551</v>
      </c>
      <c r="D9894" t="str">
        <f>HYPERLINK("http://service.sap.com/sap/support/notes/1820366","1820366")</f>
        <v>1820366</v>
      </c>
      <c r="E9894">
        <v>1</v>
      </c>
      <c r="F9894" t="s">
        <v>12943</v>
      </c>
    </row>
    <row r="9895" spans="1:6" x14ac:dyDescent="0.25">
      <c r="A9895" t="s">
        <v>13142</v>
      </c>
      <c r="B9895" t="s">
        <v>553</v>
      </c>
      <c r="C9895" t="s">
        <v>554</v>
      </c>
    </row>
    <row r="9896" spans="1:6" x14ac:dyDescent="0.25">
      <c r="A9896" t="s">
        <v>13142</v>
      </c>
      <c r="B9896" t="s">
        <v>555</v>
      </c>
      <c r="C9896" t="s">
        <v>556</v>
      </c>
      <c r="D9896" t="str">
        <f>HYPERLINK("http://service.sap.com/sap/support/notes/1508613","1508613")</f>
        <v>1508613</v>
      </c>
      <c r="E9896">
        <v>12</v>
      </c>
      <c r="F9896" t="s">
        <v>9129</v>
      </c>
    </row>
    <row r="9897" spans="1:6" x14ac:dyDescent="0.25">
      <c r="A9897" t="s">
        <v>13142</v>
      </c>
      <c r="B9897" t="s">
        <v>555</v>
      </c>
      <c r="C9897" t="s">
        <v>556</v>
      </c>
      <c r="D9897" t="str">
        <f>HYPERLINK("http://service.sap.com/sap/support/notes/1606106","1606106")</f>
        <v>1606106</v>
      </c>
      <c r="E9897">
        <v>4</v>
      </c>
      <c r="F9897" t="s">
        <v>12942</v>
      </c>
    </row>
    <row r="9898" spans="1:6" x14ac:dyDescent="0.25">
      <c r="A9898" t="s">
        <v>13142</v>
      </c>
      <c r="B9898" t="s">
        <v>555</v>
      </c>
      <c r="C9898" t="s">
        <v>556</v>
      </c>
      <c r="D9898" t="str">
        <f>HYPERLINK("http://service.sap.com/sap/support/notes/1834430","1834430")</f>
        <v>1834430</v>
      </c>
      <c r="E9898">
        <v>4</v>
      </c>
      <c r="F9898" t="s">
        <v>12941</v>
      </c>
    </row>
    <row r="9899" spans="1:6" x14ac:dyDescent="0.25">
      <c r="A9899" t="s">
        <v>13142</v>
      </c>
      <c r="B9899" t="s">
        <v>555</v>
      </c>
      <c r="C9899" t="s">
        <v>556</v>
      </c>
      <c r="D9899" t="str">
        <f>HYPERLINK("http://service.sap.com/sap/support/notes/1844575","1844575")</f>
        <v>1844575</v>
      </c>
      <c r="E9899">
        <v>3</v>
      </c>
      <c r="F9899" t="s">
        <v>12940</v>
      </c>
    </row>
    <row r="9900" spans="1:6" x14ac:dyDescent="0.25">
      <c r="A9900" t="s">
        <v>13142</v>
      </c>
      <c r="B9900" t="s">
        <v>555</v>
      </c>
      <c r="C9900" t="s">
        <v>556</v>
      </c>
      <c r="D9900" t="str">
        <f>HYPERLINK("http://service.sap.com/sap/support/notes/1856151","1856151")</f>
        <v>1856151</v>
      </c>
      <c r="E9900">
        <v>1</v>
      </c>
      <c r="F9900" t="s">
        <v>12939</v>
      </c>
    </row>
    <row r="9901" spans="1:6" x14ac:dyDescent="0.25">
      <c r="A9901" t="s">
        <v>13142</v>
      </c>
      <c r="B9901" t="s">
        <v>555</v>
      </c>
      <c r="C9901" t="s">
        <v>556</v>
      </c>
      <c r="D9901" t="str">
        <f>HYPERLINK("http://service.sap.com/sap/support/notes/1857723","1857723")</f>
        <v>1857723</v>
      </c>
      <c r="E9901">
        <v>3</v>
      </c>
      <c r="F9901" t="s">
        <v>12938</v>
      </c>
    </row>
    <row r="9902" spans="1:6" x14ac:dyDescent="0.25">
      <c r="A9902" t="s">
        <v>13142</v>
      </c>
      <c r="B9902" t="s">
        <v>555</v>
      </c>
      <c r="C9902" t="s">
        <v>556</v>
      </c>
      <c r="D9902" t="str">
        <f>HYPERLINK("http://service.sap.com/sap/support/notes/1858424","1858424")</f>
        <v>1858424</v>
      </c>
      <c r="E9902">
        <v>1</v>
      </c>
      <c r="F9902" t="s">
        <v>12937</v>
      </c>
    </row>
    <row r="9903" spans="1:6" x14ac:dyDescent="0.25">
      <c r="A9903" t="s">
        <v>13142</v>
      </c>
      <c r="B9903" t="s">
        <v>555</v>
      </c>
      <c r="C9903" t="s">
        <v>556</v>
      </c>
      <c r="D9903" t="str">
        <f>HYPERLINK("http://service.sap.com/sap/support/notes/1869814","1869814")</f>
        <v>1869814</v>
      </c>
      <c r="E9903">
        <v>1</v>
      </c>
      <c r="F9903" t="s">
        <v>12936</v>
      </c>
    </row>
    <row r="9904" spans="1:6" x14ac:dyDescent="0.25">
      <c r="A9904" t="s">
        <v>13142</v>
      </c>
      <c r="B9904" t="s">
        <v>555</v>
      </c>
      <c r="C9904" t="s">
        <v>556</v>
      </c>
      <c r="D9904" t="str">
        <f>HYPERLINK("http://service.sap.com/sap/support/notes/1875110","1875110")</f>
        <v>1875110</v>
      </c>
      <c r="E9904">
        <v>1</v>
      </c>
    </row>
    <row r="9905" spans="1:6" x14ac:dyDescent="0.25">
      <c r="A9905" t="s">
        <v>13142</v>
      </c>
      <c r="B9905" t="s">
        <v>555</v>
      </c>
      <c r="C9905" t="s">
        <v>556</v>
      </c>
      <c r="D9905" t="str">
        <f>HYPERLINK("http://service.sap.com/sap/support/notes/1888413","1888413")</f>
        <v>1888413</v>
      </c>
      <c r="E9905">
        <v>3</v>
      </c>
      <c r="F9905" t="s">
        <v>12935</v>
      </c>
    </row>
    <row r="9906" spans="1:6" x14ac:dyDescent="0.25">
      <c r="A9906" t="s">
        <v>13142</v>
      </c>
      <c r="B9906" t="s">
        <v>582</v>
      </c>
      <c r="C9906" t="s">
        <v>583</v>
      </c>
      <c r="D9906" t="str">
        <f>HYPERLINK("http://service.sap.com/sap/support/notes/1870725","1870725")</f>
        <v>1870725</v>
      </c>
      <c r="E9906">
        <v>2</v>
      </c>
      <c r="F9906" t="s">
        <v>12934</v>
      </c>
    </row>
    <row r="9907" spans="1:6" x14ac:dyDescent="0.25">
      <c r="A9907" t="s">
        <v>13142</v>
      </c>
      <c r="B9907" t="s">
        <v>585</v>
      </c>
      <c r="C9907" t="s">
        <v>586</v>
      </c>
      <c r="D9907" t="str">
        <f>HYPERLINK("http://service.sap.com/sap/support/notes/1895408","1895408")</f>
        <v>1895408</v>
      </c>
      <c r="E9907">
        <v>1</v>
      </c>
      <c r="F9907" t="s">
        <v>12933</v>
      </c>
    </row>
    <row r="9908" spans="1:6" x14ac:dyDescent="0.25">
      <c r="A9908" t="s">
        <v>13142</v>
      </c>
      <c r="B9908" t="s">
        <v>585</v>
      </c>
      <c r="C9908" t="s">
        <v>586</v>
      </c>
      <c r="D9908" t="str">
        <f>HYPERLINK("http://service.sap.com/sap/support/notes/1896958","1896958")</f>
        <v>1896958</v>
      </c>
      <c r="E9908">
        <v>1</v>
      </c>
      <c r="F9908" t="s">
        <v>12932</v>
      </c>
    </row>
    <row r="9909" spans="1:6" x14ac:dyDescent="0.25">
      <c r="A9909" t="s">
        <v>13142</v>
      </c>
      <c r="B9909" t="s">
        <v>12931</v>
      </c>
      <c r="C9909" t="s">
        <v>12930</v>
      </c>
      <c r="D9909" t="str">
        <f>HYPERLINK("http://service.sap.com/sap/support/notes/1882375","1882375")</f>
        <v>1882375</v>
      </c>
      <c r="E9909">
        <v>1</v>
      </c>
      <c r="F9909" t="s">
        <v>12929</v>
      </c>
    </row>
    <row r="9910" spans="1:6" x14ac:dyDescent="0.25">
      <c r="A9910" t="s">
        <v>13142</v>
      </c>
      <c r="B9910" t="s">
        <v>4427</v>
      </c>
      <c r="C9910" t="s">
        <v>4428</v>
      </c>
      <c r="D9910" t="str">
        <f>HYPERLINK("http://service.sap.com/sap/support/notes/1461853","1461853")</f>
        <v>1461853</v>
      </c>
      <c r="E9910">
        <v>3</v>
      </c>
      <c r="F9910" t="s">
        <v>12928</v>
      </c>
    </row>
    <row r="9911" spans="1:6" x14ac:dyDescent="0.25">
      <c r="A9911" t="s">
        <v>13142</v>
      </c>
      <c r="B9911" t="s">
        <v>4427</v>
      </c>
      <c r="C9911" t="s">
        <v>4428</v>
      </c>
      <c r="D9911" t="str">
        <f>HYPERLINK("http://service.sap.com/sap/support/notes/1877185","1877185")</f>
        <v>1877185</v>
      </c>
      <c r="E9911">
        <v>1</v>
      </c>
      <c r="F9911" t="s">
        <v>12927</v>
      </c>
    </row>
    <row r="9912" spans="1:6" x14ac:dyDescent="0.25">
      <c r="A9912" t="s">
        <v>13142</v>
      </c>
      <c r="B9912" t="s">
        <v>4427</v>
      </c>
      <c r="C9912" t="s">
        <v>4428</v>
      </c>
      <c r="D9912" t="str">
        <f>HYPERLINK("http://service.sap.com/sap/support/notes/1897585","1897585")</f>
        <v>1897585</v>
      </c>
      <c r="E9912">
        <v>1</v>
      </c>
      <c r="F9912" t="s">
        <v>12926</v>
      </c>
    </row>
    <row r="9913" spans="1:6" x14ac:dyDescent="0.25">
      <c r="A9913" t="s">
        <v>13142</v>
      </c>
      <c r="B9913" t="s">
        <v>4427</v>
      </c>
      <c r="C9913" t="s">
        <v>4428</v>
      </c>
      <c r="D9913" t="str">
        <f>HYPERLINK("http://service.sap.com/sap/support/notes/1903440","1903440")</f>
        <v>1903440</v>
      </c>
      <c r="E9913">
        <v>1</v>
      </c>
      <c r="F9913" t="s">
        <v>12925</v>
      </c>
    </row>
    <row r="9914" spans="1:6" x14ac:dyDescent="0.25">
      <c r="A9914" t="s">
        <v>13142</v>
      </c>
      <c r="B9914" t="s">
        <v>593</v>
      </c>
      <c r="C9914" t="s">
        <v>594</v>
      </c>
      <c r="D9914" t="str">
        <f>HYPERLINK("http://service.sap.com/sap/support/notes/1841101","1841101")</f>
        <v>1841101</v>
      </c>
      <c r="E9914">
        <v>8</v>
      </c>
      <c r="F9914" t="s">
        <v>12924</v>
      </c>
    </row>
    <row r="9915" spans="1:6" x14ac:dyDescent="0.25">
      <c r="A9915" t="s">
        <v>13142</v>
      </c>
      <c r="B9915" t="s">
        <v>593</v>
      </c>
      <c r="C9915" t="s">
        <v>594</v>
      </c>
      <c r="D9915" t="str">
        <f>HYPERLINK("http://service.sap.com/sap/support/notes/1852905","1852905")</f>
        <v>1852905</v>
      </c>
      <c r="E9915">
        <v>2</v>
      </c>
      <c r="F9915" t="s">
        <v>12923</v>
      </c>
    </row>
    <row r="9916" spans="1:6" x14ac:dyDescent="0.25">
      <c r="A9916" t="s">
        <v>13142</v>
      </c>
      <c r="B9916" t="s">
        <v>593</v>
      </c>
      <c r="C9916" t="s">
        <v>594</v>
      </c>
      <c r="D9916" t="str">
        <f>HYPERLINK("http://service.sap.com/sap/support/notes/1864130","1864130")</f>
        <v>1864130</v>
      </c>
      <c r="E9916">
        <v>1</v>
      </c>
      <c r="F9916" t="s">
        <v>12922</v>
      </c>
    </row>
    <row r="9917" spans="1:6" x14ac:dyDescent="0.25">
      <c r="A9917" t="s">
        <v>13142</v>
      </c>
      <c r="B9917" t="s">
        <v>593</v>
      </c>
      <c r="C9917" t="s">
        <v>594</v>
      </c>
      <c r="D9917" t="str">
        <f>HYPERLINK("http://service.sap.com/sap/support/notes/1868087","1868087")</f>
        <v>1868087</v>
      </c>
      <c r="E9917">
        <v>2</v>
      </c>
      <c r="F9917" t="s">
        <v>12921</v>
      </c>
    </row>
    <row r="9918" spans="1:6" x14ac:dyDescent="0.25">
      <c r="A9918" t="s">
        <v>13142</v>
      </c>
      <c r="B9918" t="s">
        <v>593</v>
      </c>
      <c r="C9918" t="s">
        <v>594</v>
      </c>
      <c r="D9918" t="str">
        <f>HYPERLINK("http://service.sap.com/sap/support/notes/1872868","1872868")</f>
        <v>1872868</v>
      </c>
      <c r="E9918">
        <v>4</v>
      </c>
      <c r="F9918" t="s">
        <v>12920</v>
      </c>
    </row>
    <row r="9919" spans="1:6" x14ac:dyDescent="0.25">
      <c r="A9919" t="s">
        <v>13142</v>
      </c>
      <c r="B9919" t="s">
        <v>593</v>
      </c>
      <c r="C9919" t="s">
        <v>594</v>
      </c>
      <c r="D9919" t="str">
        <f>HYPERLINK("http://service.sap.com/sap/support/notes/1875163","1875163")</f>
        <v>1875163</v>
      </c>
      <c r="E9919">
        <v>1</v>
      </c>
      <c r="F9919" t="s">
        <v>12919</v>
      </c>
    </row>
    <row r="9920" spans="1:6" x14ac:dyDescent="0.25">
      <c r="A9920" t="s">
        <v>13142</v>
      </c>
      <c r="B9920" t="s">
        <v>593</v>
      </c>
      <c r="C9920" t="s">
        <v>594</v>
      </c>
      <c r="D9920" t="str">
        <f>HYPERLINK("http://service.sap.com/sap/support/notes/1876106","1876106")</f>
        <v>1876106</v>
      </c>
      <c r="E9920">
        <v>1</v>
      </c>
      <c r="F9920" t="s">
        <v>12918</v>
      </c>
    </row>
    <row r="9921" spans="1:6" x14ac:dyDescent="0.25">
      <c r="A9921" t="s">
        <v>13142</v>
      </c>
      <c r="B9921" t="s">
        <v>593</v>
      </c>
      <c r="C9921" t="s">
        <v>594</v>
      </c>
      <c r="D9921" t="str">
        <f>HYPERLINK("http://service.sap.com/sap/support/notes/1877069","1877069")</f>
        <v>1877069</v>
      </c>
      <c r="E9921">
        <v>1</v>
      </c>
      <c r="F9921" t="s">
        <v>12917</v>
      </c>
    </row>
    <row r="9922" spans="1:6" x14ac:dyDescent="0.25">
      <c r="A9922" t="s">
        <v>13142</v>
      </c>
      <c r="B9922" t="s">
        <v>593</v>
      </c>
      <c r="C9922" t="s">
        <v>594</v>
      </c>
      <c r="D9922" t="str">
        <f>HYPERLINK("http://service.sap.com/sap/support/notes/1877505","1877505")</f>
        <v>1877505</v>
      </c>
      <c r="E9922">
        <v>1</v>
      </c>
      <c r="F9922" t="s">
        <v>12916</v>
      </c>
    </row>
    <row r="9923" spans="1:6" x14ac:dyDescent="0.25">
      <c r="A9923" t="s">
        <v>13142</v>
      </c>
      <c r="B9923" t="s">
        <v>593</v>
      </c>
      <c r="C9923" t="s">
        <v>594</v>
      </c>
      <c r="D9923" t="str">
        <f>HYPERLINK("http://service.sap.com/sap/support/notes/1877863","1877863")</f>
        <v>1877863</v>
      </c>
      <c r="E9923">
        <v>1</v>
      </c>
      <c r="F9923" t="s">
        <v>12915</v>
      </c>
    </row>
    <row r="9924" spans="1:6" x14ac:dyDescent="0.25">
      <c r="A9924" t="s">
        <v>13142</v>
      </c>
      <c r="B9924" t="s">
        <v>593</v>
      </c>
      <c r="C9924" t="s">
        <v>594</v>
      </c>
      <c r="D9924" t="str">
        <f>HYPERLINK("http://service.sap.com/sap/support/notes/1878519","1878519")</f>
        <v>1878519</v>
      </c>
      <c r="E9924">
        <v>1</v>
      </c>
      <c r="F9924" t="s">
        <v>12914</v>
      </c>
    </row>
    <row r="9925" spans="1:6" x14ac:dyDescent="0.25">
      <c r="A9925" t="s">
        <v>13142</v>
      </c>
      <c r="B9925" t="s">
        <v>593</v>
      </c>
      <c r="C9925" t="s">
        <v>594</v>
      </c>
      <c r="D9925" t="str">
        <f>HYPERLINK("http://service.sap.com/sap/support/notes/1880230","1880230")</f>
        <v>1880230</v>
      </c>
      <c r="E9925">
        <v>1</v>
      </c>
      <c r="F9925" t="s">
        <v>12913</v>
      </c>
    </row>
    <row r="9926" spans="1:6" x14ac:dyDescent="0.25">
      <c r="A9926" t="s">
        <v>13142</v>
      </c>
      <c r="B9926" t="s">
        <v>593</v>
      </c>
      <c r="C9926" t="s">
        <v>594</v>
      </c>
      <c r="D9926" t="str">
        <f>HYPERLINK("http://service.sap.com/sap/support/notes/1888883","1888883")</f>
        <v>1888883</v>
      </c>
      <c r="E9926">
        <v>1</v>
      </c>
      <c r="F9926" t="s">
        <v>12912</v>
      </c>
    </row>
    <row r="9927" spans="1:6" x14ac:dyDescent="0.25">
      <c r="A9927" t="s">
        <v>13142</v>
      </c>
      <c r="B9927" t="s">
        <v>593</v>
      </c>
      <c r="C9927" t="s">
        <v>594</v>
      </c>
      <c r="D9927" t="str">
        <f>HYPERLINK("http://service.sap.com/sap/support/notes/1900477","1900477")</f>
        <v>1900477</v>
      </c>
      <c r="E9927">
        <v>1</v>
      </c>
      <c r="F9927" t="s">
        <v>12911</v>
      </c>
    </row>
    <row r="9928" spans="1:6" x14ac:dyDescent="0.25">
      <c r="A9928" t="s">
        <v>13142</v>
      </c>
      <c r="B9928" t="s">
        <v>6690</v>
      </c>
      <c r="C9928" t="s">
        <v>6691</v>
      </c>
      <c r="D9928" t="str">
        <f>HYPERLINK("http://service.sap.com/sap/support/notes/1868806","1868806")</f>
        <v>1868806</v>
      </c>
      <c r="E9928">
        <v>1</v>
      </c>
      <c r="F9928" t="s">
        <v>12910</v>
      </c>
    </row>
    <row r="9929" spans="1:6" x14ac:dyDescent="0.25">
      <c r="A9929" t="s">
        <v>13142</v>
      </c>
      <c r="B9929" t="s">
        <v>4444</v>
      </c>
      <c r="C9929" t="s">
        <v>4445</v>
      </c>
      <c r="D9929" t="str">
        <f>HYPERLINK("http://service.sap.com/sap/support/notes/1863510","1863510")</f>
        <v>1863510</v>
      </c>
      <c r="E9929">
        <v>1</v>
      </c>
      <c r="F9929" t="s">
        <v>12909</v>
      </c>
    </row>
    <row r="9930" spans="1:6" x14ac:dyDescent="0.25">
      <c r="A9930" t="s">
        <v>13142</v>
      </c>
      <c r="B9930" t="s">
        <v>4444</v>
      </c>
      <c r="C9930" t="s">
        <v>4445</v>
      </c>
      <c r="D9930" t="str">
        <f>HYPERLINK("http://service.sap.com/sap/support/notes/1870024","1870024")</f>
        <v>1870024</v>
      </c>
      <c r="E9930">
        <v>3</v>
      </c>
      <c r="F9930" t="s">
        <v>12908</v>
      </c>
    </row>
    <row r="9931" spans="1:6" x14ac:dyDescent="0.25">
      <c r="A9931" t="s">
        <v>13142</v>
      </c>
      <c r="B9931" t="s">
        <v>4447</v>
      </c>
      <c r="C9931" t="s">
        <v>4448</v>
      </c>
      <c r="D9931" t="str">
        <f>HYPERLINK("http://service.sap.com/sap/support/notes/1872493","1872493")</f>
        <v>1872493</v>
      </c>
      <c r="E9931">
        <v>2</v>
      </c>
      <c r="F9931" t="s">
        <v>12907</v>
      </c>
    </row>
    <row r="9932" spans="1:6" x14ac:dyDescent="0.25">
      <c r="A9932" t="s">
        <v>13142</v>
      </c>
      <c r="B9932" t="s">
        <v>4447</v>
      </c>
      <c r="C9932" t="s">
        <v>4448</v>
      </c>
      <c r="D9932" t="str">
        <f>HYPERLINK("http://service.sap.com/sap/support/notes/1896437","1896437")</f>
        <v>1896437</v>
      </c>
      <c r="E9932">
        <v>1</v>
      </c>
      <c r="F9932" t="s">
        <v>12906</v>
      </c>
    </row>
    <row r="9933" spans="1:6" x14ac:dyDescent="0.25">
      <c r="A9933" t="s">
        <v>13142</v>
      </c>
      <c r="B9933" t="s">
        <v>598</v>
      </c>
      <c r="C9933" t="s">
        <v>599</v>
      </c>
      <c r="D9933" t="str">
        <f>HYPERLINK("http://service.sap.com/sap/support/notes/1875628","1875628")</f>
        <v>1875628</v>
      </c>
      <c r="E9933">
        <v>2</v>
      </c>
      <c r="F9933" t="s">
        <v>12905</v>
      </c>
    </row>
    <row r="9934" spans="1:6" x14ac:dyDescent="0.25">
      <c r="A9934" t="s">
        <v>13142</v>
      </c>
      <c r="B9934" t="s">
        <v>598</v>
      </c>
      <c r="C9934" t="s">
        <v>599</v>
      </c>
      <c r="D9934" t="str">
        <f>HYPERLINK("http://service.sap.com/sap/support/notes/1877548","1877548")</f>
        <v>1877548</v>
      </c>
      <c r="E9934">
        <v>1</v>
      </c>
      <c r="F9934" t="s">
        <v>12904</v>
      </c>
    </row>
    <row r="9935" spans="1:6" x14ac:dyDescent="0.25">
      <c r="A9935" t="s">
        <v>13142</v>
      </c>
      <c r="B9935" t="s">
        <v>598</v>
      </c>
      <c r="C9935" t="s">
        <v>599</v>
      </c>
      <c r="D9935" t="str">
        <f>HYPERLINK("http://service.sap.com/sap/support/notes/1881785","1881785")</f>
        <v>1881785</v>
      </c>
      <c r="E9935">
        <v>2</v>
      </c>
      <c r="F9935" t="s">
        <v>12903</v>
      </c>
    </row>
    <row r="9936" spans="1:6" x14ac:dyDescent="0.25">
      <c r="A9936" t="s">
        <v>13142</v>
      </c>
      <c r="B9936" t="s">
        <v>598</v>
      </c>
      <c r="C9936" t="s">
        <v>599</v>
      </c>
      <c r="D9936" t="str">
        <f>HYPERLINK("http://service.sap.com/sap/support/notes/1888993","1888993")</f>
        <v>1888993</v>
      </c>
      <c r="E9936">
        <v>1</v>
      </c>
      <c r="F9936" t="s">
        <v>12902</v>
      </c>
    </row>
    <row r="9937" spans="1:6" x14ac:dyDescent="0.25">
      <c r="A9937" t="s">
        <v>13142</v>
      </c>
      <c r="B9937" t="s">
        <v>116</v>
      </c>
      <c r="C9937" t="s">
        <v>117</v>
      </c>
    </row>
    <row r="9938" spans="1:6" x14ac:dyDescent="0.25">
      <c r="A9938" t="s">
        <v>13142</v>
      </c>
      <c r="B9938" t="s">
        <v>611</v>
      </c>
      <c r="C9938" t="s">
        <v>612</v>
      </c>
    </row>
    <row r="9939" spans="1:6" x14ac:dyDescent="0.25">
      <c r="A9939" t="s">
        <v>13142</v>
      </c>
      <c r="B9939" t="s">
        <v>12901</v>
      </c>
      <c r="C9939" t="s">
        <v>12900</v>
      </c>
      <c r="D9939" t="str">
        <f>HYPERLINK("http://service.sap.com/sap/support/notes/1859478","1859478")</f>
        <v>1859478</v>
      </c>
      <c r="E9939">
        <v>3</v>
      </c>
      <c r="F9939" t="s">
        <v>12899</v>
      </c>
    </row>
    <row r="9940" spans="1:6" x14ac:dyDescent="0.25">
      <c r="A9940" t="s">
        <v>13142</v>
      </c>
      <c r="B9940" t="s">
        <v>616</v>
      </c>
      <c r="C9940" t="s">
        <v>617</v>
      </c>
    </row>
    <row r="9941" spans="1:6" x14ac:dyDescent="0.25">
      <c r="A9941" t="s">
        <v>13142</v>
      </c>
      <c r="B9941" t="s">
        <v>618</v>
      </c>
      <c r="C9941" t="s">
        <v>619</v>
      </c>
    </row>
    <row r="9942" spans="1:6" x14ac:dyDescent="0.25">
      <c r="A9942" t="s">
        <v>13142</v>
      </c>
      <c r="B9942" t="s">
        <v>623</v>
      </c>
      <c r="C9942" t="s">
        <v>624</v>
      </c>
      <c r="D9942" t="str">
        <f>HYPERLINK("http://service.sap.com/sap/support/notes/1889529","1889529")</f>
        <v>1889529</v>
      </c>
      <c r="E9942">
        <v>3</v>
      </c>
      <c r="F9942" t="s">
        <v>12898</v>
      </c>
    </row>
    <row r="9943" spans="1:6" x14ac:dyDescent="0.25">
      <c r="A9943" t="s">
        <v>13142</v>
      </c>
      <c r="B9943" t="s">
        <v>626</v>
      </c>
      <c r="C9943" t="s">
        <v>627</v>
      </c>
      <c r="D9943" t="str">
        <f>HYPERLINK("http://service.sap.com/sap/support/notes/1879379","1879379")</f>
        <v>1879379</v>
      </c>
      <c r="E9943">
        <v>4</v>
      </c>
      <c r="F9943" t="s">
        <v>12897</v>
      </c>
    </row>
    <row r="9944" spans="1:6" x14ac:dyDescent="0.25">
      <c r="A9944" t="s">
        <v>13142</v>
      </c>
      <c r="B9944" t="s">
        <v>630</v>
      </c>
      <c r="C9944" t="s">
        <v>624</v>
      </c>
      <c r="D9944" t="str">
        <f>HYPERLINK("http://service.sap.com/sap/support/notes/1822092","1822092")</f>
        <v>1822092</v>
      </c>
      <c r="E9944">
        <v>11</v>
      </c>
      <c r="F9944" t="s">
        <v>12896</v>
      </c>
    </row>
    <row r="9945" spans="1:6" x14ac:dyDescent="0.25">
      <c r="A9945" t="s">
        <v>13142</v>
      </c>
      <c r="B9945" t="s">
        <v>630</v>
      </c>
      <c r="C9945" t="s">
        <v>624</v>
      </c>
      <c r="D9945" t="str">
        <f>HYPERLINK("http://service.sap.com/sap/support/notes/1841458","1841458")</f>
        <v>1841458</v>
      </c>
      <c r="E9945">
        <v>2</v>
      </c>
      <c r="F9945" t="s">
        <v>12895</v>
      </c>
    </row>
    <row r="9946" spans="1:6" x14ac:dyDescent="0.25">
      <c r="A9946" t="s">
        <v>13142</v>
      </c>
      <c r="B9946" t="s">
        <v>630</v>
      </c>
      <c r="C9946" t="s">
        <v>624</v>
      </c>
      <c r="D9946" t="str">
        <f>HYPERLINK("http://service.sap.com/sap/support/notes/1864357","1864357")</f>
        <v>1864357</v>
      </c>
      <c r="E9946">
        <v>2</v>
      </c>
      <c r="F9946" t="s">
        <v>12894</v>
      </c>
    </row>
    <row r="9947" spans="1:6" x14ac:dyDescent="0.25">
      <c r="A9947" t="s">
        <v>13142</v>
      </c>
      <c r="B9947" t="s">
        <v>4465</v>
      </c>
      <c r="C9947" t="s">
        <v>4466</v>
      </c>
      <c r="D9947" t="str">
        <f>HYPERLINK("http://service.sap.com/sap/support/notes/1870609","1870609")</f>
        <v>1870609</v>
      </c>
      <c r="E9947">
        <v>2</v>
      </c>
    </row>
    <row r="9948" spans="1:6" x14ac:dyDescent="0.25">
      <c r="A9948" t="s">
        <v>13142</v>
      </c>
      <c r="B9948" t="s">
        <v>12893</v>
      </c>
      <c r="C9948" t="s">
        <v>1066</v>
      </c>
    </row>
    <row r="9949" spans="1:6" x14ac:dyDescent="0.25">
      <c r="A9949" t="s">
        <v>13142</v>
      </c>
      <c r="B9949" t="s">
        <v>12892</v>
      </c>
      <c r="C9949" t="s">
        <v>12891</v>
      </c>
      <c r="D9949" t="str">
        <f>HYPERLINK("http://service.sap.com/sap/support/notes/1902986","1902986")</f>
        <v>1902986</v>
      </c>
      <c r="E9949">
        <v>2</v>
      </c>
      <c r="F9949" t="s">
        <v>12890</v>
      </c>
    </row>
    <row r="9950" spans="1:6" x14ac:dyDescent="0.25">
      <c r="A9950" t="s">
        <v>13142</v>
      </c>
      <c r="B9950" t="s">
        <v>12889</v>
      </c>
      <c r="C9950" t="s">
        <v>12888</v>
      </c>
    </row>
    <row r="9951" spans="1:6" x14ac:dyDescent="0.25">
      <c r="A9951" t="s">
        <v>13142</v>
      </c>
      <c r="B9951" t="s">
        <v>12887</v>
      </c>
      <c r="C9951" t="s">
        <v>2979</v>
      </c>
      <c r="D9951" t="str">
        <f>HYPERLINK("http://service.sap.com/sap/support/notes/1892981","1892981")</f>
        <v>1892981</v>
      </c>
      <c r="E9951">
        <v>1</v>
      </c>
      <c r="F9951" t="s">
        <v>12886</v>
      </c>
    </row>
    <row r="9952" spans="1:6" x14ac:dyDescent="0.25">
      <c r="A9952" t="s">
        <v>13142</v>
      </c>
      <c r="B9952" t="s">
        <v>640</v>
      </c>
      <c r="C9952" t="s">
        <v>641</v>
      </c>
    </row>
    <row r="9953" spans="1:6" x14ac:dyDescent="0.25">
      <c r="A9953" t="s">
        <v>13142</v>
      </c>
      <c r="B9953" t="s">
        <v>642</v>
      </c>
      <c r="C9953" t="s">
        <v>643</v>
      </c>
      <c r="D9953" t="str">
        <f>HYPERLINK("http://service.sap.com/sap/support/notes/1878998","1878998")</f>
        <v>1878998</v>
      </c>
      <c r="E9953">
        <v>2</v>
      </c>
      <c r="F9953" t="s">
        <v>12885</v>
      </c>
    </row>
    <row r="9954" spans="1:6" x14ac:dyDescent="0.25">
      <c r="A9954" t="s">
        <v>13142</v>
      </c>
      <c r="B9954" t="s">
        <v>645</v>
      </c>
      <c r="C9954" t="s">
        <v>646</v>
      </c>
      <c r="D9954" t="str">
        <f>HYPERLINK("http://service.sap.com/sap/support/notes/1810593","1810593")</f>
        <v>1810593</v>
      </c>
      <c r="E9954">
        <v>1</v>
      </c>
      <c r="F9954" t="s">
        <v>12884</v>
      </c>
    </row>
    <row r="9955" spans="1:6" x14ac:dyDescent="0.25">
      <c r="A9955" t="s">
        <v>13142</v>
      </c>
      <c r="B9955" t="s">
        <v>4469</v>
      </c>
      <c r="C9955" t="s">
        <v>4470</v>
      </c>
      <c r="D9955" t="str">
        <f>HYPERLINK("http://service.sap.com/sap/support/notes/1868982","1868982")</f>
        <v>1868982</v>
      </c>
      <c r="E9955">
        <v>1</v>
      </c>
      <c r="F9955" t="s">
        <v>12883</v>
      </c>
    </row>
    <row r="9956" spans="1:6" x14ac:dyDescent="0.25">
      <c r="A9956" t="s">
        <v>13142</v>
      </c>
      <c r="B9956" t="s">
        <v>655</v>
      </c>
      <c r="C9956" t="s">
        <v>29</v>
      </c>
    </row>
    <row r="9957" spans="1:6" x14ac:dyDescent="0.25">
      <c r="A9957" t="s">
        <v>13142</v>
      </c>
      <c r="B9957" t="s">
        <v>656</v>
      </c>
      <c r="C9957" t="s">
        <v>657</v>
      </c>
      <c r="D9957" t="str">
        <f>HYPERLINK("http://service.sap.com/sap/support/notes/1872252","1872252")</f>
        <v>1872252</v>
      </c>
      <c r="E9957">
        <v>9</v>
      </c>
      <c r="F9957" t="s">
        <v>12882</v>
      </c>
    </row>
    <row r="9958" spans="1:6" x14ac:dyDescent="0.25">
      <c r="A9958" t="s">
        <v>13142</v>
      </c>
      <c r="B9958" t="s">
        <v>656</v>
      </c>
      <c r="C9958" t="s">
        <v>657</v>
      </c>
      <c r="D9958" t="str">
        <f>HYPERLINK("http://service.sap.com/sap/support/notes/1896301","1896301")</f>
        <v>1896301</v>
      </c>
      <c r="E9958">
        <v>2</v>
      </c>
      <c r="F9958" t="s">
        <v>12881</v>
      </c>
    </row>
    <row r="9959" spans="1:6" x14ac:dyDescent="0.25">
      <c r="A9959" t="s">
        <v>13142</v>
      </c>
      <c r="B9959" t="s">
        <v>658</v>
      </c>
      <c r="C9959" t="s">
        <v>659</v>
      </c>
      <c r="D9959" t="str">
        <f>HYPERLINK("http://service.sap.com/sap/support/notes/995056","995056")</f>
        <v>995056</v>
      </c>
      <c r="E9959">
        <v>5</v>
      </c>
      <c r="F9959" t="s">
        <v>12880</v>
      </c>
    </row>
    <row r="9960" spans="1:6" x14ac:dyDescent="0.25">
      <c r="A9960" t="s">
        <v>13142</v>
      </c>
      <c r="B9960" t="s">
        <v>658</v>
      </c>
      <c r="C9960" t="s">
        <v>659</v>
      </c>
      <c r="D9960" t="str">
        <f>HYPERLINK("http://service.sap.com/sap/support/notes/1834542","1834542")</f>
        <v>1834542</v>
      </c>
      <c r="E9960">
        <v>3</v>
      </c>
      <c r="F9960" t="s">
        <v>12879</v>
      </c>
    </row>
    <row r="9961" spans="1:6" x14ac:dyDescent="0.25">
      <c r="A9961" t="s">
        <v>13142</v>
      </c>
      <c r="B9961" t="s">
        <v>658</v>
      </c>
      <c r="C9961" t="s">
        <v>659</v>
      </c>
      <c r="D9961" t="str">
        <f>HYPERLINK("http://service.sap.com/sap/support/notes/1863553","1863553")</f>
        <v>1863553</v>
      </c>
      <c r="E9961">
        <v>2</v>
      </c>
      <c r="F9961" t="s">
        <v>12878</v>
      </c>
    </row>
    <row r="9962" spans="1:6" x14ac:dyDescent="0.25">
      <c r="A9962" t="s">
        <v>13142</v>
      </c>
      <c r="B9962" t="s">
        <v>662</v>
      </c>
      <c r="C9962" t="s">
        <v>663</v>
      </c>
      <c r="D9962" t="str">
        <f>HYPERLINK("http://service.sap.com/sap/support/notes/1842191","1842191")</f>
        <v>1842191</v>
      </c>
      <c r="E9962">
        <v>2</v>
      </c>
      <c r="F9962" t="s">
        <v>12877</v>
      </c>
    </row>
    <row r="9963" spans="1:6" x14ac:dyDescent="0.25">
      <c r="A9963" t="s">
        <v>13142</v>
      </c>
      <c r="B9963" t="s">
        <v>662</v>
      </c>
      <c r="C9963" t="s">
        <v>663</v>
      </c>
      <c r="D9963" t="str">
        <f>HYPERLINK("http://service.sap.com/sap/support/notes/1885679","1885679")</f>
        <v>1885679</v>
      </c>
      <c r="E9963">
        <v>3</v>
      </c>
      <c r="F9963" t="s">
        <v>12876</v>
      </c>
    </row>
    <row r="9964" spans="1:6" x14ac:dyDescent="0.25">
      <c r="A9964" t="s">
        <v>13142</v>
      </c>
      <c r="B9964" t="s">
        <v>674</v>
      </c>
      <c r="C9964" t="s">
        <v>675</v>
      </c>
    </row>
    <row r="9965" spans="1:6" x14ac:dyDescent="0.25">
      <c r="A9965" t="s">
        <v>13142</v>
      </c>
      <c r="B9965" t="s">
        <v>12875</v>
      </c>
      <c r="C9965" t="s">
        <v>12874</v>
      </c>
    </row>
    <row r="9966" spans="1:6" x14ac:dyDescent="0.25">
      <c r="A9966" t="s">
        <v>13142</v>
      </c>
      <c r="B9966" t="s">
        <v>12873</v>
      </c>
      <c r="C9966" t="s">
        <v>12872</v>
      </c>
      <c r="D9966" t="str">
        <f>HYPERLINK("http://service.sap.com/sap/support/notes/1889525","1889525")</f>
        <v>1889525</v>
      </c>
      <c r="E9966">
        <v>3</v>
      </c>
      <c r="F9966" t="s">
        <v>12871</v>
      </c>
    </row>
    <row r="9967" spans="1:6" x14ac:dyDescent="0.25">
      <c r="A9967" t="s">
        <v>13142</v>
      </c>
      <c r="B9967" t="s">
        <v>4485</v>
      </c>
      <c r="C9967" t="s">
        <v>1588</v>
      </c>
    </row>
    <row r="9968" spans="1:6" x14ac:dyDescent="0.25">
      <c r="A9968" t="s">
        <v>13142</v>
      </c>
      <c r="B9968" t="s">
        <v>4486</v>
      </c>
      <c r="C9968" t="s">
        <v>657</v>
      </c>
      <c r="D9968" t="str">
        <f>HYPERLINK("http://service.sap.com/sap/support/notes/1890807","1890807")</f>
        <v>1890807</v>
      </c>
      <c r="E9968">
        <v>2</v>
      </c>
      <c r="F9968" t="s">
        <v>12870</v>
      </c>
    </row>
    <row r="9969" spans="1:6" x14ac:dyDescent="0.25">
      <c r="A9969" t="s">
        <v>13142</v>
      </c>
      <c r="B9969" t="s">
        <v>680</v>
      </c>
      <c r="C9969" t="s">
        <v>681</v>
      </c>
    </row>
    <row r="9970" spans="1:6" x14ac:dyDescent="0.25">
      <c r="A9970" t="s">
        <v>13142</v>
      </c>
      <c r="B9970" t="s">
        <v>682</v>
      </c>
      <c r="C9970" t="s">
        <v>683</v>
      </c>
      <c r="D9970" t="str">
        <f>HYPERLINK("http://service.sap.com/sap/support/notes/1902208","1902208")</f>
        <v>1902208</v>
      </c>
      <c r="E9970">
        <v>3</v>
      </c>
      <c r="F9970" t="s">
        <v>12869</v>
      </c>
    </row>
    <row r="9971" spans="1:6" x14ac:dyDescent="0.25">
      <c r="A9971" t="s">
        <v>13142</v>
      </c>
      <c r="B9971" t="s">
        <v>687</v>
      </c>
      <c r="C9971" t="s">
        <v>688</v>
      </c>
      <c r="D9971" t="str">
        <f>HYPERLINK("http://service.sap.com/sap/support/notes/1902042","1902042")</f>
        <v>1902042</v>
      </c>
      <c r="E9971">
        <v>2</v>
      </c>
      <c r="F9971" t="s">
        <v>12868</v>
      </c>
    </row>
    <row r="9972" spans="1:6" x14ac:dyDescent="0.25">
      <c r="A9972" t="s">
        <v>13142</v>
      </c>
      <c r="B9972" t="s">
        <v>4489</v>
      </c>
      <c r="C9972" t="s">
        <v>4490</v>
      </c>
      <c r="D9972" t="str">
        <f>HYPERLINK("http://service.sap.com/sap/support/notes/1873148","1873148")</f>
        <v>1873148</v>
      </c>
      <c r="E9972">
        <v>1</v>
      </c>
      <c r="F9972" t="s">
        <v>12867</v>
      </c>
    </row>
    <row r="9973" spans="1:6" x14ac:dyDescent="0.25">
      <c r="A9973" t="s">
        <v>13142</v>
      </c>
      <c r="B9973" t="s">
        <v>693</v>
      </c>
      <c r="C9973" t="s">
        <v>694</v>
      </c>
    </row>
    <row r="9974" spans="1:6" x14ac:dyDescent="0.25">
      <c r="A9974" t="s">
        <v>13142</v>
      </c>
      <c r="B9974" t="s">
        <v>695</v>
      </c>
      <c r="C9974" t="s">
        <v>696</v>
      </c>
    </row>
    <row r="9975" spans="1:6" x14ac:dyDescent="0.25">
      <c r="A9975" t="s">
        <v>13142</v>
      </c>
      <c r="B9975" t="s">
        <v>716</v>
      </c>
      <c r="C9975" t="s">
        <v>717</v>
      </c>
      <c r="D9975" t="str">
        <f>HYPERLINK("http://service.sap.com/sap/support/notes/1894722","1894722")</f>
        <v>1894722</v>
      </c>
      <c r="E9975">
        <v>2</v>
      </c>
      <c r="F9975" t="s">
        <v>12866</v>
      </c>
    </row>
    <row r="9976" spans="1:6" x14ac:dyDescent="0.25">
      <c r="A9976" t="s">
        <v>13142</v>
      </c>
      <c r="B9976" t="s">
        <v>6739</v>
      </c>
      <c r="C9976" t="s">
        <v>824</v>
      </c>
      <c r="D9976" t="str">
        <f>HYPERLINK("http://service.sap.com/sap/support/notes/1871703","1871703")</f>
        <v>1871703</v>
      </c>
      <c r="E9976">
        <v>2</v>
      </c>
      <c r="F9976" t="s">
        <v>12865</v>
      </c>
    </row>
    <row r="9977" spans="1:6" x14ac:dyDescent="0.25">
      <c r="A9977" t="s">
        <v>13142</v>
      </c>
      <c r="B9977" t="s">
        <v>719</v>
      </c>
      <c r="C9977" t="s">
        <v>720</v>
      </c>
    </row>
    <row r="9978" spans="1:6" x14ac:dyDescent="0.25">
      <c r="A9978" t="s">
        <v>13142</v>
      </c>
      <c r="B9978" t="s">
        <v>6741</v>
      </c>
      <c r="C9978" t="s">
        <v>6742</v>
      </c>
      <c r="D9978" t="str">
        <f>HYPERLINK("http://service.sap.com/sap/support/notes/1467948","1467948")</f>
        <v>1467948</v>
      </c>
      <c r="E9978">
        <v>2</v>
      </c>
      <c r="F9978" t="s">
        <v>6743</v>
      </c>
    </row>
    <row r="9979" spans="1:6" x14ac:dyDescent="0.25">
      <c r="A9979" t="s">
        <v>13142</v>
      </c>
      <c r="B9979" t="s">
        <v>6741</v>
      </c>
      <c r="C9979" t="s">
        <v>6742</v>
      </c>
      <c r="D9979" t="str">
        <f>HYPERLINK("http://service.sap.com/sap/support/notes/1868046","1868046")</f>
        <v>1868046</v>
      </c>
      <c r="E9979">
        <v>2</v>
      </c>
      <c r="F9979" t="s">
        <v>12864</v>
      </c>
    </row>
    <row r="9980" spans="1:6" x14ac:dyDescent="0.25">
      <c r="A9980" t="s">
        <v>13142</v>
      </c>
      <c r="B9980" t="s">
        <v>6741</v>
      </c>
      <c r="C9980" t="s">
        <v>6742</v>
      </c>
      <c r="D9980" t="str">
        <f>HYPERLINK("http://service.sap.com/sap/support/notes/1883452","1883452")</f>
        <v>1883452</v>
      </c>
      <c r="E9980">
        <v>3</v>
      </c>
      <c r="F9980" t="s">
        <v>12863</v>
      </c>
    </row>
    <row r="9981" spans="1:6" x14ac:dyDescent="0.25">
      <c r="A9981" t="s">
        <v>13142</v>
      </c>
      <c r="B9981" t="s">
        <v>12862</v>
      </c>
      <c r="C9981" t="s">
        <v>5242</v>
      </c>
      <c r="D9981" t="str">
        <f>HYPERLINK("http://service.sap.com/sap/support/notes/1881530","1881530")</f>
        <v>1881530</v>
      </c>
      <c r="E9981">
        <v>2</v>
      </c>
      <c r="F9981" t="s">
        <v>12861</v>
      </c>
    </row>
    <row r="9982" spans="1:6" x14ac:dyDescent="0.25">
      <c r="A9982" t="s">
        <v>13142</v>
      </c>
      <c r="B9982" t="s">
        <v>721</v>
      </c>
      <c r="C9982" t="s">
        <v>722</v>
      </c>
      <c r="D9982" t="str">
        <f>HYPERLINK("http://service.sap.com/sap/support/notes/1885410","1885410")</f>
        <v>1885410</v>
      </c>
      <c r="E9982">
        <v>1</v>
      </c>
      <c r="F9982" t="s">
        <v>12860</v>
      </c>
    </row>
    <row r="9983" spans="1:6" x14ac:dyDescent="0.25">
      <c r="A9983" t="s">
        <v>13142</v>
      </c>
      <c r="B9983" t="s">
        <v>721</v>
      </c>
      <c r="C9983" t="s">
        <v>722</v>
      </c>
      <c r="D9983" t="str">
        <f>HYPERLINK("http://service.sap.com/sap/support/notes/1886902","1886902")</f>
        <v>1886902</v>
      </c>
      <c r="E9983">
        <v>1</v>
      </c>
      <c r="F9983" t="s">
        <v>12859</v>
      </c>
    </row>
    <row r="9984" spans="1:6" x14ac:dyDescent="0.25">
      <c r="A9984" t="s">
        <v>13142</v>
      </c>
      <c r="B9984" t="s">
        <v>721</v>
      </c>
      <c r="C9984" t="s">
        <v>722</v>
      </c>
      <c r="D9984" t="str">
        <f>HYPERLINK("http://service.sap.com/sap/support/notes/1900223","1900223")</f>
        <v>1900223</v>
      </c>
      <c r="E9984">
        <v>1</v>
      </c>
      <c r="F9984" t="s">
        <v>12858</v>
      </c>
    </row>
    <row r="9985" spans="1:6" x14ac:dyDescent="0.25">
      <c r="A9985" t="s">
        <v>13142</v>
      </c>
      <c r="B9985" t="s">
        <v>721</v>
      </c>
      <c r="C9985" t="s">
        <v>722</v>
      </c>
      <c r="D9985" t="str">
        <f>HYPERLINK("http://service.sap.com/sap/support/notes/1902394","1902394")</f>
        <v>1902394</v>
      </c>
      <c r="E9985">
        <v>2</v>
      </c>
      <c r="F9985" t="s">
        <v>12857</v>
      </c>
    </row>
    <row r="9986" spans="1:6" x14ac:dyDescent="0.25">
      <c r="A9986" t="s">
        <v>13142</v>
      </c>
      <c r="B9986" t="s">
        <v>731</v>
      </c>
      <c r="C9986" t="s">
        <v>6753</v>
      </c>
    </row>
    <row r="9987" spans="1:6" x14ac:dyDescent="0.25">
      <c r="A9987" t="s">
        <v>13142</v>
      </c>
      <c r="B9987" t="s">
        <v>735</v>
      </c>
      <c r="C9987" t="s">
        <v>736</v>
      </c>
    </row>
    <row r="9988" spans="1:6" x14ac:dyDescent="0.25">
      <c r="A9988" t="s">
        <v>13142</v>
      </c>
      <c r="B9988" t="s">
        <v>6754</v>
      </c>
      <c r="C9988" t="s">
        <v>6755</v>
      </c>
      <c r="D9988" t="str">
        <f>HYPERLINK("http://service.sap.com/sap/support/notes/1838423","1838423")</f>
        <v>1838423</v>
      </c>
      <c r="E9988">
        <v>2</v>
      </c>
      <c r="F9988" t="s">
        <v>12856</v>
      </c>
    </row>
    <row r="9989" spans="1:6" x14ac:dyDescent="0.25">
      <c r="A9989" t="s">
        <v>13142</v>
      </c>
      <c r="B9989" t="s">
        <v>4515</v>
      </c>
      <c r="C9989" t="s">
        <v>4516</v>
      </c>
      <c r="D9989" t="str">
        <f>HYPERLINK("http://service.sap.com/sap/support/notes/1870522","1870522")</f>
        <v>1870522</v>
      </c>
      <c r="E9989">
        <v>2</v>
      </c>
      <c r="F9989" t="s">
        <v>12855</v>
      </c>
    </row>
    <row r="9990" spans="1:6" x14ac:dyDescent="0.25">
      <c r="A9990" t="s">
        <v>13142</v>
      </c>
      <c r="B9990" t="s">
        <v>6757</v>
      </c>
      <c r="C9990" t="s">
        <v>6758</v>
      </c>
      <c r="D9990" t="str">
        <f>HYPERLINK("http://service.sap.com/sap/support/notes/1882234","1882234")</f>
        <v>1882234</v>
      </c>
      <c r="E9990">
        <v>2</v>
      </c>
      <c r="F9990" t="s">
        <v>12854</v>
      </c>
    </row>
    <row r="9991" spans="1:6" x14ac:dyDescent="0.25">
      <c r="A9991" t="s">
        <v>13142</v>
      </c>
      <c r="B9991" t="s">
        <v>12853</v>
      </c>
      <c r="C9991" t="s">
        <v>824</v>
      </c>
      <c r="D9991" t="str">
        <f>HYPERLINK("http://service.sap.com/sap/support/notes/1853723","1853723")</f>
        <v>1853723</v>
      </c>
      <c r="E9991">
        <v>1</v>
      </c>
      <c r="F9991" t="s">
        <v>12852</v>
      </c>
    </row>
    <row r="9992" spans="1:6" x14ac:dyDescent="0.25">
      <c r="A9992" t="s">
        <v>13142</v>
      </c>
      <c r="B9992" t="s">
        <v>9206</v>
      </c>
      <c r="C9992" t="s">
        <v>9207</v>
      </c>
      <c r="D9992" t="str">
        <f>HYPERLINK("http://service.sap.com/sap/support/notes/1834047","1834047")</f>
        <v>1834047</v>
      </c>
      <c r="E9992">
        <v>3</v>
      </c>
      <c r="F9992" t="s">
        <v>12851</v>
      </c>
    </row>
    <row r="9993" spans="1:6" x14ac:dyDescent="0.25">
      <c r="A9993" t="s">
        <v>13142</v>
      </c>
      <c r="B9993" t="s">
        <v>9206</v>
      </c>
      <c r="C9993" t="s">
        <v>9207</v>
      </c>
      <c r="D9993" t="str">
        <f>HYPERLINK("http://service.sap.com/sap/support/notes/1862538","1862538")</f>
        <v>1862538</v>
      </c>
      <c r="E9993">
        <v>4</v>
      </c>
      <c r="F9993" t="s">
        <v>12850</v>
      </c>
    </row>
    <row r="9994" spans="1:6" x14ac:dyDescent="0.25">
      <c r="A9994" t="s">
        <v>13142</v>
      </c>
      <c r="B9994" t="s">
        <v>748</v>
      </c>
      <c r="C9994" t="s">
        <v>749</v>
      </c>
    </row>
    <row r="9995" spans="1:6" x14ac:dyDescent="0.25">
      <c r="A9995" t="s">
        <v>13142</v>
      </c>
      <c r="B9995" t="s">
        <v>750</v>
      </c>
      <c r="C9995" t="s">
        <v>751</v>
      </c>
    </row>
    <row r="9996" spans="1:6" x14ac:dyDescent="0.25">
      <c r="A9996" t="s">
        <v>13142</v>
      </c>
      <c r="B9996" t="s">
        <v>752</v>
      </c>
      <c r="C9996" t="s">
        <v>753</v>
      </c>
      <c r="D9996" t="str">
        <f>HYPERLINK("http://service.sap.com/sap/support/notes/1876383","1876383")</f>
        <v>1876383</v>
      </c>
      <c r="E9996">
        <v>1</v>
      </c>
      <c r="F9996" t="s">
        <v>12849</v>
      </c>
    </row>
    <row r="9997" spans="1:6" x14ac:dyDescent="0.25">
      <c r="A9997" t="s">
        <v>13142</v>
      </c>
      <c r="B9997" t="s">
        <v>763</v>
      </c>
      <c r="C9997" t="s">
        <v>764</v>
      </c>
    </row>
    <row r="9998" spans="1:6" x14ac:dyDescent="0.25">
      <c r="A9998" t="s">
        <v>13142</v>
      </c>
      <c r="B9998" t="s">
        <v>765</v>
      </c>
      <c r="C9998" t="s">
        <v>766</v>
      </c>
    </row>
    <row r="9999" spans="1:6" x14ac:dyDescent="0.25">
      <c r="A9999" t="s">
        <v>13142</v>
      </c>
      <c r="B9999" t="s">
        <v>767</v>
      </c>
      <c r="C9999" t="s">
        <v>768</v>
      </c>
    </row>
    <row r="10000" spans="1:6" x14ac:dyDescent="0.25">
      <c r="A10000" t="s">
        <v>13142</v>
      </c>
      <c r="B10000" t="s">
        <v>4535</v>
      </c>
      <c r="C10000" t="s">
        <v>4536</v>
      </c>
      <c r="D10000" t="str">
        <f>HYPERLINK("http://service.sap.com/sap/support/notes/1899195","1899195")</f>
        <v>1899195</v>
      </c>
      <c r="E10000">
        <v>1</v>
      </c>
      <c r="F10000" t="s">
        <v>12848</v>
      </c>
    </row>
    <row r="10001" spans="1:6" x14ac:dyDescent="0.25">
      <c r="A10001" t="s">
        <v>13142</v>
      </c>
      <c r="B10001" t="s">
        <v>9212</v>
      </c>
      <c r="C10001" t="s">
        <v>9213</v>
      </c>
      <c r="D10001" t="str">
        <f>HYPERLINK("http://service.sap.com/sap/support/notes/1868769","1868769")</f>
        <v>1868769</v>
      </c>
      <c r="E10001">
        <v>3</v>
      </c>
      <c r="F10001" t="s">
        <v>12847</v>
      </c>
    </row>
    <row r="10002" spans="1:6" x14ac:dyDescent="0.25">
      <c r="A10002" t="s">
        <v>13142</v>
      </c>
      <c r="B10002" t="s">
        <v>9212</v>
      </c>
      <c r="C10002" t="s">
        <v>9213</v>
      </c>
      <c r="D10002" t="str">
        <f>HYPERLINK("http://service.sap.com/sap/support/notes/1871783","1871783")</f>
        <v>1871783</v>
      </c>
      <c r="E10002">
        <v>2</v>
      </c>
      <c r="F10002" t="s">
        <v>12846</v>
      </c>
    </row>
    <row r="10003" spans="1:6" x14ac:dyDescent="0.25">
      <c r="A10003" t="s">
        <v>13142</v>
      </c>
      <c r="B10003" t="s">
        <v>4539</v>
      </c>
      <c r="C10003" t="s">
        <v>4540</v>
      </c>
    </row>
    <row r="10004" spans="1:6" x14ac:dyDescent="0.25">
      <c r="A10004" t="s">
        <v>13142</v>
      </c>
      <c r="B10004" t="s">
        <v>4541</v>
      </c>
      <c r="C10004" t="s">
        <v>4542</v>
      </c>
      <c r="D10004" t="str">
        <f>HYPERLINK("http://service.sap.com/sap/support/notes/1875803","1875803")</f>
        <v>1875803</v>
      </c>
      <c r="E10004">
        <v>1</v>
      </c>
      <c r="F10004" t="s">
        <v>12845</v>
      </c>
    </row>
    <row r="10005" spans="1:6" x14ac:dyDescent="0.25">
      <c r="A10005" t="s">
        <v>13142</v>
      </c>
      <c r="B10005" t="s">
        <v>772</v>
      </c>
      <c r="C10005" t="s">
        <v>773</v>
      </c>
    </row>
    <row r="10006" spans="1:6" x14ac:dyDescent="0.25">
      <c r="A10006" t="s">
        <v>13142</v>
      </c>
      <c r="B10006" t="s">
        <v>774</v>
      </c>
      <c r="C10006" t="s">
        <v>775</v>
      </c>
      <c r="D10006" t="str">
        <f>HYPERLINK("http://service.sap.com/sap/support/notes/1830377","1830377")</f>
        <v>1830377</v>
      </c>
      <c r="E10006">
        <v>2</v>
      </c>
      <c r="F10006" t="s">
        <v>12844</v>
      </c>
    </row>
    <row r="10007" spans="1:6" x14ac:dyDescent="0.25">
      <c r="A10007" t="s">
        <v>13142</v>
      </c>
      <c r="B10007" t="s">
        <v>774</v>
      </c>
      <c r="C10007" t="s">
        <v>775</v>
      </c>
      <c r="D10007" t="str">
        <f>HYPERLINK("http://service.sap.com/sap/support/notes/1860379","1860379")</f>
        <v>1860379</v>
      </c>
      <c r="E10007">
        <v>3</v>
      </c>
      <c r="F10007" t="s">
        <v>12843</v>
      </c>
    </row>
    <row r="10008" spans="1:6" x14ac:dyDescent="0.25">
      <c r="A10008" t="s">
        <v>13142</v>
      </c>
      <c r="B10008" t="s">
        <v>774</v>
      </c>
      <c r="C10008" t="s">
        <v>775</v>
      </c>
      <c r="D10008" t="str">
        <f>HYPERLINK("http://service.sap.com/sap/support/notes/1861641","1861641")</f>
        <v>1861641</v>
      </c>
      <c r="E10008">
        <v>10</v>
      </c>
      <c r="F10008" t="s">
        <v>12842</v>
      </c>
    </row>
    <row r="10009" spans="1:6" x14ac:dyDescent="0.25">
      <c r="A10009" t="s">
        <v>13142</v>
      </c>
      <c r="B10009" t="s">
        <v>774</v>
      </c>
      <c r="C10009" t="s">
        <v>775</v>
      </c>
      <c r="D10009" t="str">
        <f>HYPERLINK("http://service.sap.com/sap/support/notes/1864963","1864963")</f>
        <v>1864963</v>
      </c>
      <c r="E10009">
        <v>2</v>
      </c>
      <c r="F10009" t="s">
        <v>12841</v>
      </c>
    </row>
    <row r="10010" spans="1:6" x14ac:dyDescent="0.25">
      <c r="A10010" t="s">
        <v>13142</v>
      </c>
      <c r="B10010" t="s">
        <v>774</v>
      </c>
      <c r="C10010" t="s">
        <v>775</v>
      </c>
      <c r="D10010" t="str">
        <f>HYPERLINK("http://service.sap.com/sap/support/notes/1874922","1874922")</f>
        <v>1874922</v>
      </c>
      <c r="E10010">
        <v>4</v>
      </c>
      <c r="F10010" t="s">
        <v>12840</v>
      </c>
    </row>
    <row r="10011" spans="1:6" x14ac:dyDescent="0.25">
      <c r="A10011" t="s">
        <v>13142</v>
      </c>
      <c r="B10011" t="s">
        <v>774</v>
      </c>
      <c r="C10011" t="s">
        <v>775</v>
      </c>
      <c r="D10011" t="str">
        <f>HYPERLINK("http://service.sap.com/sap/support/notes/1879781","1879781")</f>
        <v>1879781</v>
      </c>
      <c r="E10011">
        <v>1</v>
      </c>
      <c r="F10011" t="s">
        <v>12839</v>
      </c>
    </row>
    <row r="10012" spans="1:6" x14ac:dyDescent="0.25">
      <c r="A10012" t="s">
        <v>13142</v>
      </c>
      <c r="B10012" t="s">
        <v>774</v>
      </c>
      <c r="C10012" t="s">
        <v>775</v>
      </c>
      <c r="D10012" t="str">
        <f>HYPERLINK("http://service.sap.com/sap/support/notes/1881217","1881217")</f>
        <v>1881217</v>
      </c>
      <c r="E10012">
        <v>2</v>
      </c>
      <c r="F10012" t="s">
        <v>12838</v>
      </c>
    </row>
    <row r="10013" spans="1:6" x14ac:dyDescent="0.25">
      <c r="A10013" t="s">
        <v>13142</v>
      </c>
      <c r="B10013" t="s">
        <v>774</v>
      </c>
      <c r="C10013" t="s">
        <v>775</v>
      </c>
      <c r="D10013" t="str">
        <f>HYPERLINK("http://service.sap.com/sap/support/notes/1896869","1896869")</f>
        <v>1896869</v>
      </c>
      <c r="E10013">
        <v>4</v>
      </c>
      <c r="F10013" t="s">
        <v>12837</v>
      </c>
    </row>
    <row r="10014" spans="1:6" x14ac:dyDescent="0.25">
      <c r="A10014" t="s">
        <v>13142</v>
      </c>
      <c r="B10014" t="s">
        <v>774</v>
      </c>
      <c r="C10014" t="s">
        <v>775</v>
      </c>
      <c r="D10014" t="str">
        <f>HYPERLINK("http://service.sap.com/sap/support/notes/1897310","1897310")</f>
        <v>1897310</v>
      </c>
      <c r="E10014">
        <v>1</v>
      </c>
      <c r="F10014" t="s">
        <v>12836</v>
      </c>
    </row>
    <row r="10015" spans="1:6" x14ac:dyDescent="0.25">
      <c r="A10015" t="s">
        <v>13142</v>
      </c>
      <c r="B10015" t="s">
        <v>774</v>
      </c>
      <c r="C10015" t="s">
        <v>775</v>
      </c>
      <c r="D10015" t="str">
        <f>HYPERLINK("http://service.sap.com/sap/support/notes/1903684","1903684")</f>
        <v>1903684</v>
      </c>
      <c r="E10015">
        <v>1</v>
      </c>
      <c r="F10015" t="s">
        <v>12835</v>
      </c>
    </row>
    <row r="10016" spans="1:6" x14ac:dyDescent="0.25">
      <c r="A10016" t="s">
        <v>13142</v>
      </c>
      <c r="B10016" t="s">
        <v>6778</v>
      </c>
      <c r="C10016" t="s">
        <v>6779</v>
      </c>
    </row>
    <row r="10017" spans="1:6" x14ac:dyDescent="0.25">
      <c r="A10017" t="s">
        <v>13142</v>
      </c>
      <c r="B10017" t="s">
        <v>6780</v>
      </c>
      <c r="C10017" t="s">
        <v>6781</v>
      </c>
      <c r="D10017" t="str">
        <f>HYPERLINK("http://service.sap.com/sap/support/notes/1874479","1874479")</f>
        <v>1874479</v>
      </c>
      <c r="E10017">
        <v>2</v>
      </c>
      <c r="F10017" t="s">
        <v>12834</v>
      </c>
    </row>
    <row r="10018" spans="1:6" x14ac:dyDescent="0.25">
      <c r="A10018" t="s">
        <v>13142</v>
      </c>
      <c r="B10018" t="s">
        <v>6780</v>
      </c>
      <c r="C10018" t="s">
        <v>6781</v>
      </c>
      <c r="D10018" t="str">
        <f>HYPERLINK("http://service.sap.com/sap/support/notes/1875177","1875177")</f>
        <v>1875177</v>
      </c>
      <c r="E10018">
        <v>1</v>
      </c>
      <c r="F10018" t="s">
        <v>12833</v>
      </c>
    </row>
    <row r="10019" spans="1:6" x14ac:dyDescent="0.25">
      <c r="A10019" t="s">
        <v>13142</v>
      </c>
      <c r="B10019" t="s">
        <v>786</v>
      </c>
      <c r="C10019" t="s">
        <v>198</v>
      </c>
    </row>
    <row r="10020" spans="1:6" x14ac:dyDescent="0.25">
      <c r="A10020" t="s">
        <v>13142</v>
      </c>
      <c r="B10020" t="s">
        <v>787</v>
      </c>
      <c r="C10020" t="s">
        <v>201</v>
      </c>
      <c r="D10020" t="str">
        <f>HYPERLINK("http://service.sap.com/sap/support/notes/1846483","1846483")</f>
        <v>1846483</v>
      </c>
      <c r="E10020">
        <v>2</v>
      </c>
    </row>
    <row r="10021" spans="1:6" x14ac:dyDescent="0.25">
      <c r="A10021" t="s">
        <v>13142</v>
      </c>
      <c r="B10021" t="s">
        <v>791</v>
      </c>
      <c r="C10021" t="s">
        <v>151</v>
      </c>
      <c r="D10021" t="str">
        <f>HYPERLINK("http://service.sap.com/sap/support/notes/1890653","1890653")</f>
        <v>1890653</v>
      </c>
      <c r="E10021">
        <v>1</v>
      </c>
    </row>
    <row r="10022" spans="1:6" x14ac:dyDescent="0.25">
      <c r="A10022" t="s">
        <v>13142</v>
      </c>
      <c r="B10022" t="s">
        <v>793</v>
      </c>
      <c r="C10022" t="s">
        <v>29</v>
      </c>
      <c r="D10022" t="str">
        <f>HYPERLINK("http://service.sap.com/sap/support/notes/1688850","1688850")</f>
        <v>1688850</v>
      </c>
      <c r="E10022">
        <v>4</v>
      </c>
      <c r="F10022" t="s">
        <v>12832</v>
      </c>
    </row>
    <row r="10023" spans="1:6" x14ac:dyDescent="0.25">
      <c r="A10023" t="s">
        <v>13142</v>
      </c>
      <c r="B10023" t="s">
        <v>793</v>
      </c>
      <c r="C10023" t="s">
        <v>29</v>
      </c>
      <c r="D10023" t="str">
        <f>HYPERLINK("http://service.sap.com/sap/support/notes/1712331","1712331")</f>
        <v>1712331</v>
      </c>
      <c r="E10023">
        <v>2</v>
      </c>
      <c r="F10023" t="s">
        <v>12831</v>
      </c>
    </row>
    <row r="10024" spans="1:6" x14ac:dyDescent="0.25">
      <c r="A10024" t="s">
        <v>13142</v>
      </c>
      <c r="B10024" t="s">
        <v>793</v>
      </c>
      <c r="C10024" t="s">
        <v>29</v>
      </c>
      <c r="D10024" t="str">
        <f>HYPERLINK("http://service.sap.com/sap/support/notes/1766284","1766284")</f>
        <v>1766284</v>
      </c>
      <c r="E10024">
        <v>5</v>
      </c>
      <c r="F10024" t="s">
        <v>12830</v>
      </c>
    </row>
    <row r="10025" spans="1:6" x14ac:dyDescent="0.25">
      <c r="A10025" t="s">
        <v>13142</v>
      </c>
      <c r="B10025" t="s">
        <v>793</v>
      </c>
      <c r="C10025" t="s">
        <v>29</v>
      </c>
      <c r="D10025" t="str">
        <f>HYPERLINK("http://service.sap.com/sap/support/notes/1796962","1796962")</f>
        <v>1796962</v>
      </c>
      <c r="E10025">
        <v>6</v>
      </c>
      <c r="F10025" t="s">
        <v>12829</v>
      </c>
    </row>
    <row r="10026" spans="1:6" x14ac:dyDescent="0.25">
      <c r="A10026" t="s">
        <v>13142</v>
      </c>
      <c r="B10026" t="s">
        <v>793</v>
      </c>
      <c r="C10026" t="s">
        <v>29</v>
      </c>
      <c r="D10026" t="str">
        <f>HYPERLINK("http://service.sap.com/sap/support/notes/1809611","1809611")</f>
        <v>1809611</v>
      </c>
      <c r="E10026">
        <v>5</v>
      </c>
      <c r="F10026" t="s">
        <v>12828</v>
      </c>
    </row>
    <row r="10027" spans="1:6" x14ac:dyDescent="0.25">
      <c r="A10027" t="s">
        <v>13142</v>
      </c>
      <c r="B10027" t="s">
        <v>793</v>
      </c>
      <c r="C10027" t="s">
        <v>29</v>
      </c>
      <c r="D10027" t="str">
        <f>HYPERLINK("http://service.sap.com/sap/support/notes/1840218","1840218")</f>
        <v>1840218</v>
      </c>
      <c r="E10027">
        <v>2</v>
      </c>
    </row>
    <row r="10028" spans="1:6" x14ac:dyDescent="0.25">
      <c r="A10028" t="s">
        <v>13142</v>
      </c>
      <c r="B10028" t="s">
        <v>793</v>
      </c>
      <c r="C10028" t="s">
        <v>29</v>
      </c>
      <c r="D10028" t="str">
        <f>HYPERLINK("http://service.sap.com/sap/support/notes/1874799","1874799")</f>
        <v>1874799</v>
      </c>
      <c r="E10028">
        <v>1</v>
      </c>
    </row>
    <row r="10029" spans="1:6" x14ac:dyDescent="0.25">
      <c r="A10029" t="s">
        <v>13142</v>
      </c>
      <c r="B10029" t="s">
        <v>793</v>
      </c>
      <c r="C10029" t="s">
        <v>29</v>
      </c>
      <c r="D10029" t="str">
        <f>HYPERLINK("http://service.sap.com/sap/support/notes/1877429","1877429")</f>
        <v>1877429</v>
      </c>
      <c r="E10029">
        <v>2</v>
      </c>
      <c r="F10029" t="s">
        <v>12827</v>
      </c>
    </row>
    <row r="10030" spans="1:6" x14ac:dyDescent="0.25">
      <c r="A10030" t="s">
        <v>13142</v>
      </c>
      <c r="B10030" t="s">
        <v>793</v>
      </c>
      <c r="C10030" t="s">
        <v>29</v>
      </c>
      <c r="D10030" t="str">
        <f>HYPERLINK("http://service.sap.com/sap/support/notes/1878056","1878056")</f>
        <v>1878056</v>
      </c>
      <c r="E10030">
        <v>1</v>
      </c>
      <c r="F10030" t="s">
        <v>12826</v>
      </c>
    </row>
    <row r="10031" spans="1:6" x14ac:dyDescent="0.25">
      <c r="A10031" t="s">
        <v>13142</v>
      </c>
      <c r="B10031" t="s">
        <v>793</v>
      </c>
      <c r="C10031" t="s">
        <v>29</v>
      </c>
      <c r="D10031" t="str">
        <f>HYPERLINK("http://service.sap.com/sap/support/notes/1880285","1880285")</f>
        <v>1880285</v>
      </c>
      <c r="E10031">
        <v>1</v>
      </c>
    </row>
    <row r="10032" spans="1:6" x14ac:dyDescent="0.25">
      <c r="A10032" t="s">
        <v>13142</v>
      </c>
      <c r="B10032" t="s">
        <v>793</v>
      </c>
      <c r="C10032" t="s">
        <v>29</v>
      </c>
      <c r="D10032" t="str">
        <f>HYPERLINK("http://service.sap.com/sap/support/notes/1893289","1893289")</f>
        <v>1893289</v>
      </c>
      <c r="E10032">
        <v>2</v>
      </c>
      <c r="F10032" t="s">
        <v>12825</v>
      </c>
    </row>
    <row r="10033" spans="1:6" x14ac:dyDescent="0.25">
      <c r="A10033" t="s">
        <v>13142</v>
      </c>
      <c r="B10033" t="s">
        <v>805</v>
      </c>
      <c r="C10033" t="s">
        <v>806</v>
      </c>
      <c r="D10033" t="str">
        <f>HYPERLINK("http://service.sap.com/sap/support/notes/1663976","1663976")</f>
        <v>1663976</v>
      </c>
      <c r="E10033">
        <v>7</v>
      </c>
      <c r="F10033" t="s">
        <v>12824</v>
      </c>
    </row>
    <row r="10034" spans="1:6" x14ac:dyDescent="0.25">
      <c r="A10034" t="s">
        <v>13142</v>
      </c>
      <c r="B10034" t="s">
        <v>805</v>
      </c>
      <c r="C10034" t="s">
        <v>806</v>
      </c>
      <c r="D10034" t="str">
        <f>HYPERLINK("http://service.sap.com/sap/support/notes/1860805","1860805")</f>
        <v>1860805</v>
      </c>
      <c r="E10034">
        <v>3</v>
      </c>
    </row>
    <row r="10035" spans="1:6" x14ac:dyDescent="0.25">
      <c r="A10035" t="s">
        <v>13142</v>
      </c>
      <c r="B10035" t="s">
        <v>809</v>
      </c>
      <c r="C10035" t="s">
        <v>810</v>
      </c>
      <c r="D10035" t="str">
        <f>HYPERLINK("http://service.sap.com/sap/support/notes/1814931","1814931")</f>
        <v>1814931</v>
      </c>
      <c r="E10035">
        <v>1</v>
      </c>
      <c r="F10035" t="s">
        <v>12823</v>
      </c>
    </row>
    <row r="10036" spans="1:6" x14ac:dyDescent="0.25">
      <c r="A10036" t="s">
        <v>13142</v>
      </c>
      <c r="B10036" t="s">
        <v>809</v>
      </c>
      <c r="C10036" t="s">
        <v>810</v>
      </c>
      <c r="D10036" t="str">
        <f>HYPERLINK("http://service.sap.com/sap/support/notes/1826483","1826483")</f>
        <v>1826483</v>
      </c>
      <c r="E10036">
        <v>2</v>
      </c>
      <c r="F10036" t="s">
        <v>12822</v>
      </c>
    </row>
    <row r="10037" spans="1:6" x14ac:dyDescent="0.25">
      <c r="A10037" t="s">
        <v>13142</v>
      </c>
      <c r="B10037" t="s">
        <v>809</v>
      </c>
      <c r="C10037" t="s">
        <v>810</v>
      </c>
      <c r="D10037" t="str">
        <f>HYPERLINK("http://service.sap.com/sap/support/notes/1828211","1828211")</f>
        <v>1828211</v>
      </c>
      <c r="E10037">
        <v>2</v>
      </c>
      <c r="F10037" t="s">
        <v>12821</v>
      </c>
    </row>
    <row r="10038" spans="1:6" x14ac:dyDescent="0.25">
      <c r="A10038" t="s">
        <v>13142</v>
      </c>
      <c r="B10038" t="s">
        <v>809</v>
      </c>
      <c r="C10038" t="s">
        <v>810</v>
      </c>
      <c r="D10038" t="str">
        <f>HYPERLINK("http://service.sap.com/sap/support/notes/1828338","1828338")</f>
        <v>1828338</v>
      </c>
      <c r="E10038">
        <v>2</v>
      </c>
      <c r="F10038" t="s">
        <v>12820</v>
      </c>
    </row>
    <row r="10039" spans="1:6" x14ac:dyDescent="0.25">
      <c r="A10039" t="s">
        <v>13142</v>
      </c>
      <c r="B10039" t="s">
        <v>809</v>
      </c>
      <c r="C10039" t="s">
        <v>810</v>
      </c>
      <c r="D10039" t="str">
        <f>HYPERLINK("http://service.sap.com/sap/support/notes/1836134","1836134")</f>
        <v>1836134</v>
      </c>
      <c r="E10039">
        <v>2</v>
      </c>
    </row>
    <row r="10040" spans="1:6" x14ac:dyDescent="0.25">
      <c r="A10040" t="s">
        <v>13142</v>
      </c>
      <c r="B10040" t="s">
        <v>809</v>
      </c>
      <c r="C10040" t="s">
        <v>810</v>
      </c>
      <c r="D10040" t="str">
        <f>HYPERLINK("http://service.sap.com/sap/support/notes/1837875","1837875")</f>
        <v>1837875</v>
      </c>
      <c r="E10040">
        <v>2</v>
      </c>
      <c r="F10040" t="s">
        <v>12819</v>
      </c>
    </row>
    <row r="10041" spans="1:6" x14ac:dyDescent="0.25">
      <c r="A10041" t="s">
        <v>13142</v>
      </c>
      <c r="B10041" t="s">
        <v>809</v>
      </c>
      <c r="C10041" t="s">
        <v>810</v>
      </c>
      <c r="D10041" t="str">
        <f>HYPERLINK("http://service.sap.com/sap/support/notes/1848440","1848440")</f>
        <v>1848440</v>
      </c>
      <c r="E10041">
        <v>1</v>
      </c>
      <c r="F10041" t="s">
        <v>12818</v>
      </c>
    </row>
    <row r="10042" spans="1:6" x14ac:dyDescent="0.25">
      <c r="A10042" t="s">
        <v>13142</v>
      </c>
      <c r="B10042" t="s">
        <v>809</v>
      </c>
      <c r="C10042" t="s">
        <v>810</v>
      </c>
      <c r="D10042" t="str">
        <f>HYPERLINK("http://service.sap.com/sap/support/notes/1859143","1859143")</f>
        <v>1859143</v>
      </c>
      <c r="E10042">
        <v>1</v>
      </c>
      <c r="F10042" t="s">
        <v>12817</v>
      </c>
    </row>
    <row r="10043" spans="1:6" x14ac:dyDescent="0.25">
      <c r="A10043" t="s">
        <v>13142</v>
      </c>
      <c r="B10043" t="s">
        <v>809</v>
      </c>
      <c r="C10043" t="s">
        <v>810</v>
      </c>
      <c r="D10043" t="str">
        <f>HYPERLINK("http://service.sap.com/sap/support/notes/1867419","1867419")</f>
        <v>1867419</v>
      </c>
      <c r="E10043">
        <v>1</v>
      </c>
    </row>
    <row r="10044" spans="1:6" x14ac:dyDescent="0.25">
      <c r="A10044" t="s">
        <v>13142</v>
      </c>
      <c r="B10044" t="s">
        <v>809</v>
      </c>
      <c r="C10044" t="s">
        <v>810</v>
      </c>
      <c r="D10044" t="str">
        <f>HYPERLINK("http://service.sap.com/sap/support/notes/1881752","1881752")</f>
        <v>1881752</v>
      </c>
      <c r="E10044">
        <v>1</v>
      </c>
      <c r="F10044" t="s">
        <v>12816</v>
      </c>
    </row>
    <row r="10045" spans="1:6" x14ac:dyDescent="0.25">
      <c r="A10045" t="s">
        <v>13142</v>
      </c>
      <c r="B10045" t="s">
        <v>809</v>
      </c>
      <c r="C10045" t="s">
        <v>810</v>
      </c>
      <c r="D10045" t="str">
        <f>HYPERLINK("http://service.sap.com/sap/support/notes/1882353","1882353")</f>
        <v>1882353</v>
      </c>
      <c r="E10045">
        <v>3</v>
      </c>
      <c r="F10045" t="s">
        <v>12815</v>
      </c>
    </row>
    <row r="10046" spans="1:6" x14ac:dyDescent="0.25">
      <c r="A10046" t="s">
        <v>13142</v>
      </c>
      <c r="B10046" t="s">
        <v>809</v>
      </c>
      <c r="C10046" t="s">
        <v>810</v>
      </c>
      <c r="D10046" t="str">
        <f>HYPERLINK("http://service.sap.com/sap/support/notes/1886409","1886409")</f>
        <v>1886409</v>
      </c>
      <c r="E10046">
        <v>1</v>
      </c>
      <c r="F10046" t="s">
        <v>12814</v>
      </c>
    </row>
    <row r="10047" spans="1:6" x14ac:dyDescent="0.25">
      <c r="A10047" t="s">
        <v>13142</v>
      </c>
      <c r="B10047" t="s">
        <v>4564</v>
      </c>
      <c r="C10047" t="s">
        <v>4565</v>
      </c>
      <c r="D10047" t="str">
        <f>HYPERLINK("http://service.sap.com/sap/support/notes/1821325","1821325")</f>
        <v>1821325</v>
      </c>
      <c r="E10047">
        <v>3</v>
      </c>
    </row>
    <row r="10048" spans="1:6" x14ac:dyDescent="0.25">
      <c r="A10048" t="s">
        <v>13142</v>
      </c>
      <c r="B10048" t="s">
        <v>4564</v>
      </c>
      <c r="C10048" t="s">
        <v>4565</v>
      </c>
      <c r="D10048" t="str">
        <f>HYPERLINK("http://service.sap.com/sap/support/notes/1857866","1857866")</f>
        <v>1857866</v>
      </c>
      <c r="E10048">
        <v>2</v>
      </c>
    </row>
    <row r="10049" spans="1:6" x14ac:dyDescent="0.25">
      <c r="A10049" t="s">
        <v>13142</v>
      </c>
      <c r="B10049" t="s">
        <v>4564</v>
      </c>
      <c r="C10049" t="s">
        <v>4565</v>
      </c>
      <c r="D10049" t="str">
        <f>HYPERLINK("http://service.sap.com/sap/support/notes/1882085","1882085")</f>
        <v>1882085</v>
      </c>
      <c r="E10049">
        <v>3</v>
      </c>
    </row>
    <row r="10050" spans="1:6" x14ac:dyDescent="0.25">
      <c r="A10050" t="s">
        <v>13142</v>
      </c>
      <c r="B10050" t="s">
        <v>4564</v>
      </c>
      <c r="C10050" t="s">
        <v>4565</v>
      </c>
      <c r="D10050" t="str">
        <f>HYPERLINK("http://service.sap.com/sap/support/notes/1886425","1886425")</f>
        <v>1886425</v>
      </c>
      <c r="E10050">
        <v>1</v>
      </c>
    </row>
    <row r="10051" spans="1:6" x14ac:dyDescent="0.25">
      <c r="A10051" t="s">
        <v>13142</v>
      </c>
      <c r="B10051" t="s">
        <v>4564</v>
      </c>
      <c r="C10051" t="s">
        <v>4565</v>
      </c>
      <c r="D10051" t="str">
        <f>HYPERLINK("http://service.sap.com/sap/support/notes/1893692","1893692")</f>
        <v>1893692</v>
      </c>
      <c r="E10051">
        <v>1</v>
      </c>
    </row>
    <row r="10052" spans="1:6" x14ac:dyDescent="0.25">
      <c r="A10052" t="s">
        <v>13142</v>
      </c>
      <c r="B10052" t="s">
        <v>815</v>
      </c>
      <c r="C10052" t="s">
        <v>816</v>
      </c>
      <c r="D10052" t="str">
        <f>HYPERLINK("http://service.sap.com/sap/support/notes/1821704","1821704")</f>
        <v>1821704</v>
      </c>
      <c r="E10052">
        <v>4</v>
      </c>
      <c r="F10052" t="s">
        <v>12813</v>
      </c>
    </row>
    <row r="10053" spans="1:6" x14ac:dyDescent="0.25">
      <c r="A10053" t="s">
        <v>13142</v>
      </c>
      <c r="B10053" t="s">
        <v>815</v>
      </c>
      <c r="C10053" t="s">
        <v>816</v>
      </c>
      <c r="D10053" t="str">
        <f>HYPERLINK("http://service.sap.com/sap/support/notes/1843481","1843481")</f>
        <v>1843481</v>
      </c>
      <c r="E10053">
        <v>2</v>
      </c>
      <c r="F10053" t="s">
        <v>12812</v>
      </c>
    </row>
    <row r="10054" spans="1:6" x14ac:dyDescent="0.25">
      <c r="A10054" t="s">
        <v>13142</v>
      </c>
      <c r="B10054" t="s">
        <v>815</v>
      </c>
      <c r="C10054" t="s">
        <v>816</v>
      </c>
      <c r="D10054" t="str">
        <f>HYPERLINK("http://service.sap.com/sap/support/notes/1892186","1892186")</f>
        <v>1892186</v>
      </c>
      <c r="E10054">
        <v>2</v>
      </c>
      <c r="F10054" t="s">
        <v>12811</v>
      </c>
    </row>
    <row r="10055" spans="1:6" x14ac:dyDescent="0.25">
      <c r="A10055" t="s">
        <v>13142</v>
      </c>
      <c r="B10055" t="s">
        <v>819</v>
      </c>
      <c r="C10055" t="s">
        <v>820</v>
      </c>
      <c r="D10055" t="str">
        <f>HYPERLINK("http://service.sap.com/sap/support/notes/1824227","1824227")</f>
        <v>1824227</v>
      </c>
      <c r="E10055">
        <v>3</v>
      </c>
      <c r="F10055" t="s">
        <v>12810</v>
      </c>
    </row>
    <row r="10056" spans="1:6" x14ac:dyDescent="0.25">
      <c r="A10056" t="s">
        <v>13142</v>
      </c>
      <c r="B10056" t="s">
        <v>823</v>
      </c>
      <c r="C10056" t="s">
        <v>824</v>
      </c>
      <c r="D10056" t="str">
        <f>HYPERLINK("http://service.sap.com/sap/support/notes/1751706","1751706")</f>
        <v>1751706</v>
      </c>
      <c r="E10056">
        <v>3</v>
      </c>
      <c r="F10056" t="s">
        <v>12809</v>
      </c>
    </row>
    <row r="10057" spans="1:6" x14ac:dyDescent="0.25">
      <c r="A10057" t="s">
        <v>13142</v>
      </c>
      <c r="B10057" t="s">
        <v>823</v>
      </c>
      <c r="C10057" t="s">
        <v>824</v>
      </c>
      <c r="D10057" t="str">
        <f>HYPERLINK("http://service.sap.com/sap/support/notes/1852261","1852261")</f>
        <v>1852261</v>
      </c>
      <c r="E10057">
        <v>1</v>
      </c>
      <c r="F10057" t="s">
        <v>12808</v>
      </c>
    </row>
    <row r="10058" spans="1:6" x14ac:dyDescent="0.25">
      <c r="A10058" t="s">
        <v>13142</v>
      </c>
      <c r="B10058" t="s">
        <v>823</v>
      </c>
      <c r="C10058" t="s">
        <v>824</v>
      </c>
      <c r="D10058" t="str">
        <f>HYPERLINK("http://service.sap.com/sap/support/notes/1852262","1852262")</f>
        <v>1852262</v>
      </c>
      <c r="E10058">
        <v>1</v>
      </c>
      <c r="F10058" t="s">
        <v>12807</v>
      </c>
    </row>
    <row r="10059" spans="1:6" x14ac:dyDescent="0.25">
      <c r="A10059" t="s">
        <v>13142</v>
      </c>
      <c r="B10059" t="s">
        <v>823</v>
      </c>
      <c r="C10059" t="s">
        <v>824</v>
      </c>
      <c r="D10059" t="str">
        <f>HYPERLINK("http://service.sap.com/sap/support/notes/1854412","1854412")</f>
        <v>1854412</v>
      </c>
      <c r="E10059">
        <v>1</v>
      </c>
      <c r="F10059" t="s">
        <v>12806</v>
      </c>
    </row>
    <row r="10060" spans="1:6" x14ac:dyDescent="0.25">
      <c r="A10060" t="s">
        <v>13142</v>
      </c>
      <c r="B10060" t="s">
        <v>823</v>
      </c>
      <c r="C10060" t="s">
        <v>824</v>
      </c>
      <c r="D10060" t="str">
        <f>HYPERLINK("http://service.sap.com/sap/support/notes/1856261","1856261")</f>
        <v>1856261</v>
      </c>
      <c r="E10060">
        <v>1</v>
      </c>
      <c r="F10060" t="s">
        <v>12805</v>
      </c>
    </row>
    <row r="10061" spans="1:6" x14ac:dyDescent="0.25">
      <c r="A10061" t="s">
        <v>13142</v>
      </c>
      <c r="B10061" t="s">
        <v>823</v>
      </c>
      <c r="C10061" t="s">
        <v>824</v>
      </c>
      <c r="D10061" t="str">
        <f>HYPERLINK("http://service.sap.com/sap/support/notes/1865189","1865189")</f>
        <v>1865189</v>
      </c>
      <c r="E10061">
        <v>1</v>
      </c>
      <c r="F10061" t="s">
        <v>12804</v>
      </c>
    </row>
    <row r="10062" spans="1:6" x14ac:dyDescent="0.25">
      <c r="A10062" t="s">
        <v>13142</v>
      </c>
      <c r="B10062" t="s">
        <v>823</v>
      </c>
      <c r="C10062" t="s">
        <v>824</v>
      </c>
      <c r="D10062" t="str">
        <f>HYPERLINK("http://service.sap.com/sap/support/notes/1865812","1865812")</f>
        <v>1865812</v>
      </c>
      <c r="E10062">
        <v>1</v>
      </c>
      <c r="F10062" t="s">
        <v>12803</v>
      </c>
    </row>
    <row r="10063" spans="1:6" x14ac:dyDescent="0.25">
      <c r="A10063" t="s">
        <v>13142</v>
      </c>
      <c r="B10063" t="s">
        <v>823</v>
      </c>
      <c r="C10063" t="s">
        <v>824</v>
      </c>
      <c r="D10063" t="str">
        <f>HYPERLINK("http://service.sap.com/sap/support/notes/1868621","1868621")</f>
        <v>1868621</v>
      </c>
      <c r="E10063">
        <v>1</v>
      </c>
      <c r="F10063" t="s">
        <v>12802</v>
      </c>
    </row>
    <row r="10064" spans="1:6" x14ac:dyDescent="0.25">
      <c r="A10064" t="s">
        <v>13142</v>
      </c>
      <c r="B10064" t="s">
        <v>823</v>
      </c>
      <c r="C10064" t="s">
        <v>824</v>
      </c>
      <c r="D10064" t="str">
        <f>HYPERLINK("http://service.sap.com/sap/support/notes/1871031","1871031")</f>
        <v>1871031</v>
      </c>
      <c r="E10064">
        <v>3</v>
      </c>
      <c r="F10064" t="s">
        <v>12801</v>
      </c>
    </row>
    <row r="10065" spans="1:6" x14ac:dyDescent="0.25">
      <c r="A10065" t="s">
        <v>13142</v>
      </c>
      <c r="B10065" t="s">
        <v>823</v>
      </c>
      <c r="C10065" t="s">
        <v>824</v>
      </c>
      <c r="D10065" t="str">
        <f>HYPERLINK("http://service.sap.com/sap/support/notes/1873496","1873496")</f>
        <v>1873496</v>
      </c>
      <c r="E10065">
        <v>2</v>
      </c>
      <c r="F10065" t="s">
        <v>12800</v>
      </c>
    </row>
    <row r="10066" spans="1:6" x14ac:dyDescent="0.25">
      <c r="A10066" t="s">
        <v>13142</v>
      </c>
      <c r="B10066" t="s">
        <v>823</v>
      </c>
      <c r="C10066" t="s">
        <v>824</v>
      </c>
      <c r="D10066" t="str">
        <f>HYPERLINK("http://service.sap.com/sap/support/notes/1879814","1879814")</f>
        <v>1879814</v>
      </c>
      <c r="E10066">
        <v>1</v>
      </c>
      <c r="F10066" t="s">
        <v>12799</v>
      </c>
    </row>
    <row r="10067" spans="1:6" x14ac:dyDescent="0.25">
      <c r="A10067" t="s">
        <v>13142</v>
      </c>
      <c r="B10067" t="s">
        <v>823</v>
      </c>
      <c r="C10067" t="s">
        <v>824</v>
      </c>
      <c r="D10067" t="str">
        <f>HYPERLINK("http://service.sap.com/sap/support/notes/1880972","1880972")</f>
        <v>1880972</v>
      </c>
      <c r="E10067">
        <v>1</v>
      </c>
      <c r="F10067" t="s">
        <v>12798</v>
      </c>
    </row>
    <row r="10068" spans="1:6" x14ac:dyDescent="0.25">
      <c r="A10068" t="s">
        <v>13142</v>
      </c>
      <c r="B10068" t="s">
        <v>823</v>
      </c>
      <c r="C10068" t="s">
        <v>824</v>
      </c>
      <c r="D10068" t="str">
        <f>HYPERLINK("http://service.sap.com/sap/support/notes/1883043","1883043")</f>
        <v>1883043</v>
      </c>
      <c r="E10068">
        <v>1</v>
      </c>
      <c r="F10068" t="s">
        <v>12797</v>
      </c>
    </row>
    <row r="10069" spans="1:6" x14ac:dyDescent="0.25">
      <c r="A10069" t="s">
        <v>13142</v>
      </c>
      <c r="B10069" t="s">
        <v>823</v>
      </c>
      <c r="C10069" t="s">
        <v>824</v>
      </c>
      <c r="D10069" t="str">
        <f>HYPERLINK("http://service.sap.com/sap/support/notes/1887496","1887496")</f>
        <v>1887496</v>
      </c>
      <c r="E10069">
        <v>1</v>
      </c>
      <c r="F10069" t="s">
        <v>12796</v>
      </c>
    </row>
    <row r="10070" spans="1:6" x14ac:dyDescent="0.25">
      <c r="A10070" t="s">
        <v>13142</v>
      </c>
      <c r="B10070" t="s">
        <v>823</v>
      </c>
      <c r="C10070" t="s">
        <v>824</v>
      </c>
      <c r="D10070" t="str">
        <f>HYPERLINK("http://service.sap.com/sap/support/notes/1888391","1888391")</f>
        <v>1888391</v>
      </c>
      <c r="E10070">
        <v>1</v>
      </c>
      <c r="F10070" t="s">
        <v>12795</v>
      </c>
    </row>
    <row r="10071" spans="1:6" x14ac:dyDescent="0.25">
      <c r="A10071" t="s">
        <v>13142</v>
      </c>
      <c r="B10071" t="s">
        <v>823</v>
      </c>
      <c r="C10071" t="s">
        <v>824</v>
      </c>
      <c r="D10071" t="str">
        <f>HYPERLINK("http://service.sap.com/sap/support/notes/1891142","1891142")</f>
        <v>1891142</v>
      </c>
      <c r="E10071">
        <v>1</v>
      </c>
      <c r="F10071" t="s">
        <v>12794</v>
      </c>
    </row>
    <row r="10072" spans="1:6" x14ac:dyDescent="0.25">
      <c r="A10072" t="s">
        <v>13142</v>
      </c>
      <c r="B10072" t="s">
        <v>4585</v>
      </c>
      <c r="C10072" t="s">
        <v>4500</v>
      </c>
    </row>
    <row r="10073" spans="1:6" x14ac:dyDescent="0.25">
      <c r="A10073" t="s">
        <v>13142</v>
      </c>
      <c r="B10073" t="s">
        <v>12792</v>
      </c>
      <c r="C10073" t="s">
        <v>12791</v>
      </c>
      <c r="D10073" t="str">
        <f>HYPERLINK("http://service.sap.com/sap/support/notes/1884038","1884038")</f>
        <v>1884038</v>
      </c>
      <c r="E10073">
        <v>4</v>
      </c>
      <c r="F10073" t="s">
        <v>12793</v>
      </c>
    </row>
    <row r="10074" spans="1:6" x14ac:dyDescent="0.25">
      <c r="A10074" t="s">
        <v>13142</v>
      </c>
      <c r="B10074" t="s">
        <v>12792</v>
      </c>
      <c r="C10074" t="s">
        <v>12791</v>
      </c>
      <c r="D10074" t="str">
        <f>HYPERLINK("http://service.sap.com/sap/support/notes/1887819","1887819")</f>
        <v>1887819</v>
      </c>
      <c r="E10074">
        <v>5</v>
      </c>
      <c r="F10074" t="s">
        <v>12790</v>
      </c>
    </row>
    <row r="10075" spans="1:6" x14ac:dyDescent="0.25">
      <c r="A10075" t="s">
        <v>13142</v>
      </c>
      <c r="B10075" t="s">
        <v>830</v>
      </c>
      <c r="C10075" t="s">
        <v>831</v>
      </c>
      <c r="D10075" t="str">
        <f>HYPERLINK("http://service.sap.com/sap/support/notes/1793897","1793897")</f>
        <v>1793897</v>
      </c>
      <c r="E10075">
        <v>1</v>
      </c>
      <c r="F10075" t="s">
        <v>12789</v>
      </c>
    </row>
    <row r="10076" spans="1:6" x14ac:dyDescent="0.25">
      <c r="A10076" t="s">
        <v>13142</v>
      </c>
      <c r="B10076" t="s">
        <v>830</v>
      </c>
      <c r="C10076" t="s">
        <v>831</v>
      </c>
      <c r="D10076" t="str">
        <f>HYPERLINK("http://service.sap.com/sap/support/notes/1900766","1900766")</f>
        <v>1900766</v>
      </c>
      <c r="E10076">
        <v>1</v>
      </c>
      <c r="F10076" t="s">
        <v>12788</v>
      </c>
    </row>
    <row r="10077" spans="1:6" x14ac:dyDescent="0.25">
      <c r="A10077" t="s">
        <v>13142</v>
      </c>
      <c r="B10077" t="s">
        <v>834</v>
      </c>
      <c r="C10077" t="s">
        <v>151</v>
      </c>
    </row>
    <row r="10078" spans="1:6" x14ac:dyDescent="0.25">
      <c r="A10078" t="s">
        <v>13142</v>
      </c>
      <c r="B10078" t="s">
        <v>838</v>
      </c>
      <c r="C10078" t="s">
        <v>839</v>
      </c>
      <c r="D10078" t="str">
        <f>HYPERLINK("http://service.sap.com/sap/support/notes/1857791","1857791")</f>
        <v>1857791</v>
      </c>
      <c r="E10078">
        <v>3</v>
      </c>
      <c r="F10078" t="s">
        <v>12787</v>
      </c>
    </row>
    <row r="10079" spans="1:6" x14ac:dyDescent="0.25">
      <c r="A10079" t="s">
        <v>13142</v>
      </c>
      <c r="B10079" t="s">
        <v>838</v>
      </c>
      <c r="C10079" t="s">
        <v>839</v>
      </c>
      <c r="D10079" t="str">
        <f>HYPERLINK("http://service.sap.com/sap/support/notes/1863208","1863208")</f>
        <v>1863208</v>
      </c>
      <c r="E10079">
        <v>1</v>
      </c>
      <c r="F10079" t="s">
        <v>12786</v>
      </c>
    </row>
    <row r="10080" spans="1:6" x14ac:dyDescent="0.25">
      <c r="A10080" t="s">
        <v>13142</v>
      </c>
      <c r="B10080" t="s">
        <v>838</v>
      </c>
      <c r="C10080" t="s">
        <v>839</v>
      </c>
      <c r="D10080" t="str">
        <f>HYPERLINK("http://service.sap.com/sap/support/notes/1869217","1869217")</f>
        <v>1869217</v>
      </c>
      <c r="E10080">
        <v>2</v>
      </c>
      <c r="F10080" t="s">
        <v>12785</v>
      </c>
    </row>
    <row r="10081" spans="1:6" x14ac:dyDescent="0.25">
      <c r="A10081" t="s">
        <v>13142</v>
      </c>
      <c r="B10081" t="s">
        <v>838</v>
      </c>
      <c r="C10081" t="s">
        <v>839</v>
      </c>
      <c r="D10081" t="str">
        <f>HYPERLINK("http://service.sap.com/sap/support/notes/1869892","1869892")</f>
        <v>1869892</v>
      </c>
      <c r="E10081">
        <v>1</v>
      </c>
      <c r="F10081" t="s">
        <v>12784</v>
      </c>
    </row>
    <row r="10082" spans="1:6" x14ac:dyDescent="0.25">
      <c r="A10082" t="s">
        <v>13142</v>
      </c>
      <c r="B10082" t="s">
        <v>838</v>
      </c>
      <c r="C10082" t="s">
        <v>839</v>
      </c>
      <c r="D10082" t="str">
        <f>HYPERLINK("http://service.sap.com/sap/support/notes/1872437","1872437")</f>
        <v>1872437</v>
      </c>
      <c r="E10082">
        <v>3</v>
      </c>
      <c r="F10082" t="s">
        <v>12783</v>
      </c>
    </row>
    <row r="10083" spans="1:6" x14ac:dyDescent="0.25">
      <c r="A10083" t="s">
        <v>13142</v>
      </c>
      <c r="B10083" t="s">
        <v>838</v>
      </c>
      <c r="C10083" t="s">
        <v>839</v>
      </c>
      <c r="D10083" t="str">
        <f>HYPERLINK("http://service.sap.com/sap/support/notes/1873056","1873056")</f>
        <v>1873056</v>
      </c>
      <c r="E10083">
        <v>1</v>
      </c>
      <c r="F10083" t="s">
        <v>12782</v>
      </c>
    </row>
    <row r="10084" spans="1:6" x14ac:dyDescent="0.25">
      <c r="A10084" t="s">
        <v>13142</v>
      </c>
      <c r="B10084" t="s">
        <v>838</v>
      </c>
      <c r="C10084" t="s">
        <v>839</v>
      </c>
      <c r="D10084" t="str">
        <f>HYPERLINK("http://service.sap.com/sap/support/notes/1881151","1881151")</f>
        <v>1881151</v>
      </c>
      <c r="E10084">
        <v>2</v>
      </c>
      <c r="F10084" t="s">
        <v>12781</v>
      </c>
    </row>
    <row r="10085" spans="1:6" x14ac:dyDescent="0.25">
      <c r="A10085" t="s">
        <v>13142</v>
      </c>
      <c r="B10085" t="s">
        <v>838</v>
      </c>
      <c r="C10085" t="s">
        <v>839</v>
      </c>
      <c r="D10085" t="str">
        <f>HYPERLINK("http://service.sap.com/sap/support/notes/1882751","1882751")</f>
        <v>1882751</v>
      </c>
      <c r="E10085">
        <v>1</v>
      </c>
      <c r="F10085" t="s">
        <v>12780</v>
      </c>
    </row>
    <row r="10086" spans="1:6" x14ac:dyDescent="0.25">
      <c r="A10086" t="s">
        <v>13142</v>
      </c>
      <c r="B10086" t="s">
        <v>838</v>
      </c>
      <c r="C10086" t="s">
        <v>839</v>
      </c>
      <c r="D10086" t="str">
        <f>HYPERLINK("http://service.sap.com/sap/support/notes/1884128","1884128")</f>
        <v>1884128</v>
      </c>
      <c r="E10086">
        <v>3</v>
      </c>
      <c r="F10086" t="s">
        <v>12779</v>
      </c>
    </row>
    <row r="10087" spans="1:6" x14ac:dyDescent="0.25">
      <c r="A10087" t="s">
        <v>13142</v>
      </c>
      <c r="B10087" t="s">
        <v>838</v>
      </c>
      <c r="C10087" t="s">
        <v>839</v>
      </c>
      <c r="D10087" t="str">
        <f>HYPERLINK("http://service.sap.com/sap/support/notes/1884482","1884482")</f>
        <v>1884482</v>
      </c>
      <c r="E10087">
        <v>1</v>
      </c>
      <c r="F10087" t="s">
        <v>12778</v>
      </c>
    </row>
    <row r="10088" spans="1:6" x14ac:dyDescent="0.25">
      <c r="A10088" t="s">
        <v>13142</v>
      </c>
      <c r="B10088" t="s">
        <v>838</v>
      </c>
      <c r="C10088" t="s">
        <v>839</v>
      </c>
      <c r="D10088" t="str">
        <f>HYPERLINK("http://service.sap.com/sap/support/notes/1885182","1885182")</f>
        <v>1885182</v>
      </c>
      <c r="E10088">
        <v>4</v>
      </c>
      <c r="F10088" t="s">
        <v>12777</v>
      </c>
    </row>
    <row r="10089" spans="1:6" x14ac:dyDescent="0.25">
      <c r="A10089" t="s">
        <v>13142</v>
      </c>
      <c r="B10089" t="s">
        <v>838</v>
      </c>
      <c r="C10089" t="s">
        <v>839</v>
      </c>
      <c r="D10089" t="str">
        <f>HYPERLINK("http://service.sap.com/sap/support/notes/1889980","1889980")</f>
        <v>1889980</v>
      </c>
      <c r="E10089">
        <v>1</v>
      </c>
      <c r="F10089" t="s">
        <v>12776</v>
      </c>
    </row>
    <row r="10090" spans="1:6" x14ac:dyDescent="0.25">
      <c r="A10090" t="s">
        <v>13142</v>
      </c>
      <c r="B10090" t="s">
        <v>838</v>
      </c>
      <c r="C10090" t="s">
        <v>839</v>
      </c>
      <c r="D10090" t="str">
        <f>HYPERLINK("http://service.sap.com/sap/support/notes/1898256","1898256")</f>
        <v>1898256</v>
      </c>
      <c r="E10090">
        <v>1</v>
      </c>
      <c r="F10090" t="s">
        <v>12775</v>
      </c>
    </row>
    <row r="10091" spans="1:6" x14ac:dyDescent="0.25">
      <c r="A10091" t="s">
        <v>13142</v>
      </c>
      <c r="B10091" t="s">
        <v>847</v>
      </c>
      <c r="C10091" t="s">
        <v>848</v>
      </c>
      <c r="D10091" t="str">
        <f>HYPERLINK("http://service.sap.com/sap/support/notes/1798749","1798749")</f>
        <v>1798749</v>
      </c>
      <c r="E10091">
        <v>1</v>
      </c>
      <c r="F10091" t="s">
        <v>12774</v>
      </c>
    </row>
    <row r="10092" spans="1:6" x14ac:dyDescent="0.25">
      <c r="A10092" t="s">
        <v>13142</v>
      </c>
      <c r="B10092" t="s">
        <v>847</v>
      </c>
      <c r="C10092" t="s">
        <v>848</v>
      </c>
      <c r="D10092" t="str">
        <f>HYPERLINK("http://service.sap.com/sap/support/notes/1833152","1833152")</f>
        <v>1833152</v>
      </c>
      <c r="E10092">
        <v>2</v>
      </c>
      <c r="F10092" t="s">
        <v>12773</v>
      </c>
    </row>
    <row r="10093" spans="1:6" x14ac:dyDescent="0.25">
      <c r="A10093" t="s">
        <v>13142</v>
      </c>
      <c r="B10093" t="s">
        <v>847</v>
      </c>
      <c r="C10093" t="s">
        <v>848</v>
      </c>
      <c r="D10093" t="str">
        <f>HYPERLINK("http://service.sap.com/sap/support/notes/1833331","1833331")</f>
        <v>1833331</v>
      </c>
      <c r="E10093">
        <v>2</v>
      </c>
      <c r="F10093" t="s">
        <v>12772</v>
      </c>
    </row>
    <row r="10094" spans="1:6" x14ac:dyDescent="0.25">
      <c r="A10094" t="s">
        <v>13142</v>
      </c>
      <c r="B10094" t="s">
        <v>847</v>
      </c>
      <c r="C10094" t="s">
        <v>848</v>
      </c>
      <c r="D10094" t="str">
        <f>HYPERLINK("http://service.sap.com/sap/support/notes/1838497","1838497")</f>
        <v>1838497</v>
      </c>
      <c r="E10094">
        <v>4</v>
      </c>
      <c r="F10094" t="s">
        <v>12771</v>
      </c>
    </row>
    <row r="10095" spans="1:6" x14ac:dyDescent="0.25">
      <c r="A10095" t="s">
        <v>13142</v>
      </c>
      <c r="B10095" t="s">
        <v>847</v>
      </c>
      <c r="C10095" t="s">
        <v>848</v>
      </c>
      <c r="D10095" t="str">
        <f>HYPERLINK("http://service.sap.com/sap/support/notes/1839049","1839049")</f>
        <v>1839049</v>
      </c>
      <c r="E10095">
        <v>2</v>
      </c>
      <c r="F10095" t="s">
        <v>12770</v>
      </c>
    </row>
    <row r="10096" spans="1:6" x14ac:dyDescent="0.25">
      <c r="A10096" t="s">
        <v>13142</v>
      </c>
      <c r="B10096" t="s">
        <v>847</v>
      </c>
      <c r="C10096" t="s">
        <v>848</v>
      </c>
      <c r="D10096" t="str">
        <f>HYPERLINK("http://service.sap.com/sap/support/notes/1849944","1849944")</f>
        <v>1849944</v>
      </c>
      <c r="E10096">
        <v>6</v>
      </c>
      <c r="F10096" t="s">
        <v>12769</v>
      </c>
    </row>
    <row r="10097" spans="1:6" x14ac:dyDescent="0.25">
      <c r="A10097" t="s">
        <v>13142</v>
      </c>
      <c r="B10097" t="s">
        <v>847</v>
      </c>
      <c r="C10097" t="s">
        <v>848</v>
      </c>
      <c r="D10097" t="str">
        <f>HYPERLINK("http://service.sap.com/sap/support/notes/1852246","1852246")</f>
        <v>1852246</v>
      </c>
      <c r="E10097">
        <v>3</v>
      </c>
      <c r="F10097" t="s">
        <v>12768</v>
      </c>
    </row>
    <row r="10098" spans="1:6" x14ac:dyDescent="0.25">
      <c r="A10098" t="s">
        <v>13142</v>
      </c>
      <c r="B10098" t="s">
        <v>847</v>
      </c>
      <c r="C10098" t="s">
        <v>848</v>
      </c>
      <c r="D10098" t="str">
        <f>HYPERLINK("http://service.sap.com/sap/support/notes/1857756","1857756")</f>
        <v>1857756</v>
      </c>
      <c r="E10098">
        <v>1</v>
      </c>
      <c r="F10098" t="s">
        <v>12767</v>
      </c>
    </row>
    <row r="10099" spans="1:6" x14ac:dyDescent="0.25">
      <c r="A10099" t="s">
        <v>13142</v>
      </c>
      <c r="B10099" t="s">
        <v>847</v>
      </c>
      <c r="C10099" t="s">
        <v>848</v>
      </c>
      <c r="D10099" t="str">
        <f>HYPERLINK("http://service.sap.com/sap/support/notes/1859468","1859468")</f>
        <v>1859468</v>
      </c>
      <c r="E10099">
        <v>2</v>
      </c>
      <c r="F10099" t="s">
        <v>12766</v>
      </c>
    </row>
    <row r="10100" spans="1:6" x14ac:dyDescent="0.25">
      <c r="A10100" t="s">
        <v>13142</v>
      </c>
      <c r="B10100" t="s">
        <v>847</v>
      </c>
      <c r="C10100" t="s">
        <v>848</v>
      </c>
      <c r="D10100" t="str">
        <f>HYPERLINK("http://service.sap.com/sap/support/notes/1861408","1861408")</f>
        <v>1861408</v>
      </c>
      <c r="E10100">
        <v>1</v>
      </c>
      <c r="F10100" t="s">
        <v>12765</v>
      </c>
    </row>
    <row r="10101" spans="1:6" x14ac:dyDescent="0.25">
      <c r="A10101" t="s">
        <v>13142</v>
      </c>
      <c r="B10101" t="s">
        <v>847</v>
      </c>
      <c r="C10101" t="s">
        <v>848</v>
      </c>
      <c r="D10101" t="str">
        <f>HYPERLINK("http://service.sap.com/sap/support/notes/1865097","1865097")</f>
        <v>1865097</v>
      </c>
      <c r="E10101">
        <v>2</v>
      </c>
      <c r="F10101" t="s">
        <v>12764</v>
      </c>
    </row>
    <row r="10102" spans="1:6" x14ac:dyDescent="0.25">
      <c r="A10102" t="s">
        <v>13142</v>
      </c>
      <c r="B10102" t="s">
        <v>847</v>
      </c>
      <c r="C10102" t="s">
        <v>848</v>
      </c>
      <c r="D10102" t="str">
        <f>HYPERLINK("http://service.sap.com/sap/support/notes/1865193","1865193")</f>
        <v>1865193</v>
      </c>
      <c r="E10102">
        <v>1</v>
      </c>
      <c r="F10102" t="s">
        <v>12763</v>
      </c>
    </row>
    <row r="10103" spans="1:6" x14ac:dyDescent="0.25">
      <c r="A10103" t="s">
        <v>13142</v>
      </c>
      <c r="B10103" t="s">
        <v>847</v>
      </c>
      <c r="C10103" t="s">
        <v>848</v>
      </c>
      <c r="D10103" t="str">
        <f>HYPERLINK("http://service.sap.com/sap/support/notes/1866324","1866324")</f>
        <v>1866324</v>
      </c>
      <c r="E10103">
        <v>2</v>
      </c>
      <c r="F10103" t="s">
        <v>12762</v>
      </c>
    </row>
    <row r="10104" spans="1:6" x14ac:dyDescent="0.25">
      <c r="A10104" t="s">
        <v>13142</v>
      </c>
      <c r="B10104" t="s">
        <v>847</v>
      </c>
      <c r="C10104" t="s">
        <v>848</v>
      </c>
      <c r="D10104" t="str">
        <f>HYPERLINK("http://service.sap.com/sap/support/notes/1869008","1869008")</f>
        <v>1869008</v>
      </c>
      <c r="E10104">
        <v>1</v>
      </c>
      <c r="F10104" t="s">
        <v>12761</v>
      </c>
    </row>
    <row r="10105" spans="1:6" x14ac:dyDescent="0.25">
      <c r="A10105" t="s">
        <v>13142</v>
      </c>
      <c r="B10105" t="s">
        <v>847</v>
      </c>
      <c r="C10105" t="s">
        <v>848</v>
      </c>
      <c r="D10105" t="str">
        <f>HYPERLINK("http://service.sap.com/sap/support/notes/1869252","1869252")</f>
        <v>1869252</v>
      </c>
      <c r="E10105">
        <v>1</v>
      </c>
      <c r="F10105" t="s">
        <v>12760</v>
      </c>
    </row>
    <row r="10106" spans="1:6" x14ac:dyDescent="0.25">
      <c r="A10106" t="s">
        <v>13142</v>
      </c>
      <c r="B10106" t="s">
        <v>847</v>
      </c>
      <c r="C10106" t="s">
        <v>848</v>
      </c>
      <c r="D10106" t="str">
        <f>HYPERLINK("http://service.sap.com/sap/support/notes/1870353","1870353")</f>
        <v>1870353</v>
      </c>
      <c r="E10106">
        <v>2</v>
      </c>
      <c r="F10106" t="s">
        <v>12759</v>
      </c>
    </row>
    <row r="10107" spans="1:6" x14ac:dyDescent="0.25">
      <c r="A10107" t="s">
        <v>13142</v>
      </c>
      <c r="B10107" t="s">
        <v>847</v>
      </c>
      <c r="C10107" t="s">
        <v>848</v>
      </c>
      <c r="D10107" t="str">
        <f>HYPERLINK("http://service.sap.com/sap/support/notes/1870416","1870416")</f>
        <v>1870416</v>
      </c>
      <c r="E10107">
        <v>2</v>
      </c>
      <c r="F10107" t="s">
        <v>12758</v>
      </c>
    </row>
    <row r="10108" spans="1:6" x14ac:dyDescent="0.25">
      <c r="A10108" t="s">
        <v>13142</v>
      </c>
      <c r="B10108" t="s">
        <v>847</v>
      </c>
      <c r="C10108" t="s">
        <v>848</v>
      </c>
      <c r="D10108" t="str">
        <f>HYPERLINK("http://service.sap.com/sap/support/notes/1870785","1870785")</f>
        <v>1870785</v>
      </c>
      <c r="E10108">
        <v>1</v>
      </c>
      <c r="F10108" t="s">
        <v>12757</v>
      </c>
    </row>
    <row r="10109" spans="1:6" x14ac:dyDescent="0.25">
      <c r="A10109" t="s">
        <v>13142</v>
      </c>
      <c r="B10109" t="s">
        <v>847</v>
      </c>
      <c r="C10109" t="s">
        <v>848</v>
      </c>
      <c r="D10109" t="str">
        <f>HYPERLINK("http://service.sap.com/sap/support/notes/1873797","1873797")</f>
        <v>1873797</v>
      </c>
      <c r="E10109">
        <v>1</v>
      </c>
      <c r="F10109" t="s">
        <v>12756</v>
      </c>
    </row>
    <row r="10110" spans="1:6" x14ac:dyDescent="0.25">
      <c r="A10110" t="s">
        <v>13142</v>
      </c>
      <c r="B10110" t="s">
        <v>847</v>
      </c>
      <c r="C10110" t="s">
        <v>848</v>
      </c>
      <c r="D10110" t="str">
        <f>HYPERLINK("http://service.sap.com/sap/support/notes/1874710","1874710")</f>
        <v>1874710</v>
      </c>
      <c r="E10110">
        <v>1</v>
      </c>
      <c r="F10110" t="s">
        <v>12755</v>
      </c>
    </row>
    <row r="10111" spans="1:6" x14ac:dyDescent="0.25">
      <c r="A10111" t="s">
        <v>13142</v>
      </c>
      <c r="B10111" t="s">
        <v>847</v>
      </c>
      <c r="C10111" t="s">
        <v>848</v>
      </c>
      <c r="D10111" t="str">
        <f>HYPERLINK("http://service.sap.com/sap/support/notes/1874892","1874892")</f>
        <v>1874892</v>
      </c>
      <c r="E10111">
        <v>8</v>
      </c>
      <c r="F10111" t="s">
        <v>12754</v>
      </c>
    </row>
    <row r="10112" spans="1:6" x14ac:dyDescent="0.25">
      <c r="A10112" t="s">
        <v>13142</v>
      </c>
      <c r="B10112" t="s">
        <v>847</v>
      </c>
      <c r="C10112" t="s">
        <v>848</v>
      </c>
      <c r="D10112" t="str">
        <f>HYPERLINK("http://service.sap.com/sap/support/notes/1877013","1877013")</f>
        <v>1877013</v>
      </c>
      <c r="E10112">
        <v>1</v>
      </c>
      <c r="F10112" t="s">
        <v>12753</v>
      </c>
    </row>
    <row r="10113" spans="1:6" x14ac:dyDescent="0.25">
      <c r="A10113" t="s">
        <v>13142</v>
      </c>
      <c r="B10113" t="s">
        <v>847</v>
      </c>
      <c r="C10113" t="s">
        <v>848</v>
      </c>
      <c r="D10113" t="str">
        <f>HYPERLINK("http://service.sap.com/sap/support/notes/1879831","1879831")</f>
        <v>1879831</v>
      </c>
      <c r="E10113">
        <v>1</v>
      </c>
      <c r="F10113" t="s">
        <v>12752</v>
      </c>
    </row>
    <row r="10114" spans="1:6" x14ac:dyDescent="0.25">
      <c r="A10114" t="s">
        <v>13142</v>
      </c>
      <c r="B10114" t="s">
        <v>847</v>
      </c>
      <c r="C10114" t="s">
        <v>848</v>
      </c>
      <c r="D10114" t="str">
        <f>HYPERLINK("http://service.sap.com/sap/support/notes/1880460","1880460")</f>
        <v>1880460</v>
      </c>
      <c r="E10114">
        <v>1</v>
      </c>
      <c r="F10114" t="s">
        <v>12751</v>
      </c>
    </row>
    <row r="10115" spans="1:6" x14ac:dyDescent="0.25">
      <c r="A10115" t="s">
        <v>13142</v>
      </c>
      <c r="B10115" t="s">
        <v>847</v>
      </c>
      <c r="C10115" t="s">
        <v>848</v>
      </c>
      <c r="D10115" t="str">
        <f>HYPERLINK("http://service.sap.com/sap/support/notes/1881170","1881170")</f>
        <v>1881170</v>
      </c>
      <c r="E10115">
        <v>1</v>
      </c>
      <c r="F10115" t="s">
        <v>12750</v>
      </c>
    </row>
    <row r="10116" spans="1:6" x14ac:dyDescent="0.25">
      <c r="A10116" t="s">
        <v>13142</v>
      </c>
      <c r="B10116" t="s">
        <v>847</v>
      </c>
      <c r="C10116" t="s">
        <v>848</v>
      </c>
      <c r="D10116" t="str">
        <f>HYPERLINK("http://service.sap.com/sap/support/notes/1882223","1882223")</f>
        <v>1882223</v>
      </c>
      <c r="E10116">
        <v>1</v>
      </c>
      <c r="F10116" t="s">
        <v>12749</v>
      </c>
    </row>
    <row r="10117" spans="1:6" x14ac:dyDescent="0.25">
      <c r="A10117" t="s">
        <v>13142</v>
      </c>
      <c r="B10117" t="s">
        <v>847</v>
      </c>
      <c r="C10117" t="s">
        <v>848</v>
      </c>
      <c r="D10117" t="str">
        <f>HYPERLINK("http://service.sap.com/sap/support/notes/1884654","1884654")</f>
        <v>1884654</v>
      </c>
      <c r="E10117">
        <v>3</v>
      </c>
      <c r="F10117" t="s">
        <v>12748</v>
      </c>
    </row>
    <row r="10118" spans="1:6" x14ac:dyDescent="0.25">
      <c r="A10118" t="s">
        <v>13142</v>
      </c>
      <c r="B10118" t="s">
        <v>847</v>
      </c>
      <c r="C10118" t="s">
        <v>848</v>
      </c>
      <c r="D10118" t="str">
        <f>HYPERLINK("http://service.sap.com/sap/support/notes/1885782","1885782")</f>
        <v>1885782</v>
      </c>
      <c r="E10118">
        <v>2</v>
      </c>
      <c r="F10118" t="s">
        <v>12747</v>
      </c>
    </row>
    <row r="10119" spans="1:6" x14ac:dyDescent="0.25">
      <c r="A10119" t="s">
        <v>13142</v>
      </c>
      <c r="B10119" t="s">
        <v>847</v>
      </c>
      <c r="C10119" t="s">
        <v>848</v>
      </c>
      <c r="D10119" t="str">
        <f>HYPERLINK("http://service.sap.com/sap/support/notes/1886663","1886663")</f>
        <v>1886663</v>
      </c>
      <c r="E10119">
        <v>1</v>
      </c>
      <c r="F10119" t="s">
        <v>12746</v>
      </c>
    </row>
    <row r="10120" spans="1:6" x14ac:dyDescent="0.25">
      <c r="A10120" t="s">
        <v>13142</v>
      </c>
      <c r="B10120" t="s">
        <v>847</v>
      </c>
      <c r="C10120" t="s">
        <v>848</v>
      </c>
      <c r="D10120" t="str">
        <f>HYPERLINK("http://service.sap.com/sap/support/notes/1887101","1887101")</f>
        <v>1887101</v>
      </c>
      <c r="E10120">
        <v>1</v>
      </c>
      <c r="F10120" t="s">
        <v>12745</v>
      </c>
    </row>
    <row r="10121" spans="1:6" x14ac:dyDescent="0.25">
      <c r="A10121" t="s">
        <v>13142</v>
      </c>
      <c r="B10121" t="s">
        <v>847</v>
      </c>
      <c r="C10121" t="s">
        <v>848</v>
      </c>
      <c r="D10121" t="str">
        <f>HYPERLINK("http://service.sap.com/sap/support/notes/1889021","1889021")</f>
        <v>1889021</v>
      </c>
      <c r="E10121">
        <v>2</v>
      </c>
      <c r="F10121" t="s">
        <v>12744</v>
      </c>
    </row>
    <row r="10122" spans="1:6" x14ac:dyDescent="0.25">
      <c r="A10122" t="s">
        <v>13142</v>
      </c>
      <c r="B10122" t="s">
        <v>847</v>
      </c>
      <c r="C10122" t="s">
        <v>848</v>
      </c>
      <c r="D10122" t="str">
        <f>HYPERLINK("http://service.sap.com/sap/support/notes/1890688","1890688")</f>
        <v>1890688</v>
      </c>
      <c r="E10122">
        <v>1</v>
      </c>
      <c r="F10122" t="s">
        <v>12743</v>
      </c>
    </row>
    <row r="10123" spans="1:6" x14ac:dyDescent="0.25">
      <c r="A10123" t="s">
        <v>13142</v>
      </c>
      <c r="B10123" t="s">
        <v>847</v>
      </c>
      <c r="C10123" t="s">
        <v>848</v>
      </c>
      <c r="D10123" t="str">
        <f>HYPERLINK("http://service.sap.com/sap/support/notes/1894517","1894517")</f>
        <v>1894517</v>
      </c>
      <c r="E10123">
        <v>2</v>
      </c>
      <c r="F10123" t="s">
        <v>12742</v>
      </c>
    </row>
    <row r="10124" spans="1:6" x14ac:dyDescent="0.25">
      <c r="A10124" t="s">
        <v>13142</v>
      </c>
      <c r="B10124" t="s">
        <v>847</v>
      </c>
      <c r="C10124" t="s">
        <v>848</v>
      </c>
      <c r="D10124" t="str">
        <f>HYPERLINK("http://service.sap.com/sap/support/notes/1894549","1894549")</f>
        <v>1894549</v>
      </c>
      <c r="E10124">
        <v>1</v>
      </c>
      <c r="F10124" t="s">
        <v>12741</v>
      </c>
    </row>
    <row r="10125" spans="1:6" x14ac:dyDescent="0.25">
      <c r="A10125" t="s">
        <v>13142</v>
      </c>
      <c r="B10125" t="s">
        <v>847</v>
      </c>
      <c r="C10125" t="s">
        <v>848</v>
      </c>
      <c r="D10125" t="str">
        <f>HYPERLINK("http://service.sap.com/sap/support/notes/1895705","1895705")</f>
        <v>1895705</v>
      </c>
      <c r="E10125">
        <v>4</v>
      </c>
    </row>
    <row r="10126" spans="1:6" x14ac:dyDescent="0.25">
      <c r="A10126" t="s">
        <v>13142</v>
      </c>
      <c r="B10126" t="s">
        <v>847</v>
      </c>
      <c r="C10126" t="s">
        <v>848</v>
      </c>
      <c r="D10126" t="str">
        <f>HYPERLINK("http://service.sap.com/sap/support/notes/1900332","1900332")</f>
        <v>1900332</v>
      </c>
      <c r="E10126">
        <v>1</v>
      </c>
      <c r="F10126" t="s">
        <v>12740</v>
      </c>
    </row>
    <row r="10127" spans="1:6" x14ac:dyDescent="0.25">
      <c r="A10127" t="s">
        <v>13142</v>
      </c>
      <c r="B10127" t="s">
        <v>847</v>
      </c>
      <c r="C10127" t="s">
        <v>848</v>
      </c>
      <c r="D10127" t="str">
        <f>HYPERLINK("http://service.sap.com/sap/support/notes/1900844","1900844")</f>
        <v>1900844</v>
      </c>
      <c r="E10127">
        <v>2</v>
      </c>
      <c r="F10127" t="s">
        <v>12739</v>
      </c>
    </row>
    <row r="10128" spans="1:6" x14ac:dyDescent="0.25">
      <c r="A10128" t="s">
        <v>13142</v>
      </c>
      <c r="B10128" t="s">
        <v>868</v>
      </c>
      <c r="C10128" t="s">
        <v>869</v>
      </c>
      <c r="D10128" t="str">
        <f>HYPERLINK("http://service.sap.com/sap/support/notes/1794880","1794880")</f>
        <v>1794880</v>
      </c>
      <c r="E10128">
        <v>39</v>
      </c>
      <c r="F10128" t="s">
        <v>12738</v>
      </c>
    </row>
    <row r="10129" spans="1:6" x14ac:dyDescent="0.25">
      <c r="A10129" t="s">
        <v>13142</v>
      </c>
      <c r="B10129" t="s">
        <v>868</v>
      </c>
      <c r="C10129" t="s">
        <v>869</v>
      </c>
      <c r="D10129" t="str">
        <f>HYPERLINK("http://service.sap.com/sap/support/notes/1833578","1833578")</f>
        <v>1833578</v>
      </c>
      <c r="E10129">
        <v>5</v>
      </c>
      <c r="F10129" t="s">
        <v>12737</v>
      </c>
    </row>
    <row r="10130" spans="1:6" x14ac:dyDescent="0.25">
      <c r="A10130" t="s">
        <v>13142</v>
      </c>
      <c r="B10130" t="s">
        <v>868</v>
      </c>
      <c r="C10130" t="s">
        <v>869</v>
      </c>
      <c r="D10130" t="str">
        <f>HYPERLINK("http://service.sap.com/sap/support/notes/1843326","1843326")</f>
        <v>1843326</v>
      </c>
      <c r="E10130">
        <v>2</v>
      </c>
      <c r="F10130" t="s">
        <v>12736</v>
      </c>
    </row>
    <row r="10131" spans="1:6" x14ac:dyDescent="0.25">
      <c r="A10131" t="s">
        <v>13142</v>
      </c>
      <c r="B10131" t="s">
        <v>868</v>
      </c>
      <c r="C10131" t="s">
        <v>869</v>
      </c>
      <c r="D10131" t="str">
        <f>HYPERLINK("http://service.sap.com/sap/support/notes/1864909","1864909")</f>
        <v>1864909</v>
      </c>
      <c r="E10131">
        <v>2</v>
      </c>
      <c r="F10131" t="s">
        <v>12735</v>
      </c>
    </row>
    <row r="10132" spans="1:6" x14ac:dyDescent="0.25">
      <c r="A10132" t="s">
        <v>13142</v>
      </c>
      <c r="B10132" t="s">
        <v>868</v>
      </c>
      <c r="C10132" t="s">
        <v>869</v>
      </c>
      <c r="D10132" t="str">
        <f>HYPERLINK("http://service.sap.com/sap/support/notes/1869163","1869163")</f>
        <v>1869163</v>
      </c>
      <c r="E10132">
        <v>1</v>
      </c>
      <c r="F10132" t="s">
        <v>12734</v>
      </c>
    </row>
    <row r="10133" spans="1:6" x14ac:dyDescent="0.25">
      <c r="A10133" t="s">
        <v>13142</v>
      </c>
      <c r="B10133" t="s">
        <v>868</v>
      </c>
      <c r="C10133" t="s">
        <v>869</v>
      </c>
      <c r="D10133" t="str">
        <f>HYPERLINK("http://service.sap.com/sap/support/notes/1870060","1870060")</f>
        <v>1870060</v>
      </c>
      <c r="E10133">
        <v>1</v>
      </c>
      <c r="F10133" t="s">
        <v>12733</v>
      </c>
    </row>
    <row r="10134" spans="1:6" x14ac:dyDescent="0.25">
      <c r="A10134" t="s">
        <v>13142</v>
      </c>
      <c r="B10134" t="s">
        <v>868</v>
      </c>
      <c r="C10134" t="s">
        <v>869</v>
      </c>
      <c r="D10134" t="str">
        <f>HYPERLINK("http://service.sap.com/sap/support/notes/1870902","1870902")</f>
        <v>1870902</v>
      </c>
      <c r="E10134">
        <v>1</v>
      </c>
      <c r="F10134" t="s">
        <v>12732</v>
      </c>
    </row>
    <row r="10135" spans="1:6" x14ac:dyDescent="0.25">
      <c r="A10135" t="s">
        <v>13142</v>
      </c>
      <c r="B10135" t="s">
        <v>868</v>
      </c>
      <c r="C10135" t="s">
        <v>869</v>
      </c>
      <c r="D10135" t="str">
        <f>HYPERLINK("http://service.sap.com/sap/support/notes/1872341","1872341")</f>
        <v>1872341</v>
      </c>
      <c r="E10135">
        <v>3</v>
      </c>
      <c r="F10135" t="s">
        <v>12731</v>
      </c>
    </row>
    <row r="10136" spans="1:6" x14ac:dyDescent="0.25">
      <c r="A10136" t="s">
        <v>13142</v>
      </c>
      <c r="B10136" t="s">
        <v>868</v>
      </c>
      <c r="C10136" t="s">
        <v>869</v>
      </c>
      <c r="D10136" t="str">
        <f>HYPERLINK("http://service.sap.com/sap/support/notes/1874144","1874144")</f>
        <v>1874144</v>
      </c>
      <c r="E10136">
        <v>2</v>
      </c>
      <c r="F10136" t="s">
        <v>12730</v>
      </c>
    </row>
    <row r="10137" spans="1:6" x14ac:dyDescent="0.25">
      <c r="A10137" t="s">
        <v>13142</v>
      </c>
      <c r="B10137" t="s">
        <v>868</v>
      </c>
      <c r="C10137" t="s">
        <v>869</v>
      </c>
      <c r="D10137" t="str">
        <f>HYPERLINK("http://service.sap.com/sap/support/notes/1877270","1877270")</f>
        <v>1877270</v>
      </c>
      <c r="E10137">
        <v>1</v>
      </c>
      <c r="F10137" t="s">
        <v>12729</v>
      </c>
    </row>
    <row r="10138" spans="1:6" x14ac:dyDescent="0.25">
      <c r="A10138" t="s">
        <v>13142</v>
      </c>
      <c r="B10138" t="s">
        <v>868</v>
      </c>
      <c r="C10138" t="s">
        <v>869</v>
      </c>
      <c r="D10138" t="str">
        <f>HYPERLINK("http://service.sap.com/sap/support/notes/1877447","1877447")</f>
        <v>1877447</v>
      </c>
      <c r="E10138">
        <v>3</v>
      </c>
      <c r="F10138" t="s">
        <v>12728</v>
      </c>
    </row>
    <row r="10139" spans="1:6" x14ac:dyDescent="0.25">
      <c r="A10139" t="s">
        <v>13142</v>
      </c>
      <c r="B10139" t="s">
        <v>868</v>
      </c>
      <c r="C10139" t="s">
        <v>869</v>
      </c>
      <c r="D10139" t="str">
        <f>HYPERLINK("http://service.sap.com/sap/support/notes/1878243","1878243")</f>
        <v>1878243</v>
      </c>
      <c r="E10139">
        <v>2</v>
      </c>
      <c r="F10139" t="s">
        <v>12727</v>
      </c>
    </row>
    <row r="10140" spans="1:6" x14ac:dyDescent="0.25">
      <c r="A10140" t="s">
        <v>13142</v>
      </c>
      <c r="B10140" t="s">
        <v>868</v>
      </c>
      <c r="C10140" t="s">
        <v>869</v>
      </c>
      <c r="D10140" t="str">
        <f>HYPERLINK("http://service.sap.com/sap/support/notes/1882980","1882980")</f>
        <v>1882980</v>
      </c>
      <c r="E10140">
        <v>2</v>
      </c>
      <c r="F10140" t="s">
        <v>12726</v>
      </c>
    </row>
    <row r="10141" spans="1:6" x14ac:dyDescent="0.25">
      <c r="A10141" t="s">
        <v>13142</v>
      </c>
      <c r="B10141" t="s">
        <v>868</v>
      </c>
      <c r="C10141" t="s">
        <v>869</v>
      </c>
      <c r="D10141" t="str">
        <f>HYPERLINK("http://service.sap.com/sap/support/notes/1884202","1884202")</f>
        <v>1884202</v>
      </c>
      <c r="E10141">
        <v>2</v>
      </c>
      <c r="F10141" t="s">
        <v>12725</v>
      </c>
    </row>
    <row r="10142" spans="1:6" x14ac:dyDescent="0.25">
      <c r="A10142" t="s">
        <v>13142</v>
      </c>
      <c r="B10142" t="s">
        <v>868</v>
      </c>
      <c r="C10142" t="s">
        <v>869</v>
      </c>
      <c r="D10142" t="str">
        <f>HYPERLINK("http://service.sap.com/sap/support/notes/1884388","1884388")</f>
        <v>1884388</v>
      </c>
      <c r="E10142">
        <v>1</v>
      </c>
      <c r="F10142" t="s">
        <v>12724</v>
      </c>
    </row>
    <row r="10143" spans="1:6" x14ac:dyDescent="0.25">
      <c r="A10143" t="s">
        <v>13142</v>
      </c>
      <c r="B10143" t="s">
        <v>868</v>
      </c>
      <c r="C10143" t="s">
        <v>869</v>
      </c>
      <c r="D10143" t="str">
        <f>HYPERLINK("http://service.sap.com/sap/support/notes/1890502","1890502")</f>
        <v>1890502</v>
      </c>
      <c r="E10143">
        <v>1</v>
      </c>
      <c r="F10143" t="s">
        <v>12723</v>
      </c>
    </row>
    <row r="10144" spans="1:6" x14ac:dyDescent="0.25">
      <c r="A10144" t="s">
        <v>13142</v>
      </c>
      <c r="B10144" t="s">
        <v>868</v>
      </c>
      <c r="C10144" t="s">
        <v>869</v>
      </c>
      <c r="D10144" t="str">
        <f>HYPERLINK("http://service.sap.com/sap/support/notes/1890537","1890537")</f>
        <v>1890537</v>
      </c>
      <c r="E10144">
        <v>1</v>
      </c>
      <c r="F10144" t="s">
        <v>12722</v>
      </c>
    </row>
    <row r="10145" spans="1:6" x14ac:dyDescent="0.25">
      <c r="A10145" t="s">
        <v>13142</v>
      </c>
      <c r="B10145" t="s">
        <v>868</v>
      </c>
      <c r="C10145" t="s">
        <v>869</v>
      </c>
      <c r="D10145" t="str">
        <f>HYPERLINK("http://service.sap.com/sap/support/notes/1893734","1893734")</f>
        <v>1893734</v>
      </c>
      <c r="E10145">
        <v>1</v>
      </c>
      <c r="F10145" t="s">
        <v>12721</v>
      </c>
    </row>
    <row r="10146" spans="1:6" x14ac:dyDescent="0.25">
      <c r="A10146" t="s">
        <v>13142</v>
      </c>
      <c r="B10146" t="s">
        <v>868</v>
      </c>
      <c r="C10146" t="s">
        <v>869</v>
      </c>
      <c r="D10146" t="str">
        <f>HYPERLINK("http://service.sap.com/sap/support/notes/1898208","1898208")</f>
        <v>1898208</v>
      </c>
      <c r="E10146">
        <v>3</v>
      </c>
      <c r="F10146" t="s">
        <v>12720</v>
      </c>
    </row>
    <row r="10147" spans="1:6" x14ac:dyDescent="0.25">
      <c r="A10147" t="s">
        <v>13142</v>
      </c>
      <c r="B10147" t="s">
        <v>868</v>
      </c>
      <c r="C10147" t="s">
        <v>869</v>
      </c>
      <c r="D10147" t="str">
        <f>HYPERLINK("http://service.sap.com/sap/support/notes/1900098","1900098")</f>
        <v>1900098</v>
      </c>
      <c r="E10147">
        <v>1</v>
      </c>
      <c r="F10147" t="s">
        <v>12719</v>
      </c>
    </row>
    <row r="10148" spans="1:6" x14ac:dyDescent="0.25">
      <c r="A10148" t="s">
        <v>13142</v>
      </c>
      <c r="B10148" t="s">
        <v>882</v>
      </c>
      <c r="C10148" t="s">
        <v>883</v>
      </c>
      <c r="D10148" t="str">
        <f>HYPERLINK("http://service.sap.com/sap/support/notes/1859151","1859151")</f>
        <v>1859151</v>
      </c>
      <c r="E10148">
        <v>1</v>
      </c>
      <c r="F10148" t="s">
        <v>12718</v>
      </c>
    </row>
    <row r="10149" spans="1:6" x14ac:dyDescent="0.25">
      <c r="A10149" t="s">
        <v>13142</v>
      </c>
      <c r="B10149" t="s">
        <v>882</v>
      </c>
      <c r="C10149" t="s">
        <v>883</v>
      </c>
      <c r="D10149" t="str">
        <f>HYPERLINK("http://service.sap.com/sap/support/notes/1896365","1896365")</f>
        <v>1896365</v>
      </c>
      <c r="E10149">
        <v>1</v>
      </c>
      <c r="F10149" t="s">
        <v>12717</v>
      </c>
    </row>
    <row r="10150" spans="1:6" x14ac:dyDescent="0.25">
      <c r="A10150" t="s">
        <v>13142</v>
      </c>
      <c r="B10150" t="s">
        <v>890</v>
      </c>
      <c r="C10150" t="s">
        <v>891</v>
      </c>
      <c r="D10150" t="str">
        <f>HYPERLINK("http://service.sap.com/sap/support/notes/1866104","1866104")</f>
        <v>1866104</v>
      </c>
      <c r="E10150">
        <v>2</v>
      </c>
      <c r="F10150" t="s">
        <v>12716</v>
      </c>
    </row>
    <row r="10151" spans="1:6" x14ac:dyDescent="0.25">
      <c r="A10151" t="s">
        <v>13142</v>
      </c>
      <c r="B10151" t="s">
        <v>890</v>
      </c>
      <c r="C10151" t="s">
        <v>891</v>
      </c>
      <c r="D10151" t="str">
        <f>HYPERLINK("http://service.sap.com/sap/support/notes/1876699","1876699")</f>
        <v>1876699</v>
      </c>
      <c r="E10151">
        <v>1</v>
      </c>
      <c r="F10151" t="s">
        <v>12715</v>
      </c>
    </row>
    <row r="10152" spans="1:6" x14ac:dyDescent="0.25">
      <c r="A10152" t="s">
        <v>13142</v>
      </c>
      <c r="B10152" t="s">
        <v>890</v>
      </c>
      <c r="C10152" t="s">
        <v>891</v>
      </c>
      <c r="D10152" t="str">
        <f>HYPERLINK("http://service.sap.com/sap/support/notes/1881200","1881200")</f>
        <v>1881200</v>
      </c>
      <c r="E10152">
        <v>1</v>
      </c>
      <c r="F10152" t="s">
        <v>12714</v>
      </c>
    </row>
    <row r="10153" spans="1:6" x14ac:dyDescent="0.25">
      <c r="A10153" t="s">
        <v>13142</v>
      </c>
      <c r="B10153" t="s">
        <v>890</v>
      </c>
      <c r="C10153" t="s">
        <v>891</v>
      </c>
      <c r="D10153" t="str">
        <f>HYPERLINK("http://service.sap.com/sap/support/notes/1892315","1892315")</f>
        <v>1892315</v>
      </c>
      <c r="E10153">
        <v>1</v>
      </c>
      <c r="F10153" t="s">
        <v>12713</v>
      </c>
    </row>
    <row r="10154" spans="1:6" x14ac:dyDescent="0.25">
      <c r="A10154" t="s">
        <v>13142</v>
      </c>
      <c r="B10154" t="s">
        <v>890</v>
      </c>
      <c r="C10154" t="s">
        <v>891</v>
      </c>
      <c r="D10154" t="str">
        <f>HYPERLINK("http://service.sap.com/sap/support/notes/1894834","1894834")</f>
        <v>1894834</v>
      </c>
      <c r="E10154">
        <v>1</v>
      </c>
      <c r="F10154" t="s">
        <v>12712</v>
      </c>
    </row>
    <row r="10155" spans="1:6" x14ac:dyDescent="0.25">
      <c r="A10155" t="s">
        <v>13142</v>
      </c>
      <c r="B10155" t="s">
        <v>890</v>
      </c>
      <c r="C10155" t="s">
        <v>891</v>
      </c>
      <c r="D10155" t="str">
        <f>HYPERLINK("http://service.sap.com/sap/support/notes/1896984","1896984")</f>
        <v>1896984</v>
      </c>
      <c r="E10155">
        <v>1</v>
      </c>
      <c r="F10155" t="s">
        <v>12711</v>
      </c>
    </row>
    <row r="10156" spans="1:6" x14ac:dyDescent="0.25">
      <c r="A10156" t="s">
        <v>13142</v>
      </c>
      <c r="B10156" t="s">
        <v>901</v>
      </c>
      <c r="C10156" t="s">
        <v>902</v>
      </c>
      <c r="D10156" t="str">
        <f>HYPERLINK("http://service.sap.com/sap/support/notes/1825118","1825118")</f>
        <v>1825118</v>
      </c>
      <c r="E10156">
        <v>4</v>
      </c>
      <c r="F10156" t="s">
        <v>12710</v>
      </c>
    </row>
    <row r="10157" spans="1:6" x14ac:dyDescent="0.25">
      <c r="A10157" t="s">
        <v>13142</v>
      </c>
      <c r="B10157" t="s">
        <v>905</v>
      </c>
      <c r="C10157" t="s">
        <v>29</v>
      </c>
      <c r="D10157" t="str">
        <f>HYPERLINK("http://service.sap.com/sap/support/notes/1822388","1822388")</f>
        <v>1822388</v>
      </c>
      <c r="E10157">
        <v>4</v>
      </c>
      <c r="F10157" t="s">
        <v>12709</v>
      </c>
    </row>
    <row r="10158" spans="1:6" x14ac:dyDescent="0.25">
      <c r="A10158" t="s">
        <v>13142</v>
      </c>
      <c r="B10158" t="s">
        <v>905</v>
      </c>
      <c r="C10158" t="s">
        <v>29</v>
      </c>
      <c r="D10158" t="str">
        <f>HYPERLINK("http://service.sap.com/sap/support/notes/1845387","1845387")</f>
        <v>1845387</v>
      </c>
      <c r="E10158">
        <v>3</v>
      </c>
      <c r="F10158" t="s">
        <v>12708</v>
      </c>
    </row>
    <row r="10159" spans="1:6" x14ac:dyDescent="0.25">
      <c r="A10159" t="s">
        <v>13142</v>
      </c>
      <c r="B10159" t="s">
        <v>905</v>
      </c>
      <c r="C10159" t="s">
        <v>29</v>
      </c>
      <c r="D10159" t="str">
        <f>HYPERLINK("http://service.sap.com/sap/support/notes/1847350","1847350")</f>
        <v>1847350</v>
      </c>
      <c r="E10159">
        <v>1</v>
      </c>
      <c r="F10159" t="s">
        <v>12707</v>
      </c>
    </row>
    <row r="10160" spans="1:6" x14ac:dyDescent="0.25">
      <c r="A10160" t="s">
        <v>13142</v>
      </c>
      <c r="B10160" t="s">
        <v>905</v>
      </c>
      <c r="C10160" t="s">
        <v>29</v>
      </c>
      <c r="D10160" t="str">
        <f>HYPERLINK("http://service.sap.com/sap/support/notes/1874328","1874328")</f>
        <v>1874328</v>
      </c>
      <c r="E10160">
        <v>2</v>
      </c>
      <c r="F10160" t="s">
        <v>12706</v>
      </c>
    </row>
    <row r="10161" spans="1:6" x14ac:dyDescent="0.25">
      <c r="A10161" t="s">
        <v>13142</v>
      </c>
      <c r="B10161" t="s">
        <v>905</v>
      </c>
      <c r="C10161" t="s">
        <v>29</v>
      </c>
      <c r="D10161" t="str">
        <f>HYPERLINK("http://service.sap.com/sap/support/notes/1886408","1886408")</f>
        <v>1886408</v>
      </c>
      <c r="E10161">
        <v>1</v>
      </c>
      <c r="F10161" t="s">
        <v>12705</v>
      </c>
    </row>
    <row r="10162" spans="1:6" x14ac:dyDescent="0.25">
      <c r="A10162" t="s">
        <v>13142</v>
      </c>
      <c r="B10162" t="s">
        <v>905</v>
      </c>
      <c r="C10162" t="s">
        <v>29</v>
      </c>
      <c r="D10162" t="str">
        <f>HYPERLINK("http://service.sap.com/sap/support/notes/1889968","1889968")</f>
        <v>1889968</v>
      </c>
      <c r="E10162">
        <v>1</v>
      </c>
      <c r="F10162" t="s">
        <v>12704</v>
      </c>
    </row>
    <row r="10163" spans="1:6" x14ac:dyDescent="0.25">
      <c r="A10163" t="s">
        <v>13142</v>
      </c>
      <c r="B10163" t="s">
        <v>911</v>
      </c>
      <c r="C10163" t="s">
        <v>912</v>
      </c>
      <c r="D10163" t="str">
        <f>HYPERLINK("http://service.sap.com/sap/support/notes/1878861","1878861")</f>
        <v>1878861</v>
      </c>
      <c r="E10163">
        <v>2</v>
      </c>
      <c r="F10163" t="s">
        <v>12703</v>
      </c>
    </row>
    <row r="10164" spans="1:6" x14ac:dyDescent="0.25">
      <c r="A10164" t="s">
        <v>13142</v>
      </c>
      <c r="B10164" t="s">
        <v>911</v>
      </c>
      <c r="C10164" t="s">
        <v>912</v>
      </c>
      <c r="D10164" t="str">
        <f>HYPERLINK("http://service.sap.com/sap/support/notes/1899542","1899542")</f>
        <v>1899542</v>
      </c>
      <c r="E10164">
        <v>1</v>
      </c>
      <c r="F10164" t="s">
        <v>12702</v>
      </c>
    </row>
    <row r="10165" spans="1:6" x14ac:dyDescent="0.25">
      <c r="A10165" t="s">
        <v>13142</v>
      </c>
      <c r="B10165" t="s">
        <v>919</v>
      </c>
      <c r="C10165" t="s">
        <v>920</v>
      </c>
      <c r="D10165" t="str">
        <f>HYPERLINK("http://service.sap.com/sap/support/notes/1227804","1227804")</f>
        <v>1227804</v>
      </c>
      <c r="E10165">
        <v>1</v>
      </c>
      <c r="F10165" t="s">
        <v>24</v>
      </c>
    </row>
    <row r="10166" spans="1:6" x14ac:dyDescent="0.25">
      <c r="A10166" t="s">
        <v>13142</v>
      </c>
      <c r="B10166" t="s">
        <v>919</v>
      </c>
      <c r="C10166" t="s">
        <v>920</v>
      </c>
      <c r="D10166" t="str">
        <f>HYPERLINK("http://service.sap.com/sap/support/notes/1653415","1653415")</f>
        <v>1653415</v>
      </c>
      <c r="E10166">
        <v>1</v>
      </c>
      <c r="F10166" t="s">
        <v>24</v>
      </c>
    </row>
    <row r="10167" spans="1:6" x14ac:dyDescent="0.25">
      <c r="A10167" t="s">
        <v>13142</v>
      </c>
      <c r="B10167" t="s">
        <v>919</v>
      </c>
      <c r="C10167" t="s">
        <v>920</v>
      </c>
      <c r="D10167" t="str">
        <f>HYPERLINK("http://service.sap.com/sap/support/notes/1758020","1758020")</f>
        <v>1758020</v>
      </c>
      <c r="E10167">
        <v>6</v>
      </c>
      <c r="F10167" t="s">
        <v>12701</v>
      </c>
    </row>
    <row r="10168" spans="1:6" x14ac:dyDescent="0.25">
      <c r="A10168" t="s">
        <v>13142</v>
      </c>
      <c r="B10168" t="s">
        <v>919</v>
      </c>
      <c r="C10168" t="s">
        <v>920</v>
      </c>
      <c r="D10168" t="str">
        <f>HYPERLINK("http://service.sap.com/sap/support/notes/1829871","1829871")</f>
        <v>1829871</v>
      </c>
      <c r="E10168">
        <v>7</v>
      </c>
      <c r="F10168" t="s">
        <v>12700</v>
      </c>
    </row>
    <row r="10169" spans="1:6" x14ac:dyDescent="0.25">
      <c r="A10169" t="s">
        <v>13142</v>
      </c>
      <c r="B10169" t="s">
        <v>919</v>
      </c>
      <c r="C10169" t="s">
        <v>920</v>
      </c>
      <c r="D10169" t="str">
        <f>HYPERLINK("http://service.sap.com/sap/support/notes/1831254","1831254")</f>
        <v>1831254</v>
      </c>
      <c r="E10169">
        <v>4</v>
      </c>
      <c r="F10169" t="s">
        <v>12699</v>
      </c>
    </row>
    <row r="10170" spans="1:6" x14ac:dyDescent="0.25">
      <c r="A10170" t="s">
        <v>13142</v>
      </c>
      <c r="B10170" t="s">
        <v>919</v>
      </c>
      <c r="C10170" t="s">
        <v>920</v>
      </c>
      <c r="D10170" t="str">
        <f>HYPERLINK("http://service.sap.com/sap/support/notes/1838728","1838728")</f>
        <v>1838728</v>
      </c>
      <c r="E10170">
        <v>3</v>
      </c>
      <c r="F10170" t="s">
        <v>9304</v>
      </c>
    </row>
    <row r="10171" spans="1:6" x14ac:dyDescent="0.25">
      <c r="A10171" t="s">
        <v>13142</v>
      </c>
      <c r="B10171" t="s">
        <v>919</v>
      </c>
      <c r="C10171" t="s">
        <v>920</v>
      </c>
      <c r="D10171" t="str">
        <f>HYPERLINK("http://service.sap.com/sap/support/notes/1846506","1846506")</f>
        <v>1846506</v>
      </c>
      <c r="E10171">
        <v>4</v>
      </c>
      <c r="F10171" t="s">
        <v>12698</v>
      </c>
    </row>
    <row r="10172" spans="1:6" x14ac:dyDescent="0.25">
      <c r="A10172" t="s">
        <v>13142</v>
      </c>
      <c r="B10172" t="s">
        <v>919</v>
      </c>
      <c r="C10172" t="s">
        <v>920</v>
      </c>
      <c r="D10172" t="str">
        <f>HYPERLINK("http://service.sap.com/sap/support/notes/1849144","1849144")</f>
        <v>1849144</v>
      </c>
      <c r="E10172">
        <v>2</v>
      </c>
      <c r="F10172" t="s">
        <v>12697</v>
      </c>
    </row>
    <row r="10173" spans="1:6" x14ac:dyDescent="0.25">
      <c r="A10173" t="s">
        <v>13142</v>
      </c>
      <c r="B10173" t="s">
        <v>919</v>
      </c>
      <c r="C10173" t="s">
        <v>920</v>
      </c>
      <c r="D10173" t="str">
        <f>HYPERLINK("http://service.sap.com/sap/support/notes/1850688","1850688")</f>
        <v>1850688</v>
      </c>
      <c r="E10173">
        <v>4</v>
      </c>
      <c r="F10173" t="s">
        <v>12696</v>
      </c>
    </row>
    <row r="10174" spans="1:6" x14ac:dyDescent="0.25">
      <c r="A10174" t="s">
        <v>13142</v>
      </c>
      <c r="B10174" t="s">
        <v>919</v>
      </c>
      <c r="C10174" t="s">
        <v>920</v>
      </c>
      <c r="D10174" t="str">
        <f>HYPERLINK("http://service.sap.com/sap/support/notes/1862186","1862186")</f>
        <v>1862186</v>
      </c>
      <c r="E10174">
        <v>1</v>
      </c>
      <c r="F10174" t="s">
        <v>12695</v>
      </c>
    </row>
    <row r="10175" spans="1:6" x14ac:dyDescent="0.25">
      <c r="A10175" t="s">
        <v>13142</v>
      </c>
      <c r="B10175" t="s">
        <v>919</v>
      </c>
      <c r="C10175" t="s">
        <v>920</v>
      </c>
      <c r="D10175" t="str">
        <f>HYPERLINK("http://service.sap.com/sap/support/notes/1865800","1865800")</f>
        <v>1865800</v>
      </c>
      <c r="E10175">
        <v>1</v>
      </c>
      <c r="F10175" t="s">
        <v>12694</v>
      </c>
    </row>
    <row r="10176" spans="1:6" x14ac:dyDescent="0.25">
      <c r="A10176" t="s">
        <v>13142</v>
      </c>
      <c r="B10176" t="s">
        <v>919</v>
      </c>
      <c r="C10176" t="s">
        <v>920</v>
      </c>
      <c r="D10176" t="str">
        <f>HYPERLINK("http://service.sap.com/sap/support/notes/1870393","1870393")</f>
        <v>1870393</v>
      </c>
      <c r="E10176">
        <v>1</v>
      </c>
      <c r="F10176" t="s">
        <v>12693</v>
      </c>
    </row>
    <row r="10177" spans="1:6" x14ac:dyDescent="0.25">
      <c r="A10177" t="s">
        <v>13142</v>
      </c>
      <c r="B10177" t="s">
        <v>919</v>
      </c>
      <c r="C10177" t="s">
        <v>920</v>
      </c>
      <c r="D10177" t="str">
        <f>HYPERLINK("http://service.sap.com/sap/support/notes/1875993","1875993")</f>
        <v>1875993</v>
      </c>
      <c r="E10177">
        <v>1</v>
      </c>
      <c r="F10177" t="s">
        <v>12692</v>
      </c>
    </row>
    <row r="10178" spans="1:6" x14ac:dyDescent="0.25">
      <c r="A10178" t="s">
        <v>13142</v>
      </c>
      <c r="B10178" t="s">
        <v>919</v>
      </c>
      <c r="C10178" t="s">
        <v>920</v>
      </c>
      <c r="D10178" t="str">
        <f>HYPERLINK("http://service.sap.com/sap/support/notes/1884004","1884004")</f>
        <v>1884004</v>
      </c>
      <c r="E10178">
        <v>2</v>
      </c>
      <c r="F10178" t="s">
        <v>12691</v>
      </c>
    </row>
    <row r="10179" spans="1:6" x14ac:dyDescent="0.25">
      <c r="A10179" t="s">
        <v>13142</v>
      </c>
      <c r="B10179" t="s">
        <v>919</v>
      </c>
      <c r="C10179" t="s">
        <v>920</v>
      </c>
      <c r="D10179" t="str">
        <f>HYPERLINK("http://service.sap.com/sap/support/notes/1884569","1884569")</f>
        <v>1884569</v>
      </c>
      <c r="E10179">
        <v>1</v>
      </c>
      <c r="F10179" t="s">
        <v>12690</v>
      </c>
    </row>
    <row r="10180" spans="1:6" x14ac:dyDescent="0.25">
      <c r="A10180" t="s">
        <v>13142</v>
      </c>
      <c r="B10180" t="s">
        <v>919</v>
      </c>
      <c r="C10180" t="s">
        <v>920</v>
      </c>
      <c r="D10180" t="str">
        <f>HYPERLINK("http://service.sap.com/sap/support/notes/1888380","1888380")</f>
        <v>1888380</v>
      </c>
      <c r="E10180">
        <v>1</v>
      </c>
      <c r="F10180" t="s">
        <v>12689</v>
      </c>
    </row>
    <row r="10181" spans="1:6" x14ac:dyDescent="0.25">
      <c r="A10181" t="s">
        <v>13142</v>
      </c>
      <c r="B10181" t="s">
        <v>919</v>
      </c>
      <c r="C10181" t="s">
        <v>920</v>
      </c>
      <c r="D10181" t="str">
        <f>HYPERLINK("http://service.sap.com/sap/support/notes/1891288","1891288")</f>
        <v>1891288</v>
      </c>
      <c r="E10181">
        <v>3</v>
      </c>
      <c r="F10181" t="s">
        <v>12688</v>
      </c>
    </row>
    <row r="10182" spans="1:6" x14ac:dyDescent="0.25">
      <c r="A10182" t="s">
        <v>13142</v>
      </c>
      <c r="B10182" t="s">
        <v>919</v>
      </c>
      <c r="C10182" t="s">
        <v>920</v>
      </c>
      <c r="D10182" t="str">
        <f>HYPERLINK("http://service.sap.com/sap/support/notes/1897415","1897415")</f>
        <v>1897415</v>
      </c>
      <c r="E10182">
        <v>3</v>
      </c>
      <c r="F10182" t="s">
        <v>12687</v>
      </c>
    </row>
    <row r="10183" spans="1:6" x14ac:dyDescent="0.25">
      <c r="A10183" t="s">
        <v>13142</v>
      </c>
      <c r="B10183" t="s">
        <v>919</v>
      </c>
      <c r="C10183" t="s">
        <v>920</v>
      </c>
      <c r="D10183" t="str">
        <f>HYPERLINK("http://service.sap.com/sap/support/notes/1901153","1901153")</f>
        <v>1901153</v>
      </c>
      <c r="E10183">
        <v>1</v>
      </c>
      <c r="F10183" t="s">
        <v>12686</v>
      </c>
    </row>
    <row r="10184" spans="1:6" x14ac:dyDescent="0.25">
      <c r="A10184" t="s">
        <v>13142</v>
      </c>
      <c r="B10184" t="s">
        <v>936</v>
      </c>
      <c r="C10184" t="s">
        <v>937</v>
      </c>
      <c r="D10184" t="str">
        <f>HYPERLINK("http://service.sap.com/sap/support/notes/1853022","1853022")</f>
        <v>1853022</v>
      </c>
      <c r="E10184">
        <v>2</v>
      </c>
      <c r="F10184" t="s">
        <v>12685</v>
      </c>
    </row>
    <row r="10185" spans="1:6" x14ac:dyDescent="0.25">
      <c r="A10185" t="s">
        <v>13142</v>
      </c>
      <c r="B10185" t="s">
        <v>936</v>
      </c>
      <c r="C10185" t="s">
        <v>937</v>
      </c>
      <c r="D10185" t="str">
        <f>HYPERLINK("http://service.sap.com/sap/support/notes/1894557","1894557")</f>
        <v>1894557</v>
      </c>
      <c r="E10185">
        <v>3</v>
      </c>
      <c r="F10185" t="s">
        <v>12684</v>
      </c>
    </row>
    <row r="10186" spans="1:6" x14ac:dyDescent="0.25">
      <c r="A10186" t="s">
        <v>13142</v>
      </c>
      <c r="B10186" t="s">
        <v>942</v>
      </c>
      <c r="C10186" t="s">
        <v>943</v>
      </c>
      <c r="D10186" t="str">
        <f>HYPERLINK("http://service.sap.com/sap/support/notes/1882358","1882358")</f>
        <v>1882358</v>
      </c>
      <c r="E10186">
        <v>1</v>
      </c>
      <c r="F10186" t="s">
        <v>12683</v>
      </c>
    </row>
    <row r="10187" spans="1:6" x14ac:dyDescent="0.25">
      <c r="A10187" t="s">
        <v>13142</v>
      </c>
      <c r="B10187" t="s">
        <v>944</v>
      </c>
      <c r="C10187" t="s">
        <v>151</v>
      </c>
      <c r="D10187" t="str">
        <f>HYPERLINK("http://service.sap.com/sap/support/notes/1872331","1872331")</f>
        <v>1872331</v>
      </c>
      <c r="E10187">
        <v>1</v>
      </c>
      <c r="F10187" t="s">
        <v>12682</v>
      </c>
    </row>
    <row r="10188" spans="1:6" x14ac:dyDescent="0.25">
      <c r="A10188" t="s">
        <v>13142</v>
      </c>
      <c r="B10188" t="s">
        <v>945</v>
      </c>
      <c r="C10188" t="s">
        <v>839</v>
      </c>
      <c r="D10188" t="str">
        <f>HYPERLINK("http://service.sap.com/sap/support/notes/1852125","1852125")</f>
        <v>1852125</v>
      </c>
      <c r="E10188">
        <v>2</v>
      </c>
      <c r="F10188" t="s">
        <v>12681</v>
      </c>
    </row>
    <row r="10189" spans="1:6" x14ac:dyDescent="0.25">
      <c r="A10189" t="s">
        <v>13142</v>
      </c>
      <c r="B10189" t="s">
        <v>945</v>
      </c>
      <c r="C10189" t="s">
        <v>839</v>
      </c>
      <c r="D10189" t="str">
        <f>HYPERLINK("http://service.sap.com/sap/support/notes/1866310","1866310")</f>
        <v>1866310</v>
      </c>
      <c r="E10189">
        <v>1</v>
      </c>
      <c r="F10189" t="s">
        <v>12680</v>
      </c>
    </row>
    <row r="10190" spans="1:6" x14ac:dyDescent="0.25">
      <c r="A10190" t="s">
        <v>13142</v>
      </c>
      <c r="B10190" t="s">
        <v>945</v>
      </c>
      <c r="C10190" t="s">
        <v>839</v>
      </c>
      <c r="D10190" t="str">
        <f>HYPERLINK("http://service.sap.com/sap/support/notes/1867976","1867976")</f>
        <v>1867976</v>
      </c>
      <c r="E10190">
        <v>2</v>
      </c>
      <c r="F10190" t="s">
        <v>12679</v>
      </c>
    </row>
    <row r="10191" spans="1:6" x14ac:dyDescent="0.25">
      <c r="A10191" t="s">
        <v>13142</v>
      </c>
      <c r="B10191" t="s">
        <v>945</v>
      </c>
      <c r="C10191" t="s">
        <v>839</v>
      </c>
      <c r="D10191" t="str">
        <f>HYPERLINK("http://service.sap.com/sap/support/notes/1871113","1871113")</f>
        <v>1871113</v>
      </c>
      <c r="E10191">
        <v>1</v>
      </c>
      <c r="F10191" t="s">
        <v>12678</v>
      </c>
    </row>
    <row r="10192" spans="1:6" x14ac:dyDescent="0.25">
      <c r="A10192" t="s">
        <v>13142</v>
      </c>
      <c r="B10192" t="s">
        <v>945</v>
      </c>
      <c r="C10192" t="s">
        <v>839</v>
      </c>
      <c r="D10192" t="str">
        <f>HYPERLINK("http://service.sap.com/sap/support/notes/1890395","1890395")</f>
        <v>1890395</v>
      </c>
      <c r="E10192">
        <v>1</v>
      </c>
      <c r="F10192" t="s">
        <v>12677</v>
      </c>
    </row>
    <row r="10193" spans="1:6" x14ac:dyDescent="0.25">
      <c r="A10193" t="s">
        <v>13142</v>
      </c>
      <c r="B10193" t="s">
        <v>945</v>
      </c>
      <c r="C10193" t="s">
        <v>839</v>
      </c>
      <c r="D10193" t="str">
        <f>HYPERLINK("http://service.sap.com/sap/support/notes/1896407","1896407")</f>
        <v>1896407</v>
      </c>
      <c r="E10193">
        <v>3</v>
      </c>
      <c r="F10193" t="s">
        <v>12676</v>
      </c>
    </row>
    <row r="10194" spans="1:6" x14ac:dyDescent="0.25">
      <c r="A10194" t="s">
        <v>13142</v>
      </c>
      <c r="B10194" t="s">
        <v>956</v>
      </c>
      <c r="C10194" t="s">
        <v>957</v>
      </c>
      <c r="D10194" t="str">
        <f>HYPERLINK("http://service.sap.com/sap/support/notes/1823402","1823402")</f>
        <v>1823402</v>
      </c>
      <c r="E10194">
        <v>3</v>
      </c>
      <c r="F10194" t="s">
        <v>12675</v>
      </c>
    </row>
    <row r="10195" spans="1:6" x14ac:dyDescent="0.25">
      <c r="A10195" t="s">
        <v>13142</v>
      </c>
      <c r="B10195" t="s">
        <v>956</v>
      </c>
      <c r="C10195" t="s">
        <v>957</v>
      </c>
      <c r="D10195" t="str">
        <f>HYPERLINK("http://service.sap.com/sap/support/notes/1844171","1844171")</f>
        <v>1844171</v>
      </c>
      <c r="E10195">
        <v>2</v>
      </c>
      <c r="F10195" t="s">
        <v>12674</v>
      </c>
    </row>
    <row r="10196" spans="1:6" x14ac:dyDescent="0.25">
      <c r="A10196" t="s">
        <v>13142</v>
      </c>
      <c r="B10196" t="s">
        <v>956</v>
      </c>
      <c r="C10196" t="s">
        <v>957</v>
      </c>
      <c r="D10196" t="str">
        <f>HYPERLINK("http://service.sap.com/sap/support/notes/1859486","1859486")</f>
        <v>1859486</v>
      </c>
      <c r="E10196">
        <v>1</v>
      </c>
      <c r="F10196" t="s">
        <v>12673</v>
      </c>
    </row>
    <row r="10197" spans="1:6" x14ac:dyDescent="0.25">
      <c r="A10197" t="s">
        <v>13142</v>
      </c>
      <c r="B10197" t="s">
        <v>956</v>
      </c>
      <c r="C10197" t="s">
        <v>957</v>
      </c>
      <c r="D10197" t="str">
        <f>HYPERLINK("http://service.sap.com/sap/support/notes/1861624","1861624")</f>
        <v>1861624</v>
      </c>
      <c r="E10197">
        <v>1</v>
      </c>
      <c r="F10197" t="s">
        <v>12672</v>
      </c>
    </row>
    <row r="10198" spans="1:6" x14ac:dyDescent="0.25">
      <c r="A10198" t="s">
        <v>13142</v>
      </c>
      <c r="B10198" t="s">
        <v>956</v>
      </c>
      <c r="C10198" t="s">
        <v>957</v>
      </c>
      <c r="D10198" t="str">
        <f>HYPERLINK("http://service.sap.com/sap/support/notes/1862780","1862780")</f>
        <v>1862780</v>
      </c>
      <c r="E10198">
        <v>1</v>
      </c>
      <c r="F10198" t="s">
        <v>12671</v>
      </c>
    </row>
    <row r="10199" spans="1:6" x14ac:dyDescent="0.25">
      <c r="A10199" t="s">
        <v>13142</v>
      </c>
      <c r="B10199" t="s">
        <v>956</v>
      </c>
      <c r="C10199" t="s">
        <v>957</v>
      </c>
      <c r="D10199" t="str">
        <f>HYPERLINK("http://service.sap.com/sap/support/notes/1868989","1868989")</f>
        <v>1868989</v>
      </c>
      <c r="E10199">
        <v>1</v>
      </c>
      <c r="F10199" t="s">
        <v>12670</v>
      </c>
    </row>
    <row r="10200" spans="1:6" x14ac:dyDescent="0.25">
      <c r="A10200" t="s">
        <v>13142</v>
      </c>
      <c r="B10200" t="s">
        <v>956</v>
      </c>
      <c r="C10200" t="s">
        <v>957</v>
      </c>
      <c r="D10200" t="str">
        <f>HYPERLINK("http://service.sap.com/sap/support/notes/1872445","1872445")</f>
        <v>1872445</v>
      </c>
      <c r="E10200">
        <v>1</v>
      </c>
      <c r="F10200" t="s">
        <v>12669</v>
      </c>
    </row>
    <row r="10201" spans="1:6" x14ac:dyDescent="0.25">
      <c r="A10201" t="s">
        <v>13142</v>
      </c>
      <c r="B10201" t="s">
        <v>956</v>
      </c>
      <c r="C10201" t="s">
        <v>957</v>
      </c>
      <c r="D10201" t="str">
        <f>HYPERLINK("http://service.sap.com/sap/support/notes/1873635","1873635")</f>
        <v>1873635</v>
      </c>
      <c r="E10201">
        <v>1</v>
      </c>
      <c r="F10201" t="s">
        <v>12668</v>
      </c>
    </row>
    <row r="10202" spans="1:6" x14ac:dyDescent="0.25">
      <c r="A10202" t="s">
        <v>13142</v>
      </c>
      <c r="B10202" t="s">
        <v>956</v>
      </c>
      <c r="C10202" t="s">
        <v>957</v>
      </c>
      <c r="D10202" t="str">
        <f>HYPERLINK("http://service.sap.com/sap/support/notes/1875017","1875017")</f>
        <v>1875017</v>
      </c>
      <c r="E10202">
        <v>1</v>
      </c>
      <c r="F10202" t="s">
        <v>12667</v>
      </c>
    </row>
    <row r="10203" spans="1:6" x14ac:dyDescent="0.25">
      <c r="A10203" t="s">
        <v>13142</v>
      </c>
      <c r="B10203" t="s">
        <v>956</v>
      </c>
      <c r="C10203" t="s">
        <v>957</v>
      </c>
      <c r="D10203" t="str">
        <f>HYPERLINK("http://service.sap.com/sap/support/notes/1882160","1882160")</f>
        <v>1882160</v>
      </c>
      <c r="E10203">
        <v>3</v>
      </c>
      <c r="F10203" t="s">
        <v>12666</v>
      </c>
    </row>
    <row r="10204" spans="1:6" x14ac:dyDescent="0.25">
      <c r="A10204" t="s">
        <v>13142</v>
      </c>
      <c r="B10204" t="s">
        <v>956</v>
      </c>
      <c r="C10204" t="s">
        <v>957</v>
      </c>
      <c r="D10204" t="str">
        <f>HYPERLINK("http://service.sap.com/sap/support/notes/1890184","1890184")</f>
        <v>1890184</v>
      </c>
      <c r="E10204">
        <v>1</v>
      </c>
      <c r="F10204" t="s">
        <v>12665</v>
      </c>
    </row>
    <row r="10205" spans="1:6" x14ac:dyDescent="0.25">
      <c r="A10205" t="s">
        <v>13142</v>
      </c>
      <c r="B10205" t="s">
        <v>956</v>
      </c>
      <c r="C10205" t="s">
        <v>957</v>
      </c>
      <c r="D10205" t="str">
        <f>HYPERLINK("http://service.sap.com/sap/support/notes/1890685","1890685")</f>
        <v>1890685</v>
      </c>
      <c r="E10205">
        <v>2</v>
      </c>
      <c r="F10205" t="s">
        <v>12664</v>
      </c>
    </row>
    <row r="10206" spans="1:6" x14ac:dyDescent="0.25">
      <c r="A10206" t="s">
        <v>13142</v>
      </c>
      <c r="B10206" t="s">
        <v>956</v>
      </c>
      <c r="C10206" t="s">
        <v>957</v>
      </c>
      <c r="D10206" t="str">
        <f>HYPERLINK("http://service.sap.com/sap/support/notes/1895617","1895617")</f>
        <v>1895617</v>
      </c>
      <c r="E10206">
        <v>1</v>
      </c>
      <c r="F10206" t="s">
        <v>12663</v>
      </c>
    </row>
    <row r="10207" spans="1:6" x14ac:dyDescent="0.25">
      <c r="A10207" t="s">
        <v>13142</v>
      </c>
      <c r="B10207" t="s">
        <v>970</v>
      </c>
      <c r="C10207" t="s">
        <v>971</v>
      </c>
      <c r="D10207" t="str">
        <f>HYPERLINK("http://service.sap.com/sap/support/notes/1860988","1860988")</f>
        <v>1860988</v>
      </c>
      <c r="E10207">
        <v>2</v>
      </c>
      <c r="F10207" t="s">
        <v>12662</v>
      </c>
    </row>
    <row r="10208" spans="1:6" x14ac:dyDescent="0.25">
      <c r="A10208" t="s">
        <v>13142</v>
      </c>
      <c r="B10208" t="s">
        <v>970</v>
      </c>
      <c r="C10208" t="s">
        <v>971</v>
      </c>
      <c r="D10208" t="str">
        <f>HYPERLINK("http://service.sap.com/sap/support/notes/1866451","1866451")</f>
        <v>1866451</v>
      </c>
      <c r="E10208">
        <v>1</v>
      </c>
      <c r="F10208" t="s">
        <v>12661</v>
      </c>
    </row>
    <row r="10209" spans="1:6" x14ac:dyDescent="0.25">
      <c r="A10209" t="s">
        <v>13142</v>
      </c>
      <c r="B10209" t="s">
        <v>970</v>
      </c>
      <c r="C10209" t="s">
        <v>971</v>
      </c>
      <c r="D10209" t="str">
        <f>HYPERLINK("http://service.sap.com/sap/support/notes/1868157","1868157")</f>
        <v>1868157</v>
      </c>
      <c r="E10209">
        <v>2</v>
      </c>
      <c r="F10209" t="s">
        <v>12660</v>
      </c>
    </row>
    <row r="10210" spans="1:6" x14ac:dyDescent="0.25">
      <c r="A10210" t="s">
        <v>13142</v>
      </c>
      <c r="B10210" t="s">
        <v>970</v>
      </c>
      <c r="C10210" t="s">
        <v>971</v>
      </c>
      <c r="D10210" t="str">
        <f>HYPERLINK("http://service.sap.com/sap/support/notes/1874805","1874805")</f>
        <v>1874805</v>
      </c>
      <c r="E10210">
        <v>1</v>
      </c>
      <c r="F10210" t="s">
        <v>12659</v>
      </c>
    </row>
    <row r="10211" spans="1:6" x14ac:dyDescent="0.25">
      <c r="A10211" t="s">
        <v>13142</v>
      </c>
      <c r="B10211" t="s">
        <v>982</v>
      </c>
      <c r="C10211" t="s">
        <v>983</v>
      </c>
      <c r="D10211" t="str">
        <f>HYPERLINK("http://service.sap.com/sap/support/notes/1858048","1858048")</f>
        <v>1858048</v>
      </c>
      <c r="E10211">
        <v>1</v>
      </c>
      <c r="F10211" t="s">
        <v>12658</v>
      </c>
    </row>
    <row r="10212" spans="1:6" x14ac:dyDescent="0.25">
      <c r="A10212" t="s">
        <v>13142</v>
      </c>
      <c r="B10212" t="s">
        <v>4697</v>
      </c>
      <c r="C10212" t="s">
        <v>891</v>
      </c>
      <c r="D10212" t="str">
        <f>HYPERLINK("http://service.sap.com/sap/support/notes/1849847","1849847")</f>
        <v>1849847</v>
      </c>
      <c r="E10212">
        <v>3</v>
      </c>
      <c r="F10212" t="s">
        <v>12657</v>
      </c>
    </row>
    <row r="10213" spans="1:6" x14ac:dyDescent="0.25">
      <c r="A10213" t="s">
        <v>13142</v>
      </c>
      <c r="B10213" t="s">
        <v>4697</v>
      </c>
      <c r="C10213" t="s">
        <v>891</v>
      </c>
      <c r="D10213" t="str">
        <f>HYPERLINK("http://service.sap.com/sap/support/notes/1897401","1897401")</f>
        <v>1897401</v>
      </c>
      <c r="E10213">
        <v>1</v>
      </c>
      <c r="F10213" t="s">
        <v>12656</v>
      </c>
    </row>
    <row r="10214" spans="1:6" x14ac:dyDescent="0.25">
      <c r="A10214" t="s">
        <v>13142</v>
      </c>
      <c r="B10214" t="s">
        <v>990</v>
      </c>
      <c r="C10214" t="s">
        <v>29</v>
      </c>
      <c r="D10214" t="str">
        <f>HYPERLINK("http://service.sap.com/sap/support/notes/1835373","1835373")</f>
        <v>1835373</v>
      </c>
      <c r="E10214">
        <v>3</v>
      </c>
      <c r="F10214" t="s">
        <v>12655</v>
      </c>
    </row>
    <row r="10215" spans="1:6" x14ac:dyDescent="0.25">
      <c r="A10215" t="s">
        <v>13142</v>
      </c>
      <c r="B10215" t="s">
        <v>990</v>
      </c>
      <c r="C10215" t="s">
        <v>29</v>
      </c>
      <c r="D10215" t="str">
        <f>HYPERLINK("http://service.sap.com/sap/support/notes/1844968","1844968")</f>
        <v>1844968</v>
      </c>
      <c r="E10215">
        <v>2</v>
      </c>
      <c r="F10215" t="s">
        <v>12654</v>
      </c>
    </row>
    <row r="10216" spans="1:6" x14ac:dyDescent="0.25">
      <c r="A10216" t="s">
        <v>13142</v>
      </c>
      <c r="B10216" t="s">
        <v>990</v>
      </c>
      <c r="C10216" t="s">
        <v>29</v>
      </c>
      <c r="D10216" t="str">
        <f>HYPERLINK("http://service.sap.com/sap/support/notes/1849683","1849683")</f>
        <v>1849683</v>
      </c>
      <c r="E10216">
        <v>4</v>
      </c>
      <c r="F10216" t="s">
        <v>12653</v>
      </c>
    </row>
    <row r="10217" spans="1:6" x14ac:dyDescent="0.25">
      <c r="A10217" t="s">
        <v>13142</v>
      </c>
      <c r="B10217" t="s">
        <v>990</v>
      </c>
      <c r="C10217" t="s">
        <v>29</v>
      </c>
      <c r="D10217" t="str">
        <f>HYPERLINK("http://service.sap.com/sap/support/notes/1856328","1856328")</f>
        <v>1856328</v>
      </c>
      <c r="E10217">
        <v>5</v>
      </c>
      <c r="F10217" t="s">
        <v>12652</v>
      </c>
    </row>
    <row r="10218" spans="1:6" x14ac:dyDescent="0.25">
      <c r="A10218" t="s">
        <v>13142</v>
      </c>
      <c r="B10218" t="s">
        <v>990</v>
      </c>
      <c r="C10218" t="s">
        <v>29</v>
      </c>
      <c r="D10218" t="str">
        <f>HYPERLINK("http://service.sap.com/sap/support/notes/1866484","1866484")</f>
        <v>1866484</v>
      </c>
      <c r="E10218">
        <v>1</v>
      </c>
      <c r="F10218" t="s">
        <v>12651</v>
      </c>
    </row>
    <row r="10219" spans="1:6" x14ac:dyDescent="0.25">
      <c r="A10219" t="s">
        <v>13142</v>
      </c>
      <c r="B10219" t="s">
        <v>990</v>
      </c>
      <c r="C10219" t="s">
        <v>29</v>
      </c>
      <c r="D10219" t="str">
        <f>HYPERLINK("http://service.sap.com/sap/support/notes/1867720","1867720")</f>
        <v>1867720</v>
      </c>
      <c r="E10219">
        <v>1</v>
      </c>
      <c r="F10219" t="s">
        <v>12650</v>
      </c>
    </row>
    <row r="10220" spans="1:6" x14ac:dyDescent="0.25">
      <c r="A10220" t="s">
        <v>13142</v>
      </c>
      <c r="B10220" t="s">
        <v>990</v>
      </c>
      <c r="C10220" t="s">
        <v>29</v>
      </c>
      <c r="D10220" t="str">
        <f>HYPERLINK("http://service.sap.com/sap/support/notes/1869681","1869681")</f>
        <v>1869681</v>
      </c>
      <c r="E10220">
        <v>1</v>
      </c>
      <c r="F10220" t="s">
        <v>12649</v>
      </c>
    </row>
    <row r="10221" spans="1:6" x14ac:dyDescent="0.25">
      <c r="A10221" t="s">
        <v>13142</v>
      </c>
      <c r="B10221" t="s">
        <v>990</v>
      </c>
      <c r="C10221" t="s">
        <v>29</v>
      </c>
      <c r="D10221" t="str">
        <f>HYPERLINK("http://service.sap.com/sap/support/notes/1870729","1870729")</f>
        <v>1870729</v>
      </c>
      <c r="E10221">
        <v>1</v>
      </c>
      <c r="F10221" t="s">
        <v>12648</v>
      </c>
    </row>
    <row r="10222" spans="1:6" x14ac:dyDescent="0.25">
      <c r="A10222" t="s">
        <v>13142</v>
      </c>
      <c r="B10222" t="s">
        <v>990</v>
      </c>
      <c r="C10222" t="s">
        <v>29</v>
      </c>
      <c r="D10222" t="str">
        <f>HYPERLINK("http://service.sap.com/sap/support/notes/1873494","1873494")</f>
        <v>1873494</v>
      </c>
      <c r="E10222">
        <v>3</v>
      </c>
      <c r="F10222" t="s">
        <v>12647</v>
      </c>
    </row>
    <row r="10223" spans="1:6" x14ac:dyDescent="0.25">
      <c r="A10223" t="s">
        <v>13142</v>
      </c>
      <c r="B10223" t="s">
        <v>990</v>
      </c>
      <c r="C10223" t="s">
        <v>29</v>
      </c>
      <c r="D10223" t="str">
        <f>HYPERLINK("http://service.sap.com/sap/support/notes/1874019","1874019")</f>
        <v>1874019</v>
      </c>
      <c r="E10223">
        <v>2</v>
      </c>
      <c r="F10223" t="s">
        <v>12646</v>
      </c>
    </row>
    <row r="10224" spans="1:6" x14ac:dyDescent="0.25">
      <c r="A10224" t="s">
        <v>13142</v>
      </c>
      <c r="B10224" t="s">
        <v>990</v>
      </c>
      <c r="C10224" t="s">
        <v>29</v>
      </c>
      <c r="D10224" t="str">
        <f>HYPERLINK("http://service.sap.com/sap/support/notes/1874943","1874943")</f>
        <v>1874943</v>
      </c>
      <c r="E10224">
        <v>1</v>
      </c>
      <c r="F10224" t="s">
        <v>12645</v>
      </c>
    </row>
    <row r="10225" spans="1:6" x14ac:dyDescent="0.25">
      <c r="A10225" t="s">
        <v>13142</v>
      </c>
      <c r="B10225" t="s">
        <v>990</v>
      </c>
      <c r="C10225" t="s">
        <v>29</v>
      </c>
      <c r="D10225" t="str">
        <f>HYPERLINK("http://service.sap.com/sap/support/notes/1875412","1875412")</f>
        <v>1875412</v>
      </c>
      <c r="E10225">
        <v>1</v>
      </c>
      <c r="F10225" t="s">
        <v>12644</v>
      </c>
    </row>
    <row r="10226" spans="1:6" x14ac:dyDescent="0.25">
      <c r="A10226" t="s">
        <v>13142</v>
      </c>
      <c r="B10226" t="s">
        <v>990</v>
      </c>
      <c r="C10226" t="s">
        <v>29</v>
      </c>
      <c r="D10226" t="str">
        <f>HYPERLINK("http://service.sap.com/sap/support/notes/1885109","1885109")</f>
        <v>1885109</v>
      </c>
      <c r="E10226">
        <v>1</v>
      </c>
      <c r="F10226" t="s">
        <v>12643</v>
      </c>
    </row>
    <row r="10227" spans="1:6" x14ac:dyDescent="0.25">
      <c r="A10227" t="s">
        <v>13142</v>
      </c>
      <c r="B10227" t="s">
        <v>990</v>
      </c>
      <c r="C10227" t="s">
        <v>29</v>
      </c>
      <c r="D10227" t="str">
        <f>HYPERLINK("http://service.sap.com/sap/support/notes/1898309","1898309")</f>
        <v>1898309</v>
      </c>
      <c r="E10227">
        <v>1</v>
      </c>
      <c r="F10227" t="s">
        <v>12642</v>
      </c>
    </row>
    <row r="10228" spans="1:6" x14ac:dyDescent="0.25">
      <c r="A10228" t="s">
        <v>13142</v>
      </c>
      <c r="B10228" t="s">
        <v>9338</v>
      </c>
      <c r="C10228" t="s">
        <v>937</v>
      </c>
      <c r="D10228" t="str">
        <f>HYPERLINK("http://service.sap.com/sap/support/notes/1852287","1852287")</f>
        <v>1852287</v>
      </c>
      <c r="E10228">
        <v>3</v>
      </c>
      <c r="F10228" t="s">
        <v>12641</v>
      </c>
    </row>
    <row r="10229" spans="1:6" x14ac:dyDescent="0.25">
      <c r="A10229" t="s">
        <v>13142</v>
      </c>
      <c r="B10229" t="s">
        <v>997</v>
      </c>
      <c r="C10229" t="s">
        <v>998</v>
      </c>
      <c r="D10229" t="str">
        <f>HYPERLINK("http://service.sap.com/sap/support/notes/1867832","1867832")</f>
        <v>1867832</v>
      </c>
      <c r="E10229">
        <v>1</v>
      </c>
      <c r="F10229" t="s">
        <v>12640</v>
      </c>
    </row>
    <row r="10230" spans="1:6" x14ac:dyDescent="0.25">
      <c r="A10230" t="s">
        <v>13142</v>
      </c>
      <c r="B10230" t="s">
        <v>12639</v>
      </c>
      <c r="C10230" t="s">
        <v>824</v>
      </c>
      <c r="D10230" t="str">
        <f>HYPERLINK("http://service.sap.com/sap/support/notes/1884627","1884627")</f>
        <v>1884627</v>
      </c>
      <c r="E10230">
        <v>1</v>
      </c>
      <c r="F10230" t="s">
        <v>12638</v>
      </c>
    </row>
    <row r="10231" spans="1:6" x14ac:dyDescent="0.25">
      <c r="A10231" t="s">
        <v>13142</v>
      </c>
      <c r="B10231" t="s">
        <v>1000</v>
      </c>
      <c r="C10231" t="s">
        <v>1001</v>
      </c>
    </row>
    <row r="10232" spans="1:6" x14ac:dyDescent="0.25">
      <c r="A10232" t="s">
        <v>13142</v>
      </c>
      <c r="B10232" t="s">
        <v>1002</v>
      </c>
      <c r="C10232" t="s">
        <v>29</v>
      </c>
      <c r="D10232" t="str">
        <f>HYPERLINK("http://service.sap.com/sap/support/notes/1876194","1876194")</f>
        <v>1876194</v>
      </c>
      <c r="E10232">
        <v>1</v>
      </c>
      <c r="F10232" t="s">
        <v>12637</v>
      </c>
    </row>
    <row r="10233" spans="1:6" x14ac:dyDescent="0.25">
      <c r="A10233" t="s">
        <v>13142</v>
      </c>
      <c r="B10233" t="s">
        <v>1005</v>
      </c>
      <c r="C10233" t="s">
        <v>1006</v>
      </c>
    </row>
    <row r="10234" spans="1:6" x14ac:dyDescent="0.25">
      <c r="A10234" t="s">
        <v>13142</v>
      </c>
      <c r="B10234" t="s">
        <v>1008</v>
      </c>
      <c r="C10234" t="s">
        <v>1009</v>
      </c>
      <c r="D10234" t="str">
        <f>HYPERLINK("http://service.sap.com/sap/support/notes/899430","899430")</f>
        <v>899430</v>
      </c>
      <c r="E10234">
        <v>1</v>
      </c>
      <c r="F10234">
        <v>899430</v>
      </c>
    </row>
    <row r="10235" spans="1:6" x14ac:dyDescent="0.25">
      <c r="A10235" t="s">
        <v>13142</v>
      </c>
      <c r="B10235" t="s">
        <v>1008</v>
      </c>
      <c r="C10235" t="s">
        <v>1009</v>
      </c>
      <c r="D10235" t="str">
        <f>HYPERLINK("http://service.sap.com/sap/support/notes/1669036","1669036")</f>
        <v>1669036</v>
      </c>
      <c r="E10235">
        <v>3</v>
      </c>
      <c r="F10235" t="s">
        <v>12636</v>
      </c>
    </row>
    <row r="10236" spans="1:6" x14ac:dyDescent="0.25">
      <c r="A10236" t="s">
        <v>13142</v>
      </c>
      <c r="B10236" t="s">
        <v>1008</v>
      </c>
      <c r="C10236" t="s">
        <v>1009</v>
      </c>
      <c r="D10236" t="str">
        <f>HYPERLINK("http://service.sap.com/sap/support/notes/1752078","1752078")</f>
        <v>1752078</v>
      </c>
      <c r="E10236">
        <v>3</v>
      </c>
      <c r="F10236" t="s">
        <v>12635</v>
      </c>
    </row>
    <row r="10237" spans="1:6" x14ac:dyDescent="0.25">
      <c r="A10237" t="s">
        <v>13142</v>
      </c>
      <c r="B10237" t="s">
        <v>1008</v>
      </c>
      <c r="C10237" t="s">
        <v>1009</v>
      </c>
      <c r="D10237" t="str">
        <f>HYPERLINK("http://service.sap.com/sap/support/notes/1776372","1776372")</f>
        <v>1776372</v>
      </c>
      <c r="E10237">
        <v>3</v>
      </c>
      <c r="F10237" t="s">
        <v>12634</v>
      </c>
    </row>
    <row r="10238" spans="1:6" x14ac:dyDescent="0.25">
      <c r="A10238" t="s">
        <v>13142</v>
      </c>
      <c r="B10238" t="s">
        <v>1008</v>
      </c>
      <c r="C10238" t="s">
        <v>1009</v>
      </c>
      <c r="D10238" t="str">
        <f>HYPERLINK("http://service.sap.com/sap/support/notes/1840252","1840252")</f>
        <v>1840252</v>
      </c>
      <c r="E10238">
        <v>2</v>
      </c>
      <c r="F10238" t="s">
        <v>12633</v>
      </c>
    </row>
    <row r="10239" spans="1:6" x14ac:dyDescent="0.25">
      <c r="A10239" t="s">
        <v>13142</v>
      </c>
      <c r="B10239" t="s">
        <v>1008</v>
      </c>
      <c r="C10239" t="s">
        <v>1009</v>
      </c>
      <c r="D10239" t="str">
        <f>HYPERLINK("http://service.sap.com/sap/support/notes/1843427","1843427")</f>
        <v>1843427</v>
      </c>
      <c r="E10239">
        <v>2</v>
      </c>
      <c r="F10239" t="s">
        <v>12632</v>
      </c>
    </row>
    <row r="10240" spans="1:6" x14ac:dyDescent="0.25">
      <c r="A10240" t="s">
        <v>13142</v>
      </c>
      <c r="B10240" t="s">
        <v>1008</v>
      </c>
      <c r="C10240" t="s">
        <v>1009</v>
      </c>
      <c r="D10240" t="str">
        <f>HYPERLINK("http://service.sap.com/sap/support/notes/1871586","1871586")</f>
        <v>1871586</v>
      </c>
      <c r="E10240">
        <v>3</v>
      </c>
      <c r="F10240" t="s">
        <v>12631</v>
      </c>
    </row>
    <row r="10241" spans="1:6" x14ac:dyDescent="0.25">
      <c r="A10241" t="s">
        <v>13142</v>
      </c>
      <c r="B10241" t="s">
        <v>1008</v>
      </c>
      <c r="C10241" t="s">
        <v>1009</v>
      </c>
      <c r="D10241" t="str">
        <f>HYPERLINK("http://service.sap.com/sap/support/notes/1872424","1872424")</f>
        <v>1872424</v>
      </c>
      <c r="E10241">
        <v>1</v>
      </c>
      <c r="F10241" t="s">
        <v>12630</v>
      </c>
    </row>
    <row r="10242" spans="1:6" x14ac:dyDescent="0.25">
      <c r="A10242" t="s">
        <v>13142</v>
      </c>
      <c r="B10242" t="s">
        <v>1008</v>
      </c>
      <c r="C10242" t="s">
        <v>1009</v>
      </c>
      <c r="D10242" t="str">
        <f>HYPERLINK("http://service.sap.com/sap/support/notes/1881035","1881035")</f>
        <v>1881035</v>
      </c>
      <c r="E10242">
        <v>1</v>
      </c>
      <c r="F10242" t="s">
        <v>12629</v>
      </c>
    </row>
    <row r="10243" spans="1:6" x14ac:dyDescent="0.25">
      <c r="A10243" t="s">
        <v>13142</v>
      </c>
      <c r="B10243" t="s">
        <v>1008</v>
      </c>
      <c r="C10243" t="s">
        <v>1009</v>
      </c>
      <c r="D10243" t="str">
        <f>HYPERLINK("http://service.sap.com/sap/support/notes/1882689","1882689")</f>
        <v>1882689</v>
      </c>
      <c r="E10243">
        <v>2</v>
      </c>
      <c r="F10243" t="s">
        <v>12628</v>
      </c>
    </row>
    <row r="10244" spans="1:6" x14ac:dyDescent="0.25">
      <c r="A10244" t="s">
        <v>13142</v>
      </c>
      <c r="B10244" t="s">
        <v>1008</v>
      </c>
      <c r="C10244" t="s">
        <v>1009</v>
      </c>
      <c r="D10244" t="str">
        <f>HYPERLINK("http://service.sap.com/sap/support/notes/1884212","1884212")</f>
        <v>1884212</v>
      </c>
      <c r="E10244">
        <v>2</v>
      </c>
      <c r="F10244" t="s">
        <v>12627</v>
      </c>
    </row>
    <row r="10245" spans="1:6" x14ac:dyDescent="0.25">
      <c r="A10245" t="s">
        <v>13142</v>
      </c>
      <c r="B10245" t="s">
        <v>1008</v>
      </c>
      <c r="C10245" t="s">
        <v>1009</v>
      </c>
      <c r="D10245" t="str">
        <f>HYPERLINK("http://service.sap.com/sap/support/notes/1884776","1884776")</f>
        <v>1884776</v>
      </c>
      <c r="E10245">
        <v>1</v>
      </c>
      <c r="F10245" t="s">
        <v>12626</v>
      </c>
    </row>
    <row r="10246" spans="1:6" x14ac:dyDescent="0.25">
      <c r="A10246" t="s">
        <v>13142</v>
      </c>
      <c r="B10246" t="s">
        <v>1023</v>
      </c>
      <c r="C10246" t="s">
        <v>1024</v>
      </c>
      <c r="D10246" t="str">
        <f>HYPERLINK("http://service.sap.com/sap/support/notes/1831943","1831943")</f>
        <v>1831943</v>
      </c>
      <c r="E10246">
        <v>2</v>
      </c>
      <c r="F10246" t="s">
        <v>12625</v>
      </c>
    </row>
    <row r="10247" spans="1:6" x14ac:dyDescent="0.25">
      <c r="A10247" t="s">
        <v>13142</v>
      </c>
      <c r="B10247" t="s">
        <v>1023</v>
      </c>
      <c r="C10247" t="s">
        <v>1024</v>
      </c>
      <c r="D10247" t="str">
        <f>HYPERLINK("http://service.sap.com/sap/support/notes/1851389","1851389")</f>
        <v>1851389</v>
      </c>
      <c r="E10247">
        <v>1</v>
      </c>
      <c r="F10247" t="s">
        <v>12624</v>
      </c>
    </row>
    <row r="10248" spans="1:6" x14ac:dyDescent="0.25">
      <c r="A10248" t="s">
        <v>13142</v>
      </c>
      <c r="B10248" t="s">
        <v>1023</v>
      </c>
      <c r="C10248" t="s">
        <v>1024</v>
      </c>
      <c r="D10248" t="str">
        <f>HYPERLINK("http://service.sap.com/sap/support/notes/1860386","1860386")</f>
        <v>1860386</v>
      </c>
      <c r="E10248">
        <v>1</v>
      </c>
      <c r="F10248" t="s">
        <v>12623</v>
      </c>
    </row>
    <row r="10249" spans="1:6" x14ac:dyDescent="0.25">
      <c r="A10249" t="s">
        <v>13142</v>
      </c>
      <c r="B10249" t="s">
        <v>1023</v>
      </c>
      <c r="C10249" t="s">
        <v>1024</v>
      </c>
      <c r="D10249" t="str">
        <f>HYPERLINK("http://service.sap.com/sap/support/notes/1867854","1867854")</f>
        <v>1867854</v>
      </c>
      <c r="E10249">
        <v>1</v>
      </c>
      <c r="F10249" t="s">
        <v>12622</v>
      </c>
    </row>
    <row r="10250" spans="1:6" x14ac:dyDescent="0.25">
      <c r="A10250" t="s">
        <v>13142</v>
      </c>
      <c r="B10250" t="s">
        <v>1023</v>
      </c>
      <c r="C10250" t="s">
        <v>1024</v>
      </c>
      <c r="D10250" t="str">
        <f>HYPERLINK("http://service.sap.com/sap/support/notes/1883317","1883317")</f>
        <v>1883317</v>
      </c>
      <c r="E10250">
        <v>3</v>
      </c>
      <c r="F10250" t="s">
        <v>12621</v>
      </c>
    </row>
    <row r="10251" spans="1:6" x14ac:dyDescent="0.25">
      <c r="A10251" t="s">
        <v>13142</v>
      </c>
      <c r="B10251" t="s">
        <v>1023</v>
      </c>
      <c r="C10251" t="s">
        <v>1024</v>
      </c>
      <c r="D10251" t="str">
        <f>HYPERLINK("http://service.sap.com/sap/support/notes/1883828","1883828")</f>
        <v>1883828</v>
      </c>
      <c r="E10251">
        <v>2</v>
      </c>
      <c r="F10251" t="s">
        <v>12620</v>
      </c>
    </row>
    <row r="10252" spans="1:6" x14ac:dyDescent="0.25">
      <c r="A10252" t="s">
        <v>13142</v>
      </c>
      <c r="B10252" t="s">
        <v>1023</v>
      </c>
      <c r="C10252" t="s">
        <v>1024</v>
      </c>
      <c r="D10252" t="str">
        <f>HYPERLINK("http://service.sap.com/sap/support/notes/1893106","1893106")</f>
        <v>1893106</v>
      </c>
      <c r="E10252">
        <v>2</v>
      </c>
      <c r="F10252" t="s">
        <v>12619</v>
      </c>
    </row>
    <row r="10253" spans="1:6" x14ac:dyDescent="0.25">
      <c r="A10253" t="s">
        <v>13142</v>
      </c>
      <c r="B10253" t="s">
        <v>1033</v>
      </c>
      <c r="C10253" t="s">
        <v>1034</v>
      </c>
      <c r="D10253" t="str">
        <f>HYPERLINK("http://service.sap.com/sap/support/notes/1795040","1795040")</f>
        <v>1795040</v>
      </c>
      <c r="E10253">
        <v>3</v>
      </c>
      <c r="F10253" t="s">
        <v>12618</v>
      </c>
    </row>
    <row r="10254" spans="1:6" x14ac:dyDescent="0.25">
      <c r="A10254" t="s">
        <v>13142</v>
      </c>
      <c r="B10254" t="s">
        <v>1033</v>
      </c>
      <c r="C10254" t="s">
        <v>1034</v>
      </c>
      <c r="D10254" t="str">
        <f>HYPERLINK("http://service.sap.com/sap/support/notes/1800136","1800136")</f>
        <v>1800136</v>
      </c>
      <c r="E10254">
        <v>4</v>
      </c>
      <c r="F10254" t="s">
        <v>12617</v>
      </c>
    </row>
    <row r="10255" spans="1:6" x14ac:dyDescent="0.25">
      <c r="A10255" t="s">
        <v>13142</v>
      </c>
      <c r="B10255" t="s">
        <v>1033</v>
      </c>
      <c r="C10255" t="s">
        <v>1034</v>
      </c>
      <c r="D10255" t="str">
        <f>HYPERLINK("http://service.sap.com/sap/support/notes/1830590","1830590")</f>
        <v>1830590</v>
      </c>
      <c r="E10255">
        <v>4</v>
      </c>
      <c r="F10255" t="s">
        <v>12616</v>
      </c>
    </row>
    <row r="10256" spans="1:6" x14ac:dyDescent="0.25">
      <c r="A10256" t="s">
        <v>13142</v>
      </c>
      <c r="B10256" t="s">
        <v>1033</v>
      </c>
      <c r="C10256" t="s">
        <v>1034</v>
      </c>
      <c r="D10256" t="str">
        <f>HYPERLINK("http://service.sap.com/sap/support/notes/1834535","1834535")</f>
        <v>1834535</v>
      </c>
      <c r="E10256">
        <v>4</v>
      </c>
      <c r="F10256" t="s">
        <v>12615</v>
      </c>
    </row>
    <row r="10257" spans="1:6" x14ac:dyDescent="0.25">
      <c r="A10257" t="s">
        <v>13142</v>
      </c>
      <c r="B10257" t="s">
        <v>1033</v>
      </c>
      <c r="C10257" t="s">
        <v>1034</v>
      </c>
      <c r="D10257" t="str">
        <f>HYPERLINK("http://service.sap.com/sap/support/notes/1850374","1850374")</f>
        <v>1850374</v>
      </c>
      <c r="E10257">
        <v>2</v>
      </c>
      <c r="F10257" t="s">
        <v>12614</v>
      </c>
    </row>
    <row r="10258" spans="1:6" x14ac:dyDescent="0.25">
      <c r="A10258" t="s">
        <v>13142</v>
      </c>
      <c r="B10258" t="s">
        <v>1033</v>
      </c>
      <c r="C10258" t="s">
        <v>1034</v>
      </c>
      <c r="D10258" t="str">
        <f>HYPERLINK("http://service.sap.com/sap/support/notes/1884201","1884201")</f>
        <v>1884201</v>
      </c>
      <c r="E10258">
        <v>1</v>
      </c>
      <c r="F10258" t="s">
        <v>12613</v>
      </c>
    </row>
    <row r="10259" spans="1:6" x14ac:dyDescent="0.25">
      <c r="A10259" t="s">
        <v>13142</v>
      </c>
      <c r="B10259" t="s">
        <v>1033</v>
      </c>
      <c r="C10259" t="s">
        <v>1034</v>
      </c>
      <c r="D10259" t="str">
        <f>HYPERLINK("http://service.sap.com/sap/support/notes/1885947","1885947")</f>
        <v>1885947</v>
      </c>
      <c r="E10259">
        <v>3</v>
      </c>
      <c r="F10259" t="s">
        <v>12612</v>
      </c>
    </row>
    <row r="10260" spans="1:6" x14ac:dyDescent="0.25">
      <c r="A10260" t="s">
        <v>13142</v>
      </c>
      <c r="B10260" t="s">
        <v>1033</v>
      </c>
      <c r="C10260" t="s">
        <v>1034</v>
      </c>
      <c r="D10260" t="str">
        <f>HYPERLINK("http://service.sap.com/sap/support/notes/1891809","1891809")</f>
        <v>1891809</v>
      </c>
      <c r="E10260">
        <v>1</v>
      </c>
      <c r="F10260" t="s">
        <v>12611</v>
      </c>
    </row>
    <row r="10261" spans="1:6" x14ac:dyDescent="0.25">
      <c r="A10261" t="s">
        <v>13142</v>
      </c>
      <c r="B10261" t="s">
        <v>1051</v>
      </c>
      <c r="C10261" t="s">
        <v>1052</v>
      </c>
      <c r="D10261" t="str">
        <f>HYPERLINK("http://service.sap.com/sap/support/notes/1809444","1809444")</f>
        <v>1809444</v>
      </c>
      <c r="E10261">
        <v>3</v>
      </c>
      <c r="F10261" t="s">
        <v>12610</v>
      </c>
    </row>
    <row r="10262" spans="1:6" x14ac:dyDescent="0.25">
      <c r="A10262" t="s">
        <v>13142</v>
      </c>
      <c r="B10262" t="s">
        <v>1051</v>
      </c>
      <c r="C10262" t="s">
        <v>1052</v>
      </c>
      <c r="D10262" t="str">
        <f>HYPERLINK("http://service.sap.com/sap/support/notes/1868741","1868741")</f>
        <v>1868741</v>
      </c>
      <c r="E10262">
        <v>2</v>
      </c>
      <c r="F10262" t="s">
        <v>12609</v>
      </c>
    </row>
    <row r="10263" spans="1:6" x14ac:dyDescent="0.25">
      <c r="A10263" t="s">
        <v>13142</v>
      </c>
      <c r="B10263" t="s">
        <v>1051</v>
      </c>
      <c r="C10263" t="s">
        <v>1052</v>
      </c>
      <c r="D10263" t="str">
        <f>HYPERLINK("http://service.sap.com/sap/support/notes/1871650","1871650")</f>
        <v>1871650</v>
      </c>
      <c r="E10263">
        <v>1</v>
      </c>
      <c r="F10263" t="s">
        <v>12608</v>
      </c>
    </row>
    <row r="10264" spans="1:6" x14ac:dyDescent="0.25">
      <c r="A10264" t="s">
        <v>13142</v>
      </c>
      <c r="B10264" t="s">
        <v>1051</v>
      </c>
      <c r="C10264" t="s">
        <v>1052</v>
      </c>
      <c r="D10264" t="str">
        <f>HYPERLINK("http://service.sap.com/sap/support/notes/1875329","1875329")</f>
        <v>1875329</v>
      </c>
      <c r="E10264">
        <v>1</v>
      </c>
      <c r="F10264" t="s">
        <v>12607</v>
      </c>
    </row>
    <row r="10265" spans="1:6" x14ac:dyDescent="0.25">
      <c r="A10265" t="s">
        <v>13142</v>
      </c>
      <c r="B10265" t="s">
        <v>1051</v>
      </c>
      <c r="C10265" t="s">
        <v>1052</v>
      </c>
      <c r="D10265" t="str">
        <f>HYPERLINK("http://service.sap.com/sap/support/notes/1875363","1875363")</f>
        <v>1875363</v>
      </c>
      <c r="E10265">
        <v>2</v>
      </c>
      <c r="F10265" t="s">
        <v>12606</v>
      </c>
    </row>
    <row r="10266" spans="1:6" x14ac:dyDescent="0.25">
      <c r="A10266" t="s">
        <v>13142</v>
      </c>
      <c r="B10266" t="s">
        <v>1051</v>
      </c>
      <c r="C10266" t="s">
        <v>1052</v>
      </c>
      <c r="D10266" t="str">
        <f>HYPERLINK("http://service.sap.com/sap/support/notes/1879132","1879132")</f>
        <v>1879132</v>
      </c>
      <c r="E10266">
        <v>6</v>
      </c>
      <c r="F10266" t="s">
        <v>12605</v>
      </c>
    </row>
    <row r="10267" spans="1:6" x14ac:dyDescent="0.25">
      <c r="A10267" t="s">
        <v>13142</v>
      </c>
      <c r="B10267" t="s">
        <v>1051</v>
      </c>
      <c r="C10267" t="s">
        <v>1052</v>
      </c>
      <c r="D10267" t="str">
        <f>HYPERLINK("http://service.sap.com/sap/support/notes/1879806","1879806")</f>
        <v>1879806</v>
      </c>
      <c r="E10267">
        <v>2</v>
      </c>
      <c r="F10267" t="s">
        <v>12604</v>
      </c>
    </row>
    <row r="10268" spans="1:6" x14ac:dyDescent="0.25">
      <c r="A10268" t="s">
        <v>13142</v>
      </c>
      <c r="B10268" t="s">
        <v>1051</v>
      </c>
      <c r="C10268" t="s">
        <v>1052</v>
      </c>
      <c r="D10268" t="str">
        <f>HYPERLINK("http://service.sap.com/sap/support/notes/1892579","1892579")</f>
        <v>1892579</v>
      </c>
      <c r="E10268">
        <v>1</v>
      </c>
      <c r="F10268" t="s">
        <v>12603</v>
      </c>
    </row>
    <row r="10269" spans="1:6" x14ac:dyDescent="0.25">
      <c r="A10269" t="s">
        <v>13142</v>
      </c>
      <c r="B10269" t="s">
        <v>1058</v>
      </c>
      <c r="C10269" t="s">
        <v>1059</v>
      </c>
      <c r="D10269" t="str">
        <f>HYPERLINK("http://service.sap.com/sap/support/notes/1793565","1793565")</f>
        <v>1793565</v>
      </c>
      <c r="E10269">
        <v>3</v>
      </c>
      <c r="F10269" t="s">
        <v>12602</v>
      </c>
    </row>
    <row r="10270" spans="1:6" x14ac:dyDescent="0.25">
      <c r="A10270" t="s">
        <v>13142</v>
      </c>
      <c r="B10270" t="s">
        <v>1058</v>
      </c>
      <c r="C10270" t="s">
        <v>1059</v>
      </c>
      <c r="D10270" t="str">
        <f>HYPERLINK("http://service.sap.com/sap/support/notes/1832973","1832973")</f>
        <v>1832973</v>
      </c>
      <c r="E10270">
        <v>3</v>
      </c>
      <c r="F10270" t="s">
        <v>12601</v>
      </c>
    </row>
    <row r="10271" spans="1:6" x14ac:dyDescent="0.25">
      <c r="A10271" t="s">
        <v>13142</v>
      </c>
      <c r="B10271" t="s">
        <v>1065</v>
      </c>
      <c r="C10271" t="s">
        <v>1066</v>
      </c>
      <c r="D10271" t="str">
        <f>HYPERLINK("http://service.sap.com/sap/support/notes/1884933","1884933")</f>
        <v>1884933</v>
      </c>
      <c r="E10271">
        <v>3</v>
      </c>
      <c r="F10271" t="s">
        <v>12600</v>
      </c>
    </row>
    <row r="10272" spans="1:6" x14ac:dyDescent="0.25">
      <c r="A10272" t="s">
        <v>13142</v>
      </c>
      <c r="B10272" t="s">
        <v>1065</v>
      </c>
      <c r="C10272" t="s">
        <v>1066</v>
      </c>
      <c r="D10272" t="str">
        <f>HYPERLINK("http://service.sap.com/sap/support/notes/1901807","1901807")</f>
        <v>1901807</v>
      </c>
      <c r="E10272">
        <v>1</v>
      </c>
      <c r="F10272" t="s">
        <v>12599</v>
      </c>
    </row>
    <row r="10273" spans="1:6" x14ac:dyDescent="0.25">
      <c r="A10273" t="s">
        <v>13142</v>
      </c>
      <c r="B10273" t="s">
        <v>1068</v>
      </c>
      <c r="C10273" t="s">
        <v>1069</v>
      </c>
      <c r="D10273" t="str">
        <f>HYPERLINK("http://service.sap.com/sap/support/notes/1704775","1704775")</f>
        <v>1704775</v>
      </c>
      <c r="E10273">
        <v>1</v>
      </c>
      <c r="F10273" t="s">
        <v>12598</v>
      </c>
    </row>
    <row r="10274" spans="1:6" x14ac:dyDescent="0.25">
      <c r="A10274" t="s">
        <v>13142</v>
      </c>
      <c r="B10274" t="s">
        <v>1068</v>
      </c>
      <c r="C10274" t="s">
        <v>1069</v>
      </c>
      <c r="D10274" t="str">
        <f>HYPERLINK("http://service.sap.com/sap/support/notes/1831577","1831577")</f>
        <v>1831577</v>
      </c>
      <c r="E10274">
        <v>2</v>
      </c>
      <c r="F10274" t="s">
        <v>6985</v>
      </c>
    </row>
    <row r="10275" spans="1:6" x14ac:dyDescent="0.25">
      <c r="A10275" t="s">
        <v>13142</v>
      </c>
      <c r="B10275" t="s">
        <v>1068</v>
      </c>
      <c r="C10275" t="s">
        <v>1069</v>
      </c>
      <c r="D10275" t="str">
        <f>HYPERLINK("http://service.sap.com/sap/support/notes/1831595","1831595")</f>
        <v>1831595</v>
      </c>
      <c r="E10275">
        <v>2</v>
      </c>
      <c r="F10275" t="s">
        <v>12597</v>
      </c>
    </row>
    <row r="10276" spans="1:6" x14ac:dyDescent="0.25">
      <c r="A10276" t="s">
        <v>13142</v>
      </c>
      <c r="B10276" t="s">
        <v>1068</v>
      </c>
      <c r="C10276" t="s">
        <v>1069</v>
      </c>
      <c r="D10276" t="str">
        <f>HYPERLINK("http://service.sap.com/sap/support/notes/1845064","1845064")</f>
        <v>1845064</v>
      </c>
      <c r="E10276">
        <v>2</v>
      </c>
      <c r="F10276" t="s">
        <v>12596</v>
      </c>
    </row>
    <row r="10277" spans="1:6" x14ac:dyDescent="0.25">
      <c r="A10277" t="s">
        <v>13142</v>
      </c>
      <c r="B10277" t="s">
        <v>1068</v>
      </c>
      <c r="C10277" t="s">
        <v>1069</v>
      </c>
      <c r="D10277" t="str">
        <f>HYPERLINK("http://service.sap.com/sap/support/notes/1868431","1868431")</f>
        <v>1868431</v>
      </c>
      <c r="E10277">
        <v>1</v>
      </c>
      <c r="F10277" t="s">
        <v>12595</v>
      </c>
    </row>
    <row r="10278" spans="1:6" x14ac:dyDescent="0.25">
      <c r="A10278" t="s">
        <v>13142</v>
      </c>
      <c r="B10278" t="s">
        <v>1068</v>
      </c>
      <c r="C10278" t="s">
        <v>1069</v>
      </c>
      <c r="D10278" t="str">
        <f>HYPERLINK("http://service.sap.com/sap/support/notes/1871089","1871089")</f>
        <v>1871089</v>
      </c>
      <c r="E10278">
        <v>2</v>
      </c>
      <c r="F10278" t="s">
        <v>12594</v>
      </c>
    </row>
    <row r="10279" spans="1:6" x14ac:dyDescent="0.25">
      <c r="A10279" t="s">
        <v>13142</v>
      </c>
      <c r="B10279" t="s">
        <v>1068</v>
      </c>
      <c r="C10279" t="s">
        <v>1069</v>
      </c>
      <c r="D10279" t="str">
        <f>HYPERLINK("http://service.sap.com/sap/support/notes/1874275","1874275")</f>
        <v>1874275</v>
      </c>
      <c r="E10279">
        <v>3</v>
      </c>
      <c r="F10279" t="s">
        <v>12593</v>
      </c>
    </row>
    <row r="10280" spans="1:6" x14ac:dyDescent="0.25">
      <c r="A10280" t="s">
        <v>13142</v>
      </c>
      <c r="B10280" t="s">
        <v>1068</v>
      </c>
      <c r="C10280" t="s">
        <v>1069</v>
      </c>
      <c r="D10280" t="str">
        <f>HYPERLINK("http://service.sap.com/sap/support/notes/1880920","1880920")</f>
        <v>1880920</v>
      </c>
      <c r="E10280">
        <v>1</v>
      </c>
      <c r="F10280" t="s">
        <v>12592</v>
      </c>
    </row>
    <row r="10281" spans="1:6" x14ac:dyDescent="0.25">
      <c r="A10281" t="s">
        <v>13142</v>
      </c>
      <c r="B10281" t="s">
        <v>1068</v>
      </c>
      <c r="C10281" t="s">
        <v>1069</v>
      </c>
      <c r="D10281" t="str">
        <f>HYPERLINK("http://service.sap.com/sap/support/notes/1891594","1891594")</f>
        <v>1891594</v>
      </c>
      <c r="E10281">
        <v>1</v>
      </c>
      <c r="F10281" t="s">
        <v>12591</v>
      </c>
    </row>
    <row r="10282" spans="1:6" x14ac:dyDescent="0.25">
      <c r="A10282" t="s">
        <v>13142</v>
      </c>
      <c r="B10282" t="s">
        <v>1074</v>
      </c>
      <c r="C10282" t="s">
        <v>1075</v>
      </c>
      <c r="D10282" t="str">
        <f>HYPERLINK("http://service.sap.com/sap/support/notes/1881739","1881739")</f>
        <v>1881739</v>
      </c>
      <c r="E10282">
        <v>1</v>
      </c>
      <c r="F10282" t="s">
        <v>12590</v>
      </c>
    </row>
    <row r="10283" spans="1:6" x14ac:dyDescent="0.25">
      <c r="A10283" t="s">
        <v>13142</v>
      </c>
      <c r="B10283" t="s">
        <v>4745</v>
      </c>
      <c r="C10283" t="s">
        <v>4746</v>
      </c>
      <c r="D10283" t="str">
        <f>HYPERLINK("http://service.sap.com/sap/support/notes/1873174","1873174")</f>
        <v>1873174</v>
      </c>
      <c r="E10283">
        <v>1</v>
      </c>
      <c r="F10283" t="s">
        <v>12589</v>
      </c>
    </row>
    <row r="10284" spans="1:6" x14ac:dyDescent="0.25">
      <c r="A10284" t="s">
        <v>13142</v>
      </c>
      <c r="B10284" t="s">
        <v>1079</v>
      </c>
      <c r="C10284" t="s">
        <v>1080</v>
      </c>
    </row>
    <row r="10285" spans="1:6" x14ac:dyDescent="0.25">
      <c r="A10285" t="s">
        <v>13142</v>
      </c>
      <c r="B10285" t="s">
        <v>1081</v>
      </c>
      <c r="C10285" t="s">
        <v>1082</v>
      </c>
      <c r="D10285" t="str">
        <f>HYPERLINK("http://service.sap.com/sap/support/notes/1868080","1868080")</f>
        <v>1868080</v>
      </c>
      <c r="E10285">
        <v>2</v>
      </c>
      <c r="F10285" t="s">
        <v>12588</v>
      </c>
    </row>
    <row r="10286" spans="1:6" x14ac:dyDescent="0.25">
      <c r="A10286" t="s">
        <v>13142</v>
      </c>
      <c r="B10286" t="s">
        <v>1081</v>
      </c>
      <c r="C10286" t="s">
        <v>1082</v>
      </c>
      <c r="D10286" t="str">
        <f>HYPERLINK("http://service.sap.com/sap/support/notes/1868151","1868151")</f>
        <v>1868151</v>
      </c>
      <c r="E10286">
        <v>1</v>
      </c>
      <c r="F10286" t="s">
        <v>12587</v>
      </c>
    </row>
    <row r="10287" spans="1:6" x14ac:dyDescent="0.25">
      <c r="A10287" t="s">
        <v>13142</v>
      </c>
      <c r="B10287" t="s">
        <v>1081</v>
      </c>
      <c r="C10287" t="s">
        <v>1082</v>
      </c>
      <c r="D10287" t="str">
        <f>HYPERLINK("http://service.sap.com/sap/support/notes/1873054","1873054")</f>
        <v>1873054</v>
      </c>
      <c r="E10287">
        <v>1</v>
      </c>
      <c r="F10287" t="s">
        <v>12586</v>
      </c>
    </row>
    <row r="10288" spans="1:6" x14ac:dyDescent="0.25">
      <c r="A10288" t="s">
        <v>13142</v>
      </c>
      <c r="B10288" t="s">
        <v>1081</v>
      </c>
      <c r="C10288" t="s">
        <v>1082</v>
      </c>
      <c r="D10288" t="str">
        <f>HYPERLINK("http://service.sap.com/sap/support/notes/1878028","1878028")</f>
        <v>1878028</v>
      </c>
      <c r="E10288">
        <v>2</v>
      </c>
      <c r="F10288" t="s">
        <v>12585</v>
      </c>
    </row>
    <row r="10289" spans="1:6" x14ac:dyDescent="0.25">
      <c r="A10289" t="s">
        <v>13142</v>
      </c>
      <c r="B10289" t="s">
        <v>1081</v>
      </c>
      <c r="C10289" t="s">
        <v>1082</v>
      </c>
      <c r="D10289" t="str">
        <f>HYPERLINK("http://service.sap.com/sap/support/notes/1880453","1880453")</f>
        <v>1880453</v>
      </c>
      <c r="E10289">
        <v>1</v>
      </c>
      <c r="F10289" t="s">
        <v>12584</v>
      </c>
    </row>
    <row r="10290" spans="1:6" x14ac:dyDescent="0.25">
      <c r="A10290" t="s">
        <v>13142</v>
      </c>
      <c r="B10290" t="s">
        <v>1081</v>
      </c>
      <c r="C10290" t="s">
        <v>1082</v>
      </c>
      <c r="D10290" t="str">
        <f>HYPERLINK("http://service.sap.com/sap/support/notes/1901715","1901715")</f>
        <v>1901715</v>
      </c>
      <c r="E10290">
        <v>4</v>
      </c>
      <c r="F10290" t="s">
        <v>12583</v>
      </c>
    </row>
    <row r="10291" spans="1:6" x14ac:dyDescent="0.25">
      <c r="A10291" t="s">
        <v>13142</v>
      </c>
      <c r="B10291" t="s">
        <v>1081</v>
      </c>
      <c r="C10291" t="s">
        <v>1082</v>
      </c>
      <c r="D10291" t="str">
        <f>HYPERLINK("http://service.sap.com/sap/support/notes/1901832","1901832")</f>
        <v>1901832</v>
      </c>
      <c r="E10291">
        <v>1</v>
      </c>
      <c r="F10291" t="s">
        <v>12582</v>
      </c>
    </row>
    <row r="10292" spans="1:6" x14ac:dyDescent="0.25">
      <c r="A10292" t="s">
        <v>13142</v>
      </c>
      <c r="B10292" t="s">
        <v>1096</v>
      </c>
      <c r="C10292" t="s">
        <v>1097</v>
      </c>
      <c r="D10292" t="str">
        <f>HYPERLINK("http://service.sap.com/sap/support/notes/1836003","1836003")</f>
        <v>1836003</v>
      </c>
      <c r="E10292">
        <v>3</v>
      </c>
      <c r="F10292" t="s">
        <v>12581</v>
      </c>
    </row>
    <row r="10293" spans="1:6" x14ac:dyDescent="0.25">
      <c r="A10293" t="s">
        <v>13142</v>
      </c>
      <c r="B10293" t="s">
        <v>1096</v>
      </c>
      <c r="C10293" t="s">
        <v>1097</v>
      </c>
      <c r="D10293" t="str">
        <f>HYPERLINK("http://service.sap.com/sap/support/notes/1839790","1839790")</f>
        <v>1839790</v>
      </c>
      <c r="E10293">
        <v>2</v>
      </c>
      <c r="F10293" t="s">
        <v>12580</v>
      </c>
    </row>
    <row r="10294" spans="1:6" x14ac:dyDescent="0.25">
      <c r="A10294" t="s">
        <v>13142</v>
      </c>
      <c r="B10294" t="s">
        <v>1096</v>
      </c>
      <c r="C10294" t="s">
        <v>1097</v>
      </c>
      <c r="D10294" t="str">
        <f>HYPERLINK("http://service.sap.com/sap/support/notes/1863577","1863577")</f>
        <v>1863577</v>
      </c>
      <c r="E10294">
        <v>3</v>
      </c>
      <c r="F10294" t="s">
        <v>12579</v>
      </c>
    </row>
    <row r="10295" spans="1:6" x14ac:dyDescent="0.25">
      <c r="A10295" t="s">
        <v>13142</v>
      </c>
      <c r="B10295" t="s">
        <v>1096</v>
      </c>
      <c r="C10295" t="s">
        <v>1097</v>
      </c>
      <c r="D10295" t="str">
        <f>HYPERLINK("http://service.sap.com/sap/support/notes/1864075","1864075")</f>
        <v>1864075</v>
      </c>
      <c r="E10295">
        <v>2</v>
      </c>
      <c r="F10295" t="s">
        <v>12578</v>
      </c>
    </row>
    <row r="10296" spans="1:6" x14ac:dyDescent="0.25">
      <c r="A10296" t="s">
        <v>13142</v>
      </c>
      <c r="B10296" t="s">
        <v>1096</v>
      </c>
      <c r="C10296" t="s">
        <v>1097</v>
      </c>
      <c r="D10296" t="str">
        <f>HYPERLINK("http://service.sap.com/sap/support/notes/1868129","1868129")</f>
        <v>1868129</v>
      </c>
      <c r="E10296">
        <v>1</v>
      </c>
      <c r="F10296" t="s">
        <v>12577</v>
      </c>
    </row>
    <row r="10297" spans="1:6" x14ac:dyDescent="0.25">
      <c r="A10297" t="s">
        <v>13142</v>
      </c>
      <c r="B10297" t="s">
        <v>1096</v>
      </c>
      <c r="C10297" t="s">
        <v>1097</v>
      </c>
      <c r="D10297" t="str">
        <f>HYPERLINK("http://service.sap.com/sap/support/notes/1869141","1869141")</f>
        <v>1869141</v>
      </c>
      <c r="E10297">
        <v>1</v>
      </c>
      <c r="F10297" t="s">
        <v>12576</v>
      </c>
    </row>
    <row r="10298" spans="1:6" x14ac:dyDescent="0.25">
      <c r="A10298" t="s">
        <v>13142</v>
      </c>
      <c r="B10298" t="s">
        <v>1096</v>
      </c>
      <c r="C10298" t="s">
        <v>1097</v>
      </c>
      <c r="D10298" t="str">
        <f>HYPERLINK("http://service.sap.com/sap/support/notes/1869323","1869323")</f>
        <v>1869323</v>
      </c>
      <c r="E10298">
        <v>1</v>
      </c>
      <c r="F10298" t="s">
        <v>12575</v>
      </c>
    </row>
    <row r="10299" spans="1:6" x14ac:dyDescent="0.25">
      <c r="A10299" t="s">
        <v>13142</v>
      </c>
      <c r="B10299" t="s">
        <v>1096</v>
      </c>
      <c r="C10299" t="s">
        <v>1097</v>
      </c>
      <c r="D10299" t="str">
        <f>HYPERLINK("http://service.sap.com/sap/support/notes/1870443","1870443")</f>
        <v>1870443</v>
      </c>
      <c r="E10299">
        <v>1</v>
      </c>
      <c r="F10299" t="s">
        <v>12574</v>
      </c>
    </row>
    <row r="10300" spans="1:6" x14ac:dyDescent="0.25">
      <c r="A10300" t="s">
        <v>13142</v>
      </c>
      <c r="B10300" t="s">
        <v>1096</v>
      </c>
      <c r="C10300" t="s">
        <v>1097</v>
      </c>
      <c r="D10300" t="str">
        <f>HYPERLINK("http://service.sap.com/sap/support/notes/1884015","1884015")</f>
        <v>1884015</v>
      </c>
      <c r="E10300">
        <v>1</v>
      </c>
      <c r="F10300" t="s">
        <v>12573</v>
      </c>
    </row>
    <row r="10301" spans="1:6" x14ac:dyDescent="0.25">
      <c r="A10301" t="s">
        <v>13142</v>
      </c>
      <c r="B10301" t="s">
        <v>1096</v>
      </c>
      <c r="C10301" t="s">
        <v>1097</v>
      </c>
      <c r="D10301" t="str">
        <f>HYPERLINK("http://service.sap.com/sap/support/notes/1885352","1885352")</f>
        <v>1885352</v>
      </c>
      <c r="E10301">
        <v>1</v>
      </c>
      <c r="F10301" t="s">
        <v>12572</v>
      </c>
    </row>
    <row r="10302" spans="1:6" x14ac:dyDescent="0.25">
      <c r="A10302" t="s">
        <v>13142</v>
      </c>
      <c r="B10302" t="s">
        <v>1096</v>
      </c>
      <c r="C10302" t="s">
        <v>1097</v>
      </c>
      <c r="D10302" t="str">
        <f>HYPERLINK("http://service.sap.com/sap/support/notes/1886379","1886379")</f>
        <v>1886379</v>
      </c>
      <c r="E10302">
        <v>1</v>
      </c>
      <c r="F10302" t="s">
        <v>12571</v>
      </c>
    </row>
    <row r="10303" spans="1:6" x14ac:dyDescent="0.25">
      <c r="A10303" t="s">
        <v>13142</v>
      </c>
      <c r="B10303" t="s">
        <v>1096</v>
      </c>
      <c r="C10303" t="s">
        <v>1097</v>
      </c>
      <c r="D10303" t="str">
        <f>HYPERLINK("http://service.sap.com/sap/support/notes/1889577","1889577")</f>
        <v>1889577</v>
      </c>
      <c r="E10303">
        <v>1</v>
      </c>
      <c r="F10303" t="s">
        <v>12570</v>
      </c>
    </row>
    <row r="10304" spans="1:6" x14ac:dyDescent="0.25">
      <c r="A10304" t="s">
        <v>13142</v>
      </c>
      <c r="B10304" t="s">
        <v>1096</v>
      </c>
      <c r="C10304" t="s">
        <v>1097</v>
      </c>
      <c r="D10304" t="str">
        <f>HYPERLINK("http://service.sap.com/sap/support/notes/1894525","1894525")</f>
        <v>1894525</v>
      </c>
      <c r="E10304">
        <v>1</v>
      </c>
      <c r="F10304" t="s">
        <v>12569</v>
      </c>
    </row>
    <row r="10305" spans="1:6" x14ac:dyDescent="0.25">
      <c r="A10305" t="s">
        <v>13142</v>
      </c>
      <c r="B10305" t="s">
        <v>1108</v>
      </c>
      <c r="C10305" t="s">
        <v>151</v>
      </c>
    </row>
    <row r="10306" spans="1:6" x14ac:dyDescent="0.25">
      <c r="A10306" t="s">
        <v>13142</v>
      </c>
      <c r="B10306" t="s">
        <v>1110</v>
      </c>
      <c r="C10306" t="s">
        <v>1111</v>
      </c>
      <c r="D10306" t="str">
        <f>HYPERLINK("http://service.sap.com/sap/support/notes/1843641","1843641")</f>
        <v>1843641</v>
      </c>
      <c r="E10306">
        <v>3</v>
      </c>
      <c r="F10306" t="s">
        <v>12568</v>
      </c>
    </row>
    <row r="10307" spans="1:6" x14ac:dyDescent="0.25">
      <c r="A10307" t="s">
        <v>13142</v>
      </c>
      <c r="B10307" t="s">
        <v>1110</v>
      </c>
      <c r="C10307" t="s">
        <v>1111</v>
      </c>
      <c r="D10307" t="str">
        <f>HYPERLINK("http://service.sap.com/sap/support/notes/1861035","1861035")</f>
        <v>1861035</v>
      </c>
      <c r="E10307">
        <v>1</v>
      </c>
      <c r="F10307" t="s">
        <v>12567</v>
      </c>
    </row>
    <row r="10308" spans="1:6" x14ac:dyDescent="0.25">
      <c r="A10308" t="s">
        <v>13142</v>
      </c>
      <c r="B10308" t="s">
        <v>1110</v>
      </c>
      <c r="C10308" t="s">
        <v>1111</v>
      </c>
      <c r="D10308" t="str">
        <f>HYPERLINK("http://service.sap.com/sap/support/notes/1863875","1863875")</f>
        <v>1863875</v>
      </c>
      <c r="E10308">
        <v>1</v>
      </c>
      <c r="F10308" t="s">
        <v>12566</v>
      </c>
    </row>
    <row r="10309" spans="1:6" x14ac:dyDescent="0.25">
      <c r="A10309" t="s">
        <v>13142</v>
      </c>
      <c r="B10309" t="s">
        <v>1110</v>
      </c>
      <c r="C10309" t="s">
        <v>1111</v>
      </c>
      <c r="D10309" t="str">
        <f>HYPERLINK("http://service.sap.com/sap/support/notes/1864049","1864049")</f>
        <v>1864049</v>
      </c>
      <c r="E10309">
        <v>2</v>
      </c>
      <c r="F10309" t="s">
        <v>12565</v>
      </c>
    </row>
    <row r="10310" spans="1:6" x14ac:dyDescent="0.25">
      <c r="A10310" t="s">
        <v>13142</v>
      </c>
      <c r="B10310" t="s">
        <v>1110</v>
      </c>
      <c r="C10310" t="s">
        <v>1111</v>
      </c>
      <c r="D10310" t="str">
        <f>HYPERLINK("http://service.sap.com/sap/support/notes/1865349","1865349")</f>
        <v>1865349</v>
      </c>
      <c r="E10310">
        <v>1</v>
      </c>
      <c r="F10310" t="s">
        <v>12564</v>
      </c>
    </row>
    <row r="10311" spans="1:6" x14ac:dyDescent="0.25">
      <c r="A10311" t="s">
        <v>13142</v>
      </c>
      <c r="B10311" t="s">
        <v>1110</v>
      </c>
      <c r="C10311" t="s">
        <v>1111</v>
      </c>
      <c r="D10311" t="str">
        <f>HYPERLINK("http://service.sap.com/sap/support/notes/1867862","1867862")</f>
        <v>1867862</v>
      </c>
      <c r="E10311">
        <v>1</v>
      </c>
      <c r="F10311" t="s">
        <v>12563</v>
      </c>
    </row>
    <row r="10312" spans="1:6" x14ac:dyDescent="0.25">
      <c r="A10312" t="s">
        <v>13142</v>
      </c>
      <c r="B10312" t="s">
        <v>1110</v>
      </c>
      <c r="C10312" t="s">
        <v>1111</v>
      </c>
      <c r="D10312" t="str">
        <f>HYPERLINK("http://service.sap.com/sap/support/notes/1869725","1869725")</f>
        <v>1869725</v>
      </c>
      <c r="E10312">
        <v>2</v>
      </c>
      <c r="F10312" t="s">
        <v>12562</v>
      </c>
    </row>
    <row r="10313" spans="1:6" x14ac:dyDescent="0.25">
      <c r="A10313" t="s">
        <v>13142</v>
      </c>
      <c r="B10313" t="s">
        <v>1110</v>
      </c>
      <c r="C10313" t="s">
        <v>1111</v>
      </c>
      <c r="D10313" t="str">
        <f>HYPERLINK("http://service.sap.com/sap/support/notes/1870487","1870487")</f>
        <v>1870487</v>
      </c>
      <c r="E10313">
        <v>1</v>
      </c>
      <c r="F10313" t="s">
        <v>12561</v>
      </c>
    </row>
    <row r="10314" spans="1:6" x14ac:dyDescent="0.25">
      <c r="A10314" t="s">
        <v>13142</v>
      </c>
      <c r="B10314" t="s">
        <v>1110</v>
      </c>
      <c r="C10314" t="s">
        <v>1111</v>
      </c>
      <c r="D10314" t="str">
        <f>HYPERLINK("http://service.sap.com/sap/support/notes/1872345","1872345")</f>
        <v>1872345</v>
      </c>
      <c r="E10314">
        <v>2</v>
      </c>
      <c r="F10314" t="s">
        <v>12560</v>
      </c>
    </row>
    <row r="10315" spans="1:6" x14ac:dyDescent="0.25">
      <c r="A10315" t="s">
        <v>13142</v>
      </c>
      <c r="B10315" t="s">
        <v>1110</v>
      </c>
      <c r="C10315" t="s">
        <v>1111</v>
      </c>
      <c r="D10315" t="str">
        <f>HYPERLINK("http://service.sap.com/sap/support/notes/1879688","1879688")</f>
        <v>1879688</v>
      </c>
      <c r="E10315">
        <v>1</v>
      </c>
      <c r="F10315" t="s">
        <v>12559</v>
      </c>
    </row>
    <row r="10316" spans="1:6" x14ac:dyDescent="0.25">
      <c r="A10316" t="s">
        <v>13142</v>
      </c>
      <c r="B10316" t="s">
        <v>1110</v>
      </c>
      <c r="C10316" t="s">
        <v>1111</v>
      </c>
      <c r="D10316" t="str">
        <f>HYPERLINK("http://service.sap.com/sap/support/notes/1881570","1881570")</f>
        <v>1881570</v>
      </c>
      <c r="E10316">
        <v>1</v>
      </c>
      <c r="F10316" t="s">
        <v>12558</v>
      </c>
    </row>
    <row r="10317" spans="1:6" x14ac:dyDescent="0.25">
      <c r="A10317" t="s">
        <v>13142</v>
      </c>
      <c r="B10317" t="s">
        <v>1110</v>
      </c>
      <c r="C10317" t="s">
        <v>1111</v>
      </c>
      <c r="D10317" t="str">
        <f>HYPERLINK("http://service.sap.com/sap/support/notes/1897667","1897667")</f>
        <v>1897667</v>
      </c>
      <c r="E10317">
        <v>1</v>
      </c>
      <c r="F10317" t="s">
        <v>12557</v>
      </c>
    </row>
    <row r="10318" spans="1:6" x14ac:dyDescent="0.25">
      <c r="A10318" t="s">
        <v>13142</v>
      </c>
      <c r="B10318" t="s">
        <v>1110</v>
      </c>
      <c r="C10318" t="s">
        <v>1111</v>
      </c>
      <c r="D10318" t="str">
        <f>HYPERLINK("http://service.sap.com/sap/support/notes/1902511","1902511")</f>
        <v>1902511</v>
      </c>
      <c r="E10318">
        <v>1</v>
      </c>
      <c r="F10318" t="s">
        <v>12556</v>
      </c>
    </row>
    <row r="10319" spans="1:6" x14ac:dyDescent="0.25">
      <c r="A10319" t="s">
        <v>13142</v>
      </c>
      <c r="B10319" t="s">
        <v>1128</v>
      </c>
      <c r="C10319" t="s">
        <v>1129</v>
      </c>
      <c r="D10319" t="str">
        <f>HYPERLINK("http://service.sap.com/sap/support/notes/1833424","1833424")</f>
        <v>1833424</v>
      </c>
      <c r="E10319">
        <v>3</v>
      </c>
      <c r="F10319" t="s">
        <v>12555</v>
      </c>
    </row>
    <row r="10320" spans="1:6" x14ac:dyDescent="0.25">
      <c r="A10320" t="s">
        <v>13142</v>
      </c>
      <c r="B10320" t="s">
        <v>1139</v>
      </c>
      <c r="C10320" t="s">
        <v>971</v>
      </c>
      <c r="D10320" t="str">
        <f>HYPERLINK("http://service.sap.com/sap/support/notes/1857145","1857145")</f>
        <v>1857145</v>
      </c>
      <c r="E10320">
        <v>1</v>
      </c>
      <c r="F10320" t="s">
        <v>12554</v>
      </c>
    </row>
    <row r="10321" spans="1:6" x14ac:dyDescent="0.25">
      <c r="A10321" t="s">
        <v>13142</v>
      </c>
      <c r="B10321" t="s">
        <v>1139</v>
      </c>
      <c r="C10321" t="s">
        <v>971</v>
      </c>
      <c r="D10321" t="str">
        <f>HYPERLINK("http://service.sap.com/sap/support/notes/1872564","1872564")</f>
        <v>1872564</v>
      </c>
      <c r="E10321">
        <v>3</v>
      </c>
      <c r="F10321" t="s">
        <v>12553</v>
      </c>
    </row>
    <row r="10322" spans="1:6" x14ac:dyDescent="0.25">
      <c r="A10322" t="s">
        <v>13142</v>
      </c>
      <c r="B10322" t="s">
        <v>1139</v>
      </c>
      <c r="C10322" t="s">
        <v>971</v>
      </c>
      <c r="D10322" t="str">
        <f>HYPERLINK("http://service.sap.com/sap/support/notes/1874219","1874219")</f>
        <v>1874219</v>
      </c>
      <c r="E10322">
        <v>1</v>
      </c>
      <c r="F10322" t="s">
        <v>12552</v>
      </c>
    </row>
    <row r="10323" spans="1:6" x14ac:dyDescent="0.25">
      <c r="A10323" t="s">
        <v>13142</v>
      </c>
      <c r="B10323" t="s">
        <v>1139</v>
      </c>
      <c r="C10323" t="s">
        <v>971</v>
      </c>
      <c r="D10323" t="str">
        <f>HYPERLINK("http://service.sap.com/sap/support/notes/1875681","1875681")</f>
        <v>1875681</v>
      </c>
      <c r="E10323">
        <v>1</v>
      </c>
      <c r="F10323" t="s">
        <v>12551</v>
      </c>
    </row>
    <row r="10324" spans="1:6" x14ac:dyDescent="0.25">
      <c r="A10324" t="s">
        <v>13142</v>
      </c>
      <c r="B10324" t="s">
        <v>1139</v>
      </c>
      <c r="C10324" t="s">
        <v>971</v>
      </c>
      <c r="D10324" t="str">
        <f>HYPERLINK("http://service.sap.com/sap/support/notes/1876483","1876483")</f>
        <v>1876483</v>
      </c>
      <c r="E10324">
        <v>2</v>
      </c>
      <c r="F10324" t="s">
        <v>12550</v>
      </c>
    </row>
    <row r="10325" spans="1:6" x14ac:dyDescent="0.25">
      <c r="A10325" t="s">
        <v>13142</v>
      </c>
      <c r="B10325" t="s">
        <v>1139</v>
      </c>
      <c r="C10325" t="s">
        <v>971</v>
      </c>
      <c r="D10325" t="str">
        <f>HYPERLINK("http://service.sap.com/sap/support/notes/1878575","1878575")</f>
        <v>1878575</v>
      </c>
      <c r="E10325">
        <v>1</v>
      </c>
      <c r="F10325" t="s">
        <v>12549</v>
      </c>
    </row>
    <row r="10326" spans="1:6" x14ac:dyDescent="0.25">
      <c r="A10326" t="s">
        <v>13142</v>
      </c>
      <c r="B10326" t="s">
        <v>1150</v>
      </c>
      <c r="C10326" t="s">
        <v>1151</v>
      </c>
      <c r="D10326" t="str">
        <f>HYPERLINK("http://service.sap.com/sap/support/notes/1778001","1778001")</f>
        <v>1778001</v>
      </c>
      <c r="E10326">
        <v>3</v>
      </c>
      <c r="F10326" t="s">
        <v>12548</v>
      </c>
    </row>
    <row r="10327" spans="1:6" x14ac:dyDescent="0.25">
      <c r="A10327" t="s">
        <v>13142</v>
      </c>
      <c r="B10327" t="s">
        <v>1150</v>
      </c>
      <c r="C10327" t="s">
        <v>1151</v>
      </c>
      <c r="D10327" t="str">
        <f>HYPERLINK("http://service.sap.com/sap/support/notes/1793362","1793362")</f>
        <v>1793362</v>
      </c>
      <c r="E10327">
        <v>2</v>
      </c>
      <c r="F10327" t="s">
        <v>12547</v>
      </c>
    </row>
    <row r="10328" spans="1:6" x14ac:dyDescent="0.25">
      <c r="A10328" t="s">
        <v>13142</v>
      </c>
      <c r="B10328" t="s">
        <v>1150</v>
      </c>
      <c r="C10328" t="s">
        <v>1151</v>
      </c>
      <c r="D10328" t="str">
        <f>HYPERLINK("http://service.sap.com/sap/support/notes/1845209","1845209")</f>
        <v>1845209</v>
      </c>
      <c r="E10328">
        <v>9</v>
      </c>
      <c r="F10328" t="s">
        <v>9416</v>
      </c>
    </row>
    <row r="10329" spans="1:6" x14ac:dyDescent="0.25">
      <c r="A10329" t="s">
        <v>13142</v>
      </c>
      <c r="B10329" t="s">
        <v>1150</v>
      </c>
      <c r="C10329" t="s">
        <v>1151</v>
      </c>
      <c r="D10329" t="str">
        <f>HYPERLINK("http://service.sap.com/sap/support/notes/1856376","1856376")</f>
        <v>1856376</v>
      </c>
      <c r="E10329">
        <v>3</v>
      </c>
      <c r="F10329" t="s">
        <v>12546</v>
      </c>
    </row>
    <row r="10330" spans="1:6" x14ac:dyDescent="0.25">
      <c r="A10330" t="s">
        <v>13142</v>
      </c>
      <c r="B10330" t="s">
        <v>1150</v>
      </c>
      <c r="C10330" t="s">
        <v>1151</v>
      </c>
      <c r="D10330" t="str">
        <f>HYPERLINK("http://service.sap.com/sap/support/notes/1858398","1858398")</f>
        <v>1858398</v>
      </c>
      <c r="E10330">
        <v>1</v>
      </c>
      <c r="F10330" t="s">
        <v>12545</v>
      </c>
    </row>
    <row r="10331" spans="1:6" x14ac:dyDescent="0.25">
      <c r="A10331" t="s">
        <v>13142</v>
      </c>
      <c r="B10331" t="s">
        <v>1150</v>
      </c>
      <c r="C10331" t="s">
        <v>1151</v>
      </c>
      <c r="D10331" t="str">
        <f>HYPERLINK("http://service.sap.com/sap/support/notes/1861569","1861569")</f>
        <v>1861569</v>
      </c>
      <c r="E10331">
        <v>4</v>
      </c>
      <c r="F10331" t="s">
        <v>12544</v>
      </c>
    </row>
    <row r="10332" spans="1:6" x14ac:dyDescent="0.25">
      <c r="A10332" t="s">
        <v>13142</v>
      </c>
      <c r="B10332" t="s">
        <v>1150</v>
      </c>
      <c r="C10332" t="s">
        <v>1151</v>
      </c>
      <c r="D10332" t="str">
        <f>HYPERLINK("http://service.sap.com/sap/support/notes/1868787","1868787")</f>
        <v>1868787</v>
      </c>
      <c r="E10332">
        <v>2</v>
      </c>
      <c r="F10332" t="s">
        <v>12543</v>
      </c>
    </row>
    <row r="10333" spans="1:6" x14ac:dyDescent="0.25">
      <c r="A10333" t="s">
        <v>13142</v>
      </c>
      <c r="B10333" t="s">
        <v>1150</v>
      </c>
      <c r="C10333" t="s">
        <v>1151</v>
      </c>
      <c r="D10333" t="str">
        <f>HYPERLINK("http://service.sap.com/sap/support/notes/1870995","1870995")</f>
        <v>1870995</v>
      </c>
      <c r="E10333">
        <v>10</v>
      </c>
      <c r="F10333" t="s">
        <v>12542</v>
      </c>
    </row>
    <row r="10334" spans="1:6" x14ac:dyDescent="0.25">
      <c r="A10334" t="s">
        <v>13142</v>
      </c>
      <c r="B10334" t="s">
        <v>1150</v>
      </c>
      <c r="C10334" t="s">
        <v>1151</v>
      </c>
      <c r="D10334" t="str">
        <f>HYPERLINK("http://service.sap.com/sap/support/notes/1871960","1871960")</f>
        <v>1871960</v>
      </c>
      <c r="E10334">
        <v>1</v>
      </c>
    </row>
    <row r="10335" spans="1:6" x14ac:dyDescent="0.25">
      <c r="A10335" t="s">
        <v>13142</v>
      </c>
      <c r="B10335" t="s">
        <v>1150</v>
      </c>
      <c r="C10335" t="s">
        <v>1151</v>
      </c>
      <c r="D10335" t="str">
        <f>HYPERLINK("http://service.sap.com/sap/support/notes/1873680","1873680")</f>
        <v>1873680</v>
      </c>
      <c r="E10335">
        <v>1</v>
      </c>
    </row>
    <row r="10336" spans="1:6" x14ac:dyDescent="0.25">
      <c r="A10336" t="s">
        <v>13142</v>
      </c>
      <c r="B10336" t="s">
        <v>1150</v>
      </c>
      <c r="C10336" t="s">
        <v>1151</v>
      </c>
      <c r="D10336" t="str">
        <f>HYPERLINK("http://service.sap.com/sap/support/notes/1874119","1874119")</f>
        <v>1874119</v>
      </c>
      <c r="E10336">
        <v>5</v>
      </c>
      <c r="F10336" t="s">
        <v>12541</v>
      </c>
    </row>
    <row r="10337" spans="1:6" x14ac:dyDescent="0.25">
      <c r="A10337" t="s">
        <v>13142</v>
      </c>
      <c r="B10337" t="s">
        <v>1150</v>
      </c>
      <c r="C10337" t="s">
        <v>1151</v>
      </c>
      <c r="D10337" t="str">
        <f>HYPERLINK("http://service.sap.com/sap/support/notes/1874266","1874266")</f>
        <v>1874266</v>
      </c>
      <c r="E10337">
        <v>2</v>
      </c>
      <c r="F10337" t="s">
        <v>12540</v>
      </c>
    </row>
    <row r="10338" spans="1:6" x14ac:dyDescent="0.25">
      <c r="A10338" t="s">
        <v>13142</v>
      </c>
      <c r="B10338" t="s">
        <v>1150</v>
      </c>
      <c r="C10338" t="s">
        <v>1151</v>
      </c>
      <c r="D10338" t="str">
        <f>HYPERLINK("http://service.sap.com/sap/support/notes/1880631","1880631")</f>
        <v>1880631</v>
      </c>
      <c r="E10338">
        <v>4</v>
      </c>
      <c r="F10338" t="s">
        <v>12539</v>
      </c>
    </row>
    <row r="10339" spans="1:6" x14ac:dyDescent="0.25">
      <c r="A10339" t="s">
        <v>13142</v>
      </c>
      <c r="B10339" t="s">
        <v>1150</v>
      </c>
      <c r="C10339" t="s">
        <v>1151</v>
      </c>
      <c r="D10339" t="str">
        <f>HYPERLINK("http://service.sap.com/sap/support/notes/1881871","1881871")</f>
        <v>1881871</v>
      </c>
      <c r="E10339">
        <v>2</v>
      </c>
      <c r="F10339" t="s">
        <v>12538</v>
      </c>
    </row>
    <row r="10340" spans="1:6" x14ac:dyDescent="0.25">
      <c r="A10340" t="s">
        <v>13142</v>
      </c>
      <c r="B10340" t="s">
        <v>1150</v>
      </c>
      <c r="C10340" t="s">
        <v>1151</v>
      </c>
      <c r="D10340" t="str">
        <f>HYPERLINK("http://service.sap.com/sap/support/notes/1885933","1885933")</f>
        <v>1885933</v>
      </c>
      <c r="E10340">
        <v>3</v>
      </c>
    </row>
    <row r="10341" spans="1:6" x14ac:dyDescent="0.25">
      <c r="A10341" t="s">
        <v>13142</v>
      </c>
      <c r="B10341" t="s">
        <v>1150</v>
      </c>
      <c r="C10341" t="s">
        <v>1151</v>
      </c>
      <c r="D10341" t="str">
        <f>HYPERLINK("http://service.sap.com/sap/support/notes/1886020","1886020")</f>
        <v>1886020</v>
      </c>
      <c r="E10341">
        <v>3</v>
      </c>
      <c r="F10341" t="s">
        <v>12537</v>
      </c>
    </row>
    <row r="10342" spans="1:6" x14ac:dyDescent="0.25">
      <c r="A10342" t="s">
        <v>13142</v>
      </c>
      <c r="B10342" t="s">
        <v>1150</v>
      </c>
      <c r="C10342" t="s">
        <v>1151</v>
      </c>
      <c r="D10342" t="str">
        <f>HYPERLINK("http://service.sap.com/sap/support/notes/1886654","1886654")</f>
        <v>1886654</v>
      </c>
      <c r="E10342">
        <v>2</v>
      </c>
      <c r="F10342" t="s">
        <v>12536</v>
      </c>
    </row>
    <row r="10343" spans="1:6" x14ac:dyDescent="0.25">
      <c r="A10343" t="s">
        <v>13142</v>
      </c>
      <c r="B10343" t="s">
        <v>1150</v>
      </c>
      <c r="C10343" t="s">
        <v>1151</v>
      </c>
      <c r="D10343" t="str">
        <f>HYPERLINK("http://service.sap.com/sap/support/notes/1887284","1887284")</f>
        <v>1887284</v>
      </c>
      <c r="E10343">
        <v>3</v>
      </c>
      <c r="F10343" t="s">
        <v>12535</v>
      </c>
    </row>
    <row r="10344" spans="1:6" x14ac:dyDescent="0.25">
      <c r="A10344" t="s">
        <v>13142</v>
      </c>
      <c r="B10344" t="s">
        <v>1150</v>
      </c>
      <c r="C10344" t="s">
        <v>1151</v>
      </c>
      <c r="D10344" t="str">
        <f>HYPERLINK("http://service.sap.com/sap/support/notes/1888583","1888583")</f>
        <v>1888583</v>
      </c>
      <c r="E10344">
        <v>3</v>
      </c>
      <c r="F10344" t="s">
        <v>12534</v>
      </c>
    </row>
    <row r="10345" spans="1:6" x14ac:dyDescent="0.25">
      <c r="A10345" t="s">
        <v>13142</v>
      </c>
      <c r="B10345" t="s">
        <v>1150</v>
      </c>
      <c r="C10345" t="s">
        <v>1151</v>
      </c>
      <c r="D10345" t="str">
        <f>HYPERLINK("http://service.sap.com/sap/support/notes/1890912","1890912")</f>
        <v>1890912</v>
      </c>
      <c r="E10345">
        <v>2</v>
      </c>
      <c r="F10345" t="s">
        <v>12533</v>
      </c>
    </row>
    <row r="10346" spans="1:6" x14ac:dyDescent="0.25">
      <c r="A10346" t="s">
        <v>13142</v>
      </c>
      <c r="B10346" t="s">
        <v>1150</v>
      </c>
      <c r="C10346" t="s">
        <v>1151</v>
      </c>
      <c r="D10346" t="str">
        <f>HYPERLINK("http://service.sap.com/sap/support/notes/1891896","1891896")</f>
        <v>1891896</v>
      </c>
      <c r="E10346">
        <v>2</v>
      </c>
      <c r="F10346" t="s">
        <v>12532</v>
      </c>
    </row>
    <row r="10347" spans="1:6" x14ac:dyDescent="0.25">
      <c r="A10347" t="s">
        <v>13142</v>
      </c>
      <c r="B10347" t="s">
        <v>1150</v>
      </c>
      <c r="C10347" t="s">
        <v>1151</v>
      </c>
      <c r="D10347" t="str">
        <f>HYPERLINK("http://service.sap.com/sap/support/notes/1893357","1893357")</f>
        <v>1893357</v>
      </c>
      <c r="E10347">
        <v>1</v>
      </c>
      <c r="F10347" t="s">
        <v>12531</v>
      </c>
    </row>
    <row r="10348" spans="1:6" x14ac:dyDescent="0.25">
      <c r="A10348" t="s">
        <v>13142</v>
      </c>
      <c r="B10348" t="s">
        <v>1150</v>
      </c>
      <c r="C10348" t="s">
        <v>1151</v>
      </c>
      <c r="D10348" t="str">
        <f>HYPERLINK("http://service.sap.com/sap/support/notes/1893796","1893796")</f>
        <v>1893796</v>
      </c>
      <c r="E10348">
        <v>3</v>
      </c>
      <c r="F10348" t="s">
        <v>12530</v>
      </c>
    </row>
    <row r="10349" spans="1:6" x14ac:dyDescent="0.25">
      <c r="A10349" t="s">
        <v>13142</v>
      </c>
      <c r="B10349" t="s">
        <v>1150</v>
      </c>
      <c r="C10349" t="s">
        <v>1151</v>
      </c>
      <c r="D10349" t="str">
        <f>HYPERLINK("http://service.sap.com/sap/support/notes/1894018","1894018")</f>
        <v>1894018</v>
      </c>
      <c r="E10349">
        <v>5</v>
      </c>
      <c r="F10349" t="s">
        <v>12529</v>
      </c>
    </row>
    <row r="10350" spans="1:6" x14ac:dyDescent="0.25">
      <c r="A10350" t="s">
        <v>13142</v>
      </c>
      <c r="B10350" t="s">
        <v>1150</v>
      </c>
      <c r="C10350" t="s">
        <v>1151</v>
      </c>
      <c r="D10350" t="str">
        <f>HYPERLINK("http://service.sap.com/sap/support/notes/1900355","1900355")</f>
        <v>1900355</v>
      </c>
      <c r="E10350">
        <v>1</v>
      </c>
      <c r="F10350" t="s">
        <v>12528</v>
      </c>
    </row>
    <row r="10351" spans="1:6" x14ac:dyDescent="0.25">
      <c r="A10351" t="s">
        <v>13142</v>
      </c>
      <c r="B10351" t="s">
        <v>1184</v>
      </c>
      <c r="C10351" t="s">
        <v>1185</v>
      </c>
      <c r="D10351" t="str">
        <f>HYPERLINK("http://service.sap.com/sap/support/notes/1701752","1701752")</f>
        <v>1701752</v>
      </c>
      <c r="E10351">
        <v>7</v>
      </c>
      <c r="F10351" t="s">
        <v>12506</v>
      </c>
    </row>
    <row r="10352" spans="1:6" x14ac:dyDescent="0.25">
      <c r="A10352" t="s">
        <v>13142</v>
      </c>
      <c r="B10352" t="s">
        <v>1184</v>
      </c>
      <c r="C10352" t="s">
        <v>1185</v>
      </c>
      <c r="D10352" t="str">
        <f>HYPERLINK("http://service.sap.com/sap/support/notes/1730094","1730094")</f>
        <v>1730094</v>
      </c>
      <c r="E10352">
        <v>3</v>
      </c>
      <c r="F10352" t="s">
        <v>12527</v>
      </c>
    </row>
    <row r="10353" spans="1:6" x14ac:dyDescent="0.25">
      <c r="A10353" t="s">
        <v>13142</v>
      </c>
      <c r="B10353" t="s">
        <v>1184</v>
      </c>
      <c r="C10353" t="s">
        <v>1185</v>
      </c>
      <c r="D10353" t="str">
        <f>HYPERLINK("http://service.sap.com/sap/support/notes/1786201","1786201")</f>
        <v>1786201</v>
      </c>
      <c r="E10353">
        <v>1</v>
      </c>
      <c r="F10353" t="s">
        <v>12526</v>
      </c>
    </row>
    <row r="10354" spans="1:6" x14ac:dyDescent="0.25">
      <c r="A10354" t="s">
        <v>13142</v>
      </c>
      <c r="B10354" t="s">
        <v>1184</v>
      </c>
      <c r="C10354" t="s">
        <v>1185</v>
      </c>
      <c r="D10354" t="str">
        <f>HYPERLINK("http://service.sap.com/sap/support/notes/1807277","1807277")</f>
        <v>1807277</v>
      </c>
      <c r="E10354">
        <v>6</v>
      </c>
      <c r="F10354" t="s">
        <v>12525</v>
      </c>
    </row>
    <row r="10355" spans="1:6" x14ac:dyDescent="0.25">
      <c r="A10355" t="s">
        <v>13142</v>
      </c>
      <c r="B10355" t="s">
        <v>1184</v>
      </c>
      <c r="C10355" t="s">
        <v>1185</v>
      </c>
      <c r="D10355" t="str">
        <f>HYPERLINK("http://service.sap.com/sap/support/notes/1827386","1827386")</f>
        <v>1827386</v>
      </c>
      <c r="E10355">
        <v>7</v>
      </c>
      <c r="F10355" t="s">
        <v>12524</v>
      </c>
    </row>
    <row r="10356" spans="1:6" x14ac:dyDescent="0.25">
      <c r="A10356" t="s">
        <v>13142</v>
      </c>
      <c r="B10356" t="s">
        <v>1184</v>
      </c>
      <c r="C10356" t="s">
        <v>1185</v>
      </c>
      <c r="D10356" t="str">
        <f>HYPERLINK("http://service.sap.com/sap/support/notes/1830838","1830838")</f>
        <v>1830838</v>
      </c>
      <c r="E10356">
        <v>2</v>
      </c>
      <c r="F10356" t="s">
        <v>12523</v>
      </c>
    </row>
    <row r="10357" spans="1:6" x14ac:dyDescent="0.25">
      <c r="A10357" t="s">
        <v>13142</v>
      </c>
      <c r="B10357" t="s">
        <v>1184</v>
      </c>
      <c r="C10357" t="s">
        <v>1185</v>
      </c>
      <c r="D10357" t="str">
        <f>HYPERLINK("http://service.sap.com/sap/support/notes/1835583","1835583")</f>
        <v>1835583</v>
      </c>
      <c r="E10357">
        <v>2</v>
      </c>
      <c r="F10357" t="s">
        <v>12522</v>
      </c>
    </row>
    <row r="10358" spans="1:6" x14ac:dyDescent="0.25">
      <c r="A10358" t="s">
        <v>13142</v>
      </c>
      <c r="B10358" t="s">
        <v>1184</v>
      </c>
      <c r="C10358" t="s">
        <v>1185</v>
      </c>
      <c r="D10358" t="str">
        <f>HYPERLINK("http://service.sap.com/sap/support/notes/1837234","1837234")</f>
        <v>1837234</v>
      </c>
      <c r="E10358">
        <v>2</v>
      </c>
      <c r="F10358" t="s">
        <v>12521</v>
      </c>
    </row>
    <row r="10359" spans="1:6" x14ac:dyDescent="0.25">
      <c r="A10359" t="s">
        <v>13142</v>
      </c>
      <c r="B10359" t="s">
        <v>1184</v>
      </c>
      <c r="C10359" t="s">
        <v>1185</v>
      </c>
      <c r="D10359" t="str">
        <f>HYPERLINK("http://service.sap.com/sap/support/notes/1851464","1851464")</f>
        <v>1851464</v>
      </c>
      <c r="E10359">
        <v>3</v>
      </c>
      <c r="F10359" t="s">
        <v>12520</v>
      </c>
    </row>
    <row r="10360" spans="1:6" x14ac:dyDescent="0.25">
      <c r="A10360" t="s">
        <v>13142</v>
      </c>
      <c r="B10360" t="s">
        <v>1184</v>
      </c>
      <c r="C10360" t="s">
        <v>1185</v>
      </c>
      <c r="D10360" t="str">
        <f>HYPERLINK("http://service.sap.com/sap/support/notes/1858320","1858320")</f>
        <v>1858320</v>
      </c>
      <c r="E10360">
        <v>4</v>
      </c>
      <c r="F10360" t="s">
        <v>12519</v>
      </c>
    </row>
    <row r="10361" spans="1:6" x14ac:dyDescent="0.25">
      <c r="A10361" t="s">
        <v>13142</v>
      </c>
      <c r="B10361" t="s">
        <v>1184</v>
      </c>
      <c r="C10361" t="s">
        <v>1185</v>
      </c>
      <c r="D10361" t="str">
        <f>HYPERLINK("http://service.sap.com/sap/support/notes/1863061","1863061")</f>
        <v>1863061</v>
      </c>
      <c r="E10361">
        <v>1</v>
      </c>
      <c r="F10361" t="s">
        <v>12518</v>
      </c>
    </row>
    <row r="10362" spans="1:6" x14ac:dyDescent="0.25">
      <c r="A10362" t="s">
        <v>13142</v>
      </c>
      <c r="B10362" t="s">
        <v>1184</v>
      </c>
      <c r="C10362" t="s">
        <v>1185</v>
      </c>
      <c r="D10362" t="str">
        <f>HYPERLINK("http://service.sap.com/sap/support/notes/1863261","1863261")</f>
        <v>1863261</v>
      </c>
      <c r="E10362">
        <v>3</v>
      </c>
      <c r="F10362" t="s">
        <v>12517</v>
      </c>
    </row>
    <row r="10363" spans="1:6" x14ac:dyDescent="0.25">
      <c r="A10363" t="s">
        <v>13142</v>
      </c>
      <c r="B10363" t="s">
        <v>1184</v>
      </c>
      <c r="C10363" t="s">
        <v>1185</v>
      </c>
      <c r="D10363" t="str">
        <f>HYPERLINK("http://service.sap.com/sap/support/notes/1865827","1865827")</f>
        <v>1865827</v>
      </c>
      <c r="E10363">
        <v>2</v>
      </c>
      <c r="F10363" t="s">
        <v>12516</v>
      </c>
    </row>
    <row r="10364" spans="1:6" x14ac:dyDescent="0.25">
      <c r="A10364" t="s">
        <v>13142</v>
      </c>
      <c r="B10364" t="s">
        <v>1184</v>
      </c>
      <c r="C10364" t="s">
        <v>1185</v>
      </c>
      <c r="D10364" t="str">
        <f>HYPERLINK("http://service.sap.com/sap/support/notes/1866233","1866233")</f>
        <v>1866233</v>
      </c>
      <c r="E10364">
        <v>1</v>
      </c>
      <c r="F10364" t="s">
        <v>12515</v>
      </c>
    </row>
    <row r="10365" spans="1:6" x14ac:dyDescent="0.25">
      <c r="A10365" t="s">
        <v>13142</v>
      </c>
      <c r="B10365" t="s">
        <v>1184</v>
      </c>
      <c r="C10365" t="s">
        <v>1185</v>
      </c>
      <c r="D10365" t="str">
        <f>HYPERLINK("http://service.sap.com/sap/support/notes/1867243","1867243")</f>
        <v>1867243</v>
      </c>
      <c r="E10365">
        <v>2</v>
      </c>
      <c r="F10365" t="s">
        <v>12514</v>
      </c>
    </row>
    <row r="10366" spans="1:6" x14ac:dyDescent="0.25">
      <c r="A10366" t="s">
        <v>13142</v>
      </c>
      <c r="B10366" t="s">
        <v>1184</v>
      </c>
      <c r="C10366" t="s">
        <v>1185</v>
      </c>
      <c r="D10366" t="str">
        <f>HYPERLINK("http://service.sap.com/sap/support/notes/1870876","1870876")</f>
        <v>1870876</v>
      </c>
      <c r="E10366">
        <v>3</v>
      </c>
      <c r="F10366" t="s">
        <v>12513</v>
      </c>
    </row>
    <row r="10367" spans="1:6" x14ac:dyDescent="0.25">
      <c r="A10367" t="s">
        <v>13142</v>
      </c>
      <c r="B10367" t="s">
        <v>1184</v>
      </c>
      <c r="C10367" t="s">
        <v>1185</v>
      </c>
      <c r="D10367" t="str">
        <f>HYPERLINK("http://service.sap.com/sap/support/notes/1873603","1873603")</f>
        <v>1873603</v>
      </c>
      <c r="E10367">
        <v>1</v>
      </c>
      <c r="F10367" t="s">
        <v>12512</v>
      </c>
    </row>
    <row r="10368" spans="1:6" x14ac:dyDescent="0.25">
      <c r="A10368" t="s">
        <v>13142</v>
      </c>
      <c r="B10368" t="s">
        <v>1184</v>
      </c>
      <c r="C10368" t="s">
        <v>1185</v>
      </c>
      <c r="D10368" t="str">
        <f>HYPERLINK("http://service.sap.com/sap/support/notes/1878315","1878315")</f>
        <v>1878315</v>
      </c>
      <c r="E10368">
        <v>3</v>
      </c>
      <c r="F10368" t="s">
        <v>12511</v>
      </c>
    </row>
    <row r="10369" spans="1:6" x14ac:dyDescent="0.25">
      <c r="A10369" t="s">
        <v>13142</v>
      </c>
      <c r="B10369" t="s">
        <v>1184</v>
      </c>
      <c r="C10369" t="s">
        <v>1185</v>
      </c>
      <c r="D10369" t="str">
        <f>HYPERLINK("http://service.sap.com/sap/support/notes/1881442","1881442")</f>
        <v>1881442</v>
      </c>
      <c r="E10369">
        <v>1</v>
      </c>
      <c r="F10369" t="s">
        <v>12510</v>
      </c>
    </row>
    <row r="10370" spans="1:6" x14ac:dyDescent="0.25">
      <c r="A10370" t="s">
        <v>13142</v>
      </c>
      <c r="B10370" t="s">
        <v>1184</v>
      </c>
      <c r="C10370" t="s">
        <v>1185</v>
      </c>
      <c r="D10370" t="str">
        <f>HYPERLINK("http://service.sap.com/sap/support/notes/1883801","1883801")</f>
        <v>1883801</v>
      </c>
      <c r="E10370">
        <v>2</v>
      </c>
      <c r="F10370" t="s">
        <v>12509</v>
      </c>
    </row>
    <row r="10371" spans="1:6" x14ac:dyDescent="0.25">
      <c r="A10371" t="s">
        <v>13142</v>
      </c>
      <c r="B10371" t="s">
        <v>1184</v>
      </c>
      <c r="C10371" t="s">
        <v>1185</v>
      </c>
      <c r="D10371" t="str">
        <f>HYPERLINK("http://service.sap.com/sap/support/notes/1888909","1888909")</f>
        <v>1888909</v>
      </c>
      <c r="E10371">
        <v>2</v>
      </c>
      <c r="F10371" t="s">
        <v>12508</v>
      </c>
    </row>
    <row r="10372" spans="1:6" x14ac:dyDescent="0.25">
      <c r="A10372" t="s">
        <v>13142</v>
      </c>
      <c r="B10372" t="s">
        <v>1184</v>
      </c>
      <c r="C10372" t="s">
        <v>1185</v>
      </c>
      <c r="D10372" t="str">
        <f>HYPERLINK("http://service.sap.com/sap/support/notes/1896921","1896921")</f>
        <v>1896921</v>
      </c>
      <c r="E10372">
        <v>1</v>
      </c>
      <c r="F10372" t="s">
        <v>12507</v>
      </c>
    </row>
    <row r="10373" spans="1:6" x14ac:dyDescent="0.25">
      <c r="A10373" t="s">
        <v>13142</v>
      </c>
      <c r="B10373" t="s">
        <v>1184</v>
      </c>
      <c r="C10373" t="s">
        <v>1185</v>
      </c>
      <c r="D10373" t="str">
        <f>HYPERLINK("http://service.sap.com/sap/support/notes/1900423","1900423")</f>
        <v>1900423</v>
      </c>
      <c r="E10373">
        <v>1</v>
      </c>
      <c r="F10373" t="s">
        <v>12506</v>
      </c>
    </row>
    <row r="10374" spans="1:6" x14ac:dyDescent="0.25">
      <c r="A10374" t="s">
        <v>13142</v>
      </c>
      <c r="B10374" t="s">
        <v>1220</v>
      </c>
      <c r="C10374" t="s">
        <v>883</v>
      </c>
      <c r="D10374" t="str">
        <f>HYPERLINK("http://service.sap.com/sap/support/notes/1479013","1479013")</f>
        <v>1479013</v>
      </c>
      <c r="E10374">
        <v>3</v>
      </c>
      <c r="F10374" t="s">
        <v>12505</v>
      </c>
    </row>
    <row r="10375" spans="1:6" x14ac:dyDescent="0.25">
      <c r="A10375" t="s">
        <v>13142</v>
      </c>
      <c r="B10375" t="s">
        <v>1220</v>
      </c>
      <c r="C10375" t="s">
        <v>883</v>
      </c>
      <c r="D10375" t="str">
        <f>HYPERLINK("http://service.sap.com/sap/support/notes/1510376","1510376")</f>
        <v>1510376</v>
      </c>
      <c r="E10375">
        <v>4</v>
      </c>
      <c r="F10375" t="s">
        <v>12504</v>
      </c>
    </row>
    <row r="10376" spans="1:6" x14ac:dyDescent="0.25">
      <c r="A10376" t="s">
        <v>13142</v>
      </c>
      <c r="B10376" t="s">
        <v>1220</v>
      </c>
      <c r="C10376" t="s">
        <v>883</v>
      </c>
      <c r="D10376" t="str">
        <f>HYPERLINK("http://service.sap.com/sap/support/notes/1675863","1675863")</f>
        <v>1675863</v>
      </c>
      <c r="E10376">
        <v>7</v>
      </c>
      <c r="F10376" t="s">
        <v>12503</v>
      </c>
    </row>
    <row r="10377" spans="1:6" x14ac:dyDescent="0.25">
      <c r="A10377" t="s">
        <v>13142</v>
      </c>
      <c r="B10377" t="s">
        <v>1220</v>
      </c>
      <c r="C10377" t="s">
        <v>883</v>
      </c>
      <c r="D10377" t="str">
        <f>HYPERLINK("http://service.sap.com/sap/support/notes/1717348","1717348")</f>
        <v>1717348</v>
      </c>
      <c r="E10377">
        <v>6</v>
      </c>
      <c r="F10377" t="s">
        <v>12502</v>
      </c>
    </row>
    <row r="10378" spans="1:6" x14ac:dyDescent="0.25">
      <c r="A10378" t="s">
        <v>13142</v>
      </c>
      <c r="B10378" t="s">
        <v>1220</v>
      </c>
      <c r="C10378" t="s">
        <v>883</v>
      </c>
      <c r="D10378" t="str">
        <f>HYPERLINK("http://service.sap.com/sap/support/notes/1728880","1728880")</f>
        <v>1728880</v>
      </c>
      <c r="E10378">
        <v>6</v>
      </c>
      <c r="F10378" t="s">
        <v>12501</v>
      </c>
    </row>
    <row r="10379" spans="1:6" x14ac:dyDescent="0.25">
      <c r="A10379" t="s">
        <v>13142</v>
      </c>
      <c r="B10379" t="s">
        <v>1220</v>
      </c>
      <c r="C10379" t="s">
        <v>883</v>
      </c>
      <c r="D10379" t="str">
        <f>HYPERLINK("http://service.sap.com/sap/support/notes/1732101","1732101")</f>
        <v>1732101</v>
      </c>
      <c r="E10379">
        <v>2</v>
      </c>
      <c r="F10379" t="s">
        <v>12500</v>
      </c>
    </row>
    <row r="10380" spans="1:6" x14ac:dyDescent="0.25">
      <c r="A10380" t="s">
        <v>13142</v>
      </c>
      <c r="B10380" t="s">
        <v>1220</v>
      </c>
      <c r="C10380" t="s">
        <v>883</v>
      </c>
      <c r="D10380" t="str">
        <f>HYPERLINK("http://service.sap.com/sap/support/notes/1744596","1744596")</f>
        <v>1744596</v>
      </c>
      <c r="E10380">
        <v>4</v>
      </c>
      <c r="F10380" t="s">
        <v>12499</v>
      </c>
    </row>
    <row r="10381" spans="1:6" x14ac:dyDescent="0.25">
      <c r="A10381" t="s">
        <v>13142</v>
      </c>
      <c r="B10381" t="s">
        <v>1220</v>
      </c>
      <c r="C10381" t="s">
        <v>883</v>
      </c>
      <c r="D10381" t="str">
        <f>HYPERLINK("http://service.sap.com/sap/support/notes/1759664","1759664")</f>
        <v>1759664</v>
      </c>
      <c r="E10381">
        <v>2</v>
      </c>
      <c r="F10381" t="s">
        <v>12498</v>
      </c>
    </row>
    <row r="10382" spans="1:6" x14ac:dyDescent="0.25">
      <c r="A10382" t="s">
        <v>13142</v>
      </c>
      <c r="B10382" t="s">
        <v>1220</v>
      </c>
      <c r="C10382" t="s">
        <v>883</v>
      </c>
      <c r="D10382" t="str">
        <f>HYPERLINK("http://service.sap.com/sap/support/notes/1761007","1761007")</f>
        <v>1761007</v>
      </c>
      <c r="E10382">
        <v>11</v>
      </c>
      <c r="F10382" t="s">
        <v>12497</v>
      </c>
    </row>
    <row r="10383" spans="1:6" x14ac:dyDescent="0.25">
      <c r="A10383" t="s">
        <v>13142</v>
      </c>
      <c r="B10383" t="s">
        <v>1220</v>
      </c>
      <c r="C10383" t="s">
        <v>883</v>
      </c>
      <c r="D10383" t="str">
        <f>HYPERLINK("http://service.sap.com/sap/support/notes/1772641","1772641")</f>
        <v>1772641</v>
      </c>
      <c r="E10383">
        <v>3</v>
      </c>
      <c r="F10383" t="s">
        <v>12496</v>
      </c>
    </row>
    <row r="10384" spans="1:6" x14ac:dyDescent="0.25">
      <c r="A10384" t="s">
        <v>13142</v>
      </c>
      <c r="B10384" t="s">
        <v>1220</v>
      </c>
      <c r="C10384" t="s">
        <v>883</v>
      </c>
      <c r="D10384" t="str">
        <f>HYPERLINK("http://service.sap.com/sap/support/notes/1775134","1775134")</f>
        <v>1775134</v>
      </c>
      <c r="E10384">
        <v>4</v>
      </c>
      <c r="F10384" t="s">
        <v>12495</v>
      </c>
    </row>
    <row r="10385" spans="1:6" x14ac:dyDescent="0.25">
      <c r="A10385" t="s">
        <v>13142</v>
      </c>
      <c r="B10385" t="s">
        <v>1220</v>
      </c>
      <c r="C10385" t="s">
        <v>883</v>
      </c>
      <c r="D10385" t="str">
        <f>HYPERLINK("http://service.sap.com/sap/support/notes/1787274","1787274")</f>
        <v>1787274</v>
      </c>
      <c r="E10385">
        <v>2</v>
      </c>
      <c r="F10385" t="s">
        <v>12494</v>
      </c>
    </row>
    <row r="10386" spans="1:6" x14ac:dyDescent="0.25">
      <c r="A10386" t="s">
        <v>13142</v>
      </c>
      <c r="B10386" t="s">
        <v>1220</v>
      </c>
      <c r="C10386" t="s">
        <v>883</v>
      </c>
      <c r="D10386" t="str">
        <f>HYPERLINK("http://service.sap.com/sap/support/notes/1792530","1792530")</f>
        <v>1792530</v>
      </c>
      <c r="E10386">
        <v>2</v>
      </c>
      <c r="F10386" t="s">
        <v>12493</v>
      </c>
    </row>
    <row r="10387" spans="1:6" x14ac:dyDescent="0.25">
      <c r="A10387" t="s">
        <v>13142</v>
      </c>
      <c r="B10387" t="s">
        <v>1220</v>
      </c>
      <c r="C10387" t="s">
        <v>883</v>
      </c>
      <c r="D10387" t="str">
        <f>HYPERLINK("http://service.sap.com/sap/support/notes/1793232","1793232")</f>
        <v>1793232</v>
      </c>
      <c r="E10387">
        <v>3</v>
      </c>
      <c r="F10387" t="s">
        <v>12492</v>
      </c>
    </row>
    <row r="10388" spans="1:6" x14ac:dyDescent="0.25">
      <c r="A10388" t="s">
        <v>13142</v>
      </c>
      <c r="B10388" t="s">
        <v>1220</v>
      </c>
      <c r="C10388" t="s">
        <v>883</v>
      </c>
      <c r="D10388" t="str">
        <f>HYPERLINK("http://service.sap.com/sap/support/notes/1793490","1793490")</f>
        <v>1793490</v>
      </c>
      <c r="E10388">
        <v>2</v>
      </c>
      <c r="F10388" t="s">
        <v>12491</v>
      </c>
    </row>
    <row r="10389" spans="1:6" x14ac:dyDescent="0.25">
      <c r="A10389" t="s">
        <v>13142</v>
      </c>
      <c r="B10389" t="s">
        <v>1220</v>
      </c>
      <c r="C10389" t="s">
        <v>883</v>
      </c>
      <c r="D10389" t="str">
        <f>HYPERLINK("http://service.sap.com/sap/support/notes/1795884","1795884")</f>
        <v>1795884</v>
      </c>
      <c r="E10389">
        <v>4</v>
      </c>
      <c r="F10389" t="s">
        <v>12490</v>
      </c>
    </row>
    <row r="10390" spans="1:6" x14ac:dyDescent="0.25">
      <c r="A10390" t="s">
        <v>13142</v>
      </c>
      <c r="B10390" t="s">
        <v>1220</v>
      </c>
      <c r="C10390" t="s">
        <v>883</v>
      </c>
      <c r="D10390" t="str">
        <f>HYPERLINK("http://service.sap.com/sap/support/notes/1796297","1796297")</f>
        <v>1796297</v>
      </c>
      <c r="E10390">
        <v>5</v>
      </c>
      <c r="F10390" t="s">
        <v>12489</v>
      </c>
    </row>
    <row r="10391" spans="1:6" x14ac:dyDescent="0.25">
      <c r="A10391" t="s">
        <v>13142</v>
      </c>
      <c r="B10391" t="s">
        <v>1220</v>
      </c>
      <c r="C10391" t="s">
        <v>883</v>
      </c>
      <c r="D10391" t="str">
        <f>HYPERLINK("http://service.sap.com/sap/support/notes/1814021","1814021")</f>
        <v>1814021</v>
      </c>
      <c r="E10391">
        <v>1</v>
      </c>
      <c r="F10391" t="s">
        <v>12488</v>
      </c>
    </row>
    <row r="10392" spans="1:6" x14ac:dyDescent="0.25">
      <c r="A10392" t="s">
        <v>13142</v>
      </c>
      <c r="B10392" t="s">
        <v>1220</v>
      </c>
      <c r="C10392" t="s">
        <v>883</v>
      </c>
      <c r="D10392" t="str">
        <f>HYPERLINK("http://service.sap.com/sap/support/notes/1821168","1821168")</f>
        <v>1821168</v>
      </c>
      <c r="E10392">
        <v>16</v>
      </c>
      <c r="F10392" t="s">
        <v>12487</v>
      </c>
    </row>
    <row r="10393" spans="1:6" x14ac:dyDescent="0.25">
      <c r="A10393" t="s">
        <v>13142</v>
      </c>
      <c r="B10393" t="s">
        <v>1220</v>
      </c>
      <c r="C10393" t="s">
        <v>883</v>
      </c>
      <c r="D10393" t="str">
        <f>HYPERLINK("http://service.sap.com/sap/support/notes/1821356","1821356")</f>
        <v>1821356</v>
      </c>
      <c r="E10393">
        <v>2</v>
      </c>
      <c r="F10393" t="s">
        <v>12486</v>
      </c>
    </row>
    <row r="10394" spans="1:6" x14ac:dyDescent="0.25">
      <c r="A10394" t="s">
        <v>13142</v>
      </c>
      <c r="B10394" t="s">
        <v>1220</v>
      </c>
      <c r="C10394" t="s">
        <v>883</v>
      </c>
      <c r="D10394" t="str">
        <f>HYPERLINK("http://service.sap.com/sap/support/notes/1839471","1839471")</f>
        <v>1839471</v>
      </c>
      <c r="E10394">
        <v>3</v>
      </c>
      <c r="F10394" t="s">
        <v>12485</v>
      </c>
    </row>
    <row r="10395" spans="1:6" x14ac:dyDescent="0.25">
      <c r="A10395" t="s">
        <v>13142</v>
      </c>
      <c r="B10395" t="s">
        <v>1220</v>
      </c>
      <c r="C10395" t="s">
        <v>883</v>
      </c>
      <c r="D10395" t="str">
        <f>HYPERLINK("http://service.sap.com/sap/support/notes/1840683","1840683")</f>
        <v>1840683</v>
      </c>
      <c r="E10395">
        <v>1</v>
      </c>
      <c r="F10395" t="s">
        <v>12484</v>
      </c>
    </row>
    <row r="10396" spans="1:6" x14ac:dyDescent="0.25">
      <c r="A10396" t="s">
        <v>13142</v>
      </c>
      <c r="B10396" t="s">
        <v>1220</v>
      </c>
      <c r="C10396" t="s">
        <v>883</v>
      </c>
      <c r="D10396" t="str">
        <f>HYPERLINK("http://service.sap.com/sap/support/notes/1844123","1844123")</f>
        <v>1844123</v>
      </c>
      <c r="E10396">
        <v>1</v>
      </c>
      <c r="F10396" t="s">
        <v>12483</v>
      </c>
    </row>
    <row r="10397" spans="1:6" x14ac:dyDescent="0.25">
      <c r="A10397" t="s">
        <v>13142</v>
      </c>
      <c r="B10397" t="s">
        <v>1220</v>
      </c>
      <c r="C10397" t="s">
        <v>883</v>
      </c>
      <c r="D10397" t="str">
        <f>HYPERLINK("http://service.sap.com/sap/support/notes/1847634","1847634")</f>
        <v>1847634</v>
      </c>
      <c r="E10397">
        <v>3</v>
      </c>
      <c r="F10397" t="s">
        <v>12482</v>
      </c>
    </row>
    <row r="10398" spans="1:6" x14ac:dyDescent="0.25">
      <c r="A10398" t="s">
        <v>13142</v>
      </c>
      <c r="B10398" t="s">
        <v>1220</v>
      </c>
      <c r="C10398" t="s">
        <v>883</v>
      </c>
      <c r="D10398" t="str">
        <f>HYPERLINK("http://service.sap.com/sap/support/notes/1847843","1847843")</f>
        <v>1847843</v>
      </c>
      <c r="E10398">
        <v>2</v>
      </c>
      <c r="F10398" t="s">
        <v>12481</v>
      </c>
    </row>
    <row r="10399" spans="1:6" x14ac:dyDescent="0.25">
      <c r="A10399" t="s">
        <v>13142</v>
      </c>
      <c r="B10399" t="s">
        <v>1220</v>
      </c>
      <c r="C10399" t="s">
        <v>883</v>
      </c>
      <c r="D10399" t="str">
        <f>HYPERLINK("http://service.sap.com/sap/support/notes/1850812","1850812")</f>
        <v>1850812</v>
      </c>
      <c r="E10399">
        <v>1</v>
      </c>
      <c r="F10399" t="s">
        <v>12480</v>
      </c>
    </row>
    <row r="10400" spans="1:6" x14ac:dyDescent="0.25">
      <c r="A10400" t="s">
        <v>13142</v>
      </c>
      <c r="B10400" t="s">
        <v>1220</v>
      </c>
      <c r="C10400" t="s">
        <v>883</v>
      </c>
      <c r="D10400" t="str">
        <f>HYPERLINK("http://service.sap.com/sap/support/notes/1852954","1852954")</f>
        <v>1852954</v>
      </c>
      <c r="E10400">
        <v>2</v>
      </c>
      <c r="F10400" t="s">
        <v>12479</v>
      </c>
    </row>
    <row r="10401" spans="1:6" x14ac:dyDescent="0.25">
      <c r="A10401" t="s">
        <v>13142</v>
      </c>
      <c r="B10401" t="s">
        <v>1220</v>
      </c>
      <c r="C10401" t="s">
        <v>883</v>
      </c>
      <c r="D10401" t="str">
        <f>HYPERLINK("http://service.sap.com/sap/support/notes/1853134","1853134")</f>
        <v>1853134</v>
      </c>
      <c r="E10401">
        <v>1</v>
      </c>
      <c r="F10401" t="s">
        <v>12478</v>
      </c>
    </row>
    <row r="10402" spans="1:6" x14ac:dyDescent="0.25">
      <c r="A10402" t="s">
        <v>13142</v>
      </c>
      <c r="B10402" t="s">
        <v>1220</v>
      </c>
      <c r="C10402" t="s">
        <v>883</v>
      </c>
      <c r="D10402" t="str">
        <f>HYPERLINK("http://service.sap.com/sap/support/notes/1855095","1855095")</f>
        <v>1855095</v>
      </c>
      <c r="E10402">
        <v>2</v>
      </c>
      <c r="F10402" t="s">
        <v>12477</v>
      </c>
    </row>
    <row r="10403" spans="1:6" x14ac:dyDescent="0.25">
      <c r="A10403" t="s">
        <v>13142</v>
      </c>
      <c r="B10403" t="s">
        <v>1220</v>
      </c>
      <c r="C10403" t="s">
        <v>883</v>
      </c>
      <c r="D10403" t="str">
        <f>HYPERLINK("http://service.sap.com/sap/support/notes/1859950","1859950")</f>
        <v>1859950</v>
      </c>
      <c r="E10403">
        <v>2</v>
      </c>
      <c r="F10403" t="s">
        <v>12476</v>
      </c>
    </row>
    <row r="10404" spans="1:6" x14ac:dyDescent="0.25">
      <c r="A10404" t="s">
        <v>13142</v>
      </c>
      <c r="B10404" t="s">
        <v>1220</v>
      </c>
      <c r="C10404" t="s">
        <v>883</v>
      </c>
      <c r="D10404" t="str">
        <f>HYPERLINK("http://service.sap.com/sap/support/notes/1863966","1863966")</f>
        <v>1863966</v>
      </c>
      <c r="E10404">
        <v>3</v>
      </c>
      <c r="F10404" t="s">
        <v>12475</v>
      </c>
    </row>
    <row r="10405" spans="1:6" x14ac:dyDescent="0.25">
      <c r="A10405" t="s">
        <v>13142</v>
      </c>
      <c r="B10405" t="s">
        <v>1220</v>
      </c>
      <c r="C10405" t="s">
        <v>883</v>
      </c>
      <c r="D10405" t="str">
        <f>HYPERLINK("http://service.sap.com/sap/support/notes/1865291","1865291")</f>
        <v>1865291</v>
      </c>
      <c r="E10405">
        <v>2</v>
      </c>
      <c r="F10405" t="s">
        <v>12474</v>
      </c>
    </row>
    <row r="10406" spans="1:6" x14ac:dyDescent="0.25">
      <c r="A10406" t="s">
        <v>13142</v>
      </c>
      <c r="B10406" t="s">
        <v>1220</v>
      </c>
      <c r="C10406" t="s">
        <v>883</v>
      </c>
      <c r="D10406" t="str">
        <f>HYPERLINK("http://service.sap.com/sap/support/notes/1869437","1869437")</f>
        <v>1869437</v>
      </c>
      <c r="E10406">
        <v>2</v>
      </c>
      <c r="F10406" t="s">
        <v>12473</v>
      </c>
    </row>
    <row r="10407" spans="1:6" x14ac:dyDescent="0.25">
      <c r="A10407" t="s">
        <v>13142</v>
      </c>
      <c r="B10407" t="s">
        <v>1220</v>
      </c>
      <c r="C10407" t="s">
        <v>883</v>
      </c>
      <c r="D10407" t="str">
        <f>HYPERLINK("http://service.sap.com/sap/support/notes/1873155","1873155")</f>
        <v>1873155</v>
      </c>
      <c r="E10407">
        <v>2</v>
      </c>
      <c r="F10407" t="s">
        <v>12472</v>
      </c>
    </row>
    <row r="10408" spans="1:6" x14ac:dyDescent="0.25">
      <c r="A10408" t="s">
        <v>13142</v>
      </c>
      <c r="B10408" t="s">
        <v>1220</v>
      </c>
      <c r="C10408" t="s">
        <v>883</v>
      </c>
      <c r="D10408" t="str">
        <f>HYPERLINK("http://service.sap.com/sap/support/notes/1876897","1876897")</f>
        <v>1876897</v>
      </c>
      <c r="E10408">
        <v>2</v>
      </c>
      <c r="F10408" t="s">
        <v>12471</v>
      </c>
    </row>
    <row r="10409" spans="1:6" x14ac:dyDescent="0.25">
      <c r="A10409" t="s">
        <v>13142</v>
      </c>
      <c r="B10409" t="s">
        <v>1220</v>
      </c>
      <c r="C10409" t="s">
        <v>883</v>
      </c>
      <c r="D10409" t="str">
        <f>HYPERLINK("http://service.sap.com/sap/support/notes/1877606","1877606")</f>
        <v>1877606</v>
      </c>
      <c r="E10409">
        <v>1</v>
      </c>
      <c r="F10409" t="s">
        <v>12470</v>
      </c>
    </row>
    <row r="10410" spans="1:6" x14ac:dyDescent="0.25">
      <c r="A10410" t="s">
        <v>13142</v>
      </c>
      <c r="B10410" t="s">
        <v>1220</v>
      </c>
      <c r="C10410" t="s">
        <v>883</v>
      </c>
      <c r="D10410" t="str">
        <f>HYPERLINK("http://service.sap.com/sap/support/notes/1877810","1877810")</f>
        <v>1877810</v>
      </c>
      <c r="E10410">
        <v>1</v>
      </c>
      <c r="F10410" t="s">
        <v>12469</v>
      </c>
    </row>
    <row r="10411" spans="1:6" x14ac:dyDescent="0.25">
      <c r="A10411" t="s">
        <v>13142</v>
      </c>
      <c r="B10411" t="s">
        <v>1220</v>
      </c>
      <c r="C10411" t="s">
        <v>883</v>
      </c>
      <c r="D10411" t="str">
        <f>HYPERLINK("http://service.sap.com/sap/support/notes/1878105","1878105")</f>
        <v>1878105</v>
      </c>
      <c r="E10411">
        <v>1</v>
      </c>
      <c r="F10411" t="s">
        <v>12468</v>
      </c>
    </row>
    <row r="10412" spans="1:6" x14ac:dyDescent="0.25">
      <c r="A10412" t="s">
        <v>13142</v>
      </c>
      <c r="B10412" t="s">
        <v>1220</v>
      </c>
      <c r="C10412" t="s">
        <v>883</v>
      </c>
      <c r="D10412" t="str">
        <f>HYPERLINK("http://service.sap.com/sap/support/notes/1878644","1878644")</f>
        <v>1878644</v>
      </c>
      <c r="E10412">
        <v>2</v>
      </c>
      <c r="F10412" t="s">
        <v>12467</v>
      </c>
    </row>
    <row r="10413" spans="1:6" x14ac:dyDescent="0.25">
      <c r="A10413" t="s">
        <v>13142</v>
      </c>
      <c r="B10413" t="s">
        <v>1220</v>
      </c>
      <c r="C10413" t="s">
        <v>883</v>
      </c>
      <c r="D10413" t="str">
        <f>HYPERLINK("http://service.sap.com/sap/support/notes/1878824","1878824")</f>
        <v>1878824</v>
      </c>
      <c r="E10413">
        <v>2</v>
      </c>
      <c r="F10413" t="s">
        <v>12466</v>
      </c>
    </row>
    <row r="10414" spans="1:6" x14ac:dyDescent="0.25">
      <c r="A10414" t="s">
        <v>13142</v>
      </c>
      <c r="B10414" t="s">
        <v>1220</v>
      </c>
      <c r="C10414" t="s">
        <v>883</v>
      </c>
      <c r="D10414" t="str">
        <f>HYPERLINK("http://service.sap.com/sap/support/notes/1880296","1880296")</f>
        <v>1880296</v>
      </c>
      <c r="E10414">
        <v>4</v>
      </c>
      <c r="F10414" t="s">
        <v>12465</v>
      </c>
    </row>
    <row r="10415" spans="1:6" x14ac:dyDescent="0.25">
      <c r="A10415" t="s">
        <v>13142</v>
      </c>
      <c r="B10415" t="s">
        <v>1220</v>
      </c>
      <c r="C10415" t="s">
        <v>883</v>
      </c>
      <c r="D10415" t="str">
        <f>HYPERLINK("http://service.sap.com/sap/support/notes/1883351","1883351")</f>
        <v>1883351</v>
      </c>
      <c r="E10415">
        <v>1</v>
      </c>
      <c r="F10415" t="s">
        <v>12464</v>
      </c>
    </row>
    <row r="10416" spans="1:6" x14ac:dyDescent="0.25">
      <c r="A10416" t="s">
        <v>13142</v>
      </c>
      <c r="B10416" t="s">
        <v>1220</v>
      </c>
      <c r="C10416" t="s">
        <v>883</v>
      </c>
      <c r="D10416" t="str">
        <f>HYPERLINK("http://service.sap.com/sap/support/notes/1883832","1883832")</f>
        <v>1883832</v>
      </c>
      <c r="E10416">
        <v>1</v>
      </c>
      <c r="F10416" t="s">
        <v>12463</v>
      </c>
    </row>
    <row r="10417" spans="1:6" x14ac:dyDescent="0.25">
      <c r="A10417" t="s">
        <v>13142</v>
      </c>
      <c r="B10417" t="s">
        <v>1220</v>
      </c>
      <c r="C10417" t="s">
        <v>883</v>
      </c>
      <c r="D10417" t="str">
        <f>HYPERLINK("http://service.sap.com/sap/support/notes/1884443","1884443")</f>
        <v>1884443</v>
      </c>
      <c r="E10417">
        <v>3</v>
      </c>
      <c r="F10417" t="s">
        <v>12462</v>
      </c>
    </row>
    <row r="10418" spans="1:6" x14ac:dyDescent="0.25">
      <c r="A10418" t="s">
        <v>13142</v>
      </c>
      <c r="B10418" t="s">
        <v>1220</v>
      </c>
      <c r="C10418" t="s">
        <v>883</v>
      </c>
      <c r="D10418" t="str">
        <f>HYPERLINK("http://service.sap.com/sap/support/notes/1886376","1886376")</f>
        <v>1886376</v>
      </c>
      <c r="E10418">
        <v>1</v>
      </c>
      <c r="F10418" t="s">
        <v>12461</v>
      </c>
    </row>
    <row r="10419" spans="1:6" x14ac:dyDescent="0.25">
      <c r="A10419" t="s">
        <v>13142</v>
      </c>
      <c r="B10419" t="s">
        <v>1220</v>
      </c>
      <c r="C10419" t="s">
        <v>883</v>
      </c>
      <c r="D10419" t="str">
        <f>HYPERLINK("http://service.sap.com/sap/support/notes/1887213","1887213")</f>
        <v>1887213</v>
      </c>
      <c r="E10419">
        <v>1</v>
      </c>
      <c r="F10419" t="s">
        <v>12460</v>
      </c>
    </row>
    <row r="10420" spans="1:6" x14ac:dyDescent="0.25">
      <c r="A10420" t="s">
        <v>13142</v>
      </c>
      <c r="B10420" t="s">
        <v>1220</v>
      </c>
      <c r="C10420" t="s">
        <v>883</v>
      </c>
      <c r="D10420" t="str">
        <f>HYPERLINK("http://service.sap.com/sap/support/notes/1890276","1890276")</f>
        <v>1890276</v>
      </c>
      <c r="E10420">
        <v>3</v>
      </c>
      <c r="F10420" t="s">
        <v>12459</v>
      </c>
    </row>
    <row r="10421" spans="1:6" x14ac:dyDescent="0.25">
      <c r="A10421" t="s">
        <v>13142</v>
      </c>
      <c r="B10421" t="s">
        <v>1220</v>
      </c>
      <c r="C10421" t="s">
        <v>883</v>
      </c>
      <c r="D10421" t="str">
        <f>HYPERLINK("http://service.sap.com/sap/support/notes/1891908","1891908")</f>
        <v>1891908</v>
      </c>
      <c r="E10421">
        <v>1</v>
      </c>
      <c r="F10421" t="s">
        <v>12458</v>
      </c>
    </row>
    <row r="10422" spans="1:6" x14ac:dyDescent="0.25">
      <c r="A10422" t="s">
        <v>13142</v>
      </c>
      <c r="B10422" t="s">
        <v>1260</v>
      </c>
      <c r="C10422" t="s">
        <v>887</v>
      </c>
      <c r="D10422" t="str">
        <f>HYPERLINK("http://service.sap.com/sap/support/notes/1847840","1847840")</f>
        <v>1847840</v>
      </c>
      <c r="E10422">
        <v>1</v>
      </c>
      <c r="F10422" t="s">
        <v>12457</v>
      </c>
    </row>
    <row r="10423" spans="1:6" x14ac:dyDescent="0.25">
      <c r="A10423" t="s">
        <v>13142</v>
      </c>
      <c r="B10423" t="s">
        <v>1260</v>
      </c>
      <c r="C10423" t="s">
        <v>887</v>
      </c>
      <c r="D10423" t="str">
        <f>HYPERLINK("http://service.sap.com/sap/support/notes/1876263","1876263")</f>
        <v>1876263</v>
      </c>
      <c r="E10423">
        <v>1</v>
      </c>
      <c r="F10423" t="s">
        <v>12456</v>
      </c>
    </row>
    <row r="10424" spans="1:6" x14ac:dyDescent="0.25">
      <c r="A10424" t="s">
        <v>13142</v>
      </c>
      <c r="B10424" t="s">
        <v>1260</v>
      </c>
      <c r="C10424" t="s">
        <v>887</v>
      </c>
      <c r="D10424" t="str">
        <f>HYPERLINK("http://service.sap.com/sap/support/notes/1888262","1888262")</f>
        <v>1888262</v>
      </c>
      <c r="E10424">
        <v>1</v>
      </c>
      <c r="F10424" t="s">
        <v>12455</v>
      </c>
    </row>
    <row r="10425" spans="1:6" x14ac:dyDescent="0.25">
      <c r="A10425" t="s">
        <v>13142</v>
      </c>
      <c r="B10425" t="s">
        <v>1264</v>
      </c>
      <c r="C10425" t="s">
        <v>891</v>
      </c>
      <c r="D10425" t="str">
        <f>HYPERLINK("http://service.sap.com/sap/support/notes/1871423","1871423")</f>
        <v>1871423</v>
      </c>
      <c r="E10425">
        <v>1</v>
      </c>
      <c r="F10425" t="s">
        <v>12454</v>
      </c>
    </row>
    <row r="10426" spans="1:6" x14ac:dyDescent="0.25">
      <c r="A10426" t="s">
        <v>13142</v>
      </c>
      <c r="B10426" t="s">
        <v>1264</v>
      </c>
      <c r="C10426" t="s">
        <v>891</v>
      </c>
      <c r="D10426" t="str">
        <f>HYPERLINK("http://service.sap.com/sap/support/notes/1876595","1876595")</f>
        <v>1876595</v>
      </c>
      <c r="E10426">
        <v>1</v>
      </c>
      <c r="F10426" t="s">
        <v>12453</v>
      </c>
    </row>
    <row r="10427" spans="1:6" x14ac:dyDescent="0.25">
      <c r="A10427" t="s">
        <v>13142</v>
      </c>
      <c r="B10427" t="s">
        <v>1264</v>
      </c>
      <c r="C10427" t="s">
        <v>891</v>
      </c>
      <c r="D10427" t="str">
        <f>HYPERLINK("http://service.sap.com/sap/support/notes/1884086","1884086")</f>
        <v>1884086</v>
      </c>
      <c r="E10427">
        <v>2</v>
      </c>
      <c r="F10427" t="s">
        <v>12452</v>
      </c>
    </row>
    <row r="10428" spans="1:6" x14ac:dyDescent="0.25">
      <c r="A10428" t="s">
        <v>13142</v>
      </c>
      <c r="B10428" t="s">
        <v>1264</v>
      </c>
      <c r="C10428" t="s">
        <v>891</v>
      </c>
      <c r="D10428" t="str">
        <f>HYPERLINK("http://service.sap.com/sap/support/notes/1886619","1886619")</f>
        <v>1886619</v>
      </c>
      <c r="E10428">
        <v>1</v>
      </c>
      <c r="F10428" t="s">
        <v>12451</v>
      </c>
    </row>
    <row r="10429" spans="1:6" x14ac:dyDescent="0.25">
      <c r="A10429" t="s">
        <v>13142</v>
      </c>
      <c r="B10429" t="s">
        <v>1264</v>
      </c>
      <c r="C10429" t="s">
        <v>891</v>
      </c>
      <c r="D10429" t="str">
        <f>HYPERLINK("http://service.sap.com/sap/support/notes/1896721","1896721")</f>
        <v>1896721</v>
      </c>
      <c r="E10429">
        <v>2</v>
      </c>
      <c r="F10429" t="s">
        <v>12450</v>
      </c>
    </row>
    <row r="10430" spans="1:6" x14ac:dyDescent="0.25">
      <c r="A10430" t="s">
        <v>13142</v>
      </c>
      <c r="B10430" t="s">
        <v>1272</v>
      </c>
      <c r="C10430" t="s">
        <v>29</v>
      </c>
      <c r="D10430" t="str">
        <f>HYPERLINK("http://service.sap.com/sap/support/notes/1878386","1878386")</f>
        <v>1878386</v>
      </c>
      <c r="E10430">
        <v>2</v>
      </c>
      <c r="F10430" t="s">
        <v>12449</v>
      </c>
    </row>
    <row r="10431" spans="1:6" x14ac:dyDescent="0.25">
      <c r="A10431" t="s">
        <v>13142</v>
      </c>
      <c r="B10431" t="s">
        <v>1277</v>
      </c>
      <c r="C10431" t="s">
        <v>937</v>
      </c>
      <c r="D10431" t="str">
        <f>HYPERLINK("http://service.sap.com/sap/support/notes/1854481","1854481")</f>
        <v>1854481</v>
      </c>
      <c r="E10431">
        <v>1</v>
      </c>
      <c r="F10431" t="s">
        <v>12448</v>
      </c>
    </row>
    <row r="10432" spans="1:6" x14ac:dyDescent="0.25">
      <c r="A10432" t="s">
        <v>13142</v>
      </c>
      <c r="B10432" t="s">
        <v>1277</v>
      </c>
      <c r="C10432" t="s">
        <v>937</v>
      </c>
      <c r="D10432" t="str">
        <f>HYPERLINK("http://service.sap.com/sap/support/notes/1879614","1879614")</f>
        <v>1879614</v>
      </c>
      <c r="E10432">
        <v>1</v>
      </c>
      <c r="F10432" t="s">
        <v>12447</v>
      </c>
    </row>
    <row r="10433" spans="1:6" x14ac:dyDescent="0.25">
      <c r="A10433" t="s">
        <v>13142</v>
      </c>
      <c r="B10433" t="s">
        <v>1277</v>
      </c>
      <c r="C10433" t="s">
        <v>937</v>
      </c>
      <c r="D10433" t="str">
        <f>HYPERLINK("http://service.sap.com/sap/support/notes/1882156","1882156")</f>
        <v>1882156</v>
      </c>
      <c r="E10433">
        <v>1</v>
      </c>
      <c r="F10433" t="s">
        <v>12446</v>
      </c>
    </row>
    <row r="10434" spans="1:6" x14ac:dyDescent="0.25">
      <c r="A10434" t="s">
        <v>13142</v>
      </c>
      <c r="B10434" t="s">
        <v>1277</v>
      </c>
      <c r="C10434" t="s">
        <v>937</v>
      </c>
      <c r="D10434" t="str">
        <f>HYPERLINK("http://service.sap.com/sap/support/notes/1885708","1885708")</f>
        <v>1885708</v>
      </c>
      <c r="E10434">
        <v>9</v>
      </c>
      <c r="F10434" t="s">
        <v>12445</v>
      </c>
    </row>
    <row r="10435" spans="1:6" x14ac:dyDescent="0.25">
      <c r="A10435" t="s">
        <v>13142</v>
      </c>
      <c r="B10435" t="s">
        <v>1277</v>
      </c>
      <c r="C10435" t="s">
        <v>937</v>
      </c>
      <c r="D10435" t="str">
        <f>HYPERLINK("http://service.sap.com/sap/support/notes/1902344","1902344")</f>
        <v>1902344</v>
      </c>
      <c r="E10435">
        <v>1</v>
      </c>
      <c r="F10435" t="s">
        <v>12444</v>
      </c>
    </row>
    <row r="10436" spans="1:6" x14ac:dyDescent="0.25">
      <c r="A10436" t="s">
        <v>13142</v>
      </c>
      <c r="B10436" t="s">
        <v>1282</v>
      </c>
      <c r="C10436" t="s">
        <v>1283</v>
      </c>
      <c r="D10436" t="str">
        <f>HYPERLINK("http://service.sap.com/sap/support/notes/1878854","1878854")</f>
        <v>1878854</v>
      </c>
      <c r="E10436">
        <v>4</v>
      </c>
      <c r="F10436" t="s">
        <v>12443</v>
      </c>
    </row>
    <row r="10437" spans="1:6" x14ac:dyDescent="0.25">
      <c r="A10437" t="s">
        <v>13142</v>
      </c>
      <c r="B10437" t="s">
        <v>1287</v>
      </c>
      <c r="C10437" t="s">
        <v>824</v>
      </c>
      <c r="D10437" t="str">
        <f>HYPERLINK("http://service.sap.com/sap/support/notes/1791430","1791430")</f>
        <v>1791430</v>
      </c>
      <c r="E10437">
        <v>7</v>
      </c>
      <c r="F10437" t="s">
        <v>12442</v>
      </c>
    </row>
    <row r="10438" spans="1:6" x14ac:dyDescent="0.25">
      <c r="A10438" t="s">
        <v>13142</v>
      </c>
      <c r="B10438" t="s">
        <v>1287</v>
      </c>
      <c r="C10438" t="s">
        <v>824</v>
      </c>
      <c r="D10438" t="str">
        <f>HYPERLINK("http://service.sap.com/sap/support/notes/1840118","1840118")</f>
        <v>1840118</v>
      </c>
      <c r="E10438">
        <v>3</v>
      </c>
      <c r="F10438" t="s">
        <v>12441</v>
      </c>
    </row>
    <row r="10439" spans="1:6" x14ac:dyDescent="0.25">
      <c r="A10439" t="s">
        <v>13142</v>
      </c>
      <c r="B10439" t="s">
        <v>1287</v>
      </c>
      <c r="C10439" t="s">
        <v>824</v>
      </c>
      <c r="D10439" t="str">
        <f>HYPERLINK("http://service.sap.com/sap/support/notes/1841861","1841861")</f>
        <v>1841861</v>
      </c>
      <c r="E10439">
        <v>3</v>
      </c>
      <c r="F10439" t="s">
        <v>12440</v>
      </c>
    </row>
    <row r="10440" spans="1:6" x14ac:dyDescent="0.25">
      <c r="A10440" t="s">
        <v>13142</v>
      </c>
      <c r="B10440" t="s">
        <v>1287</v>
      </c>
      <c r="C10440" t="s">
        <v>824</v>
      </c>
      <c r="D10440" t="str">
        <f>HYPERLINK("http://service.sap.com/sap/support/notes/1842370","1842370")</f>
        <v>1842370</v>
      </c>
      <c r="E10440">
        <v>2</v>
      </c>
      <c r="F10440" t="s">
        <v>12439</v>
      </c>
    </row>
    <row r="10441" spans="1:6" x14ac:dyDescent="0.25">
      <c r="A10441" t="s">
        <v>13142</v>
      </c>
      <c r="B10441" t="s">
        <v>1287</v>
      </c>
      <c r="C10441" t="s">
        <v>824</v>
      </c>
      <c r="D10441" t="str">
        <f>HYPERLINK("http://service.sap.com/sap/support/notes/1843790","1843790")</f>
        <v>1843790</v>
      </c>
      <c r="E10441">
        <v>2</v>
      </c>
      <c r="F10441" t="s">
        <v>12438</v>
      </c>
    </row>
    <row r="10442" spans="1:6" x14ac:dyDescent="0.25">
      <c r="A10442" t="s">
        <v>13142</v>
      </c>
      <c r="B10442" t="s">
        <v>1287</v>
      </c>
      <c r="C10442" t="s">
        <v>824</v>
      </c>
      <c r="D10442" t="str">
        <f>HYPERLINK("http://service.sap.com/sap/support/notes/1844231","1844231")</f>
        <v>1844231</v>
      </c>
      <c r="E10442">
        <v>2</v>
      </c>
      <c r="F10442" t="s">
        <v>12437</v>
      </c>
    </row>
    <row r="10443" spans="1:6" x14ac:dyDescent="0.25">
      <c r="A10443" t="s">
        <v>13142</v>
      </c>
      <c r="B10443" t="s">
        <v>1287</v>
      </c>
      <c r="C10443" t="s">
        <v>824</v>
      </c>
      <c r="D10443" t="str">
        <f>HYPERLINK("http://service.sap.com/sap/support/notes/1850379","1850379")</f>
        <v>1850379</v>
      </c>
      <c r="E10443">
        <v>2</v>
      </c>
      <c r="F10443" t="s">
        <v>12436</v>
      </c>
    </row>
    <row r="10444" spans="1:6" x14ac:dyDescent="0.25">
      <c r="A10444" t="s">
        <v>13142</v>
      </c>
      <c r="B10444" t="s">
        <v>1287</v>
      </c>
      <c r="C10444" t="s">
        <v>824</v>
      </c>
      <c r="D10444" t="str">
        <f>HYPERLINK("http://service.sap.com/sap/support/notes/1855789","1855789")</f>
        <v>1855789</v>
      </c>
      <c r="E10444">
        <v>1</v>
      </c>
      <c r="F10444" t="s">
        <v>12435</v>
      </c>
    </row>
    <row r="10445" spans="1:6" x14ac:dyDescent="0.25">
      <c r="A10445" t="s">
        <v>13142</v>
      </c>
      <c r="B10445" t="s">
        <v>1287</v>
      </c>
      <c r="C10445" t="s">
        <v>824</v>
      </c>
      <c r="D10445" t="str">
        <f>HYPERLINK("http://service.sap.com/sap/support/notes/1858033","1858033")</f>
        <v>1858033</v>
      </c>
      <c r="E10445">
        <v>2</v>
      </c>
      <c r="F10445" t="s">
        <v>12434</v>
      </c>
    </row>
    <row r="10446" spans="1:6" x14ac:dyDescent="0.25">
      <c r="A10446" t="s">
        <v>13142</v>
      </c>
      <c r="B10446" t="s">
        <v>1287</v>
      </c>
      <c r="C10446" t="s">
        <v>824</v>
      </c>
      <c r="D10446" t="str">
        <f>HYPERLINK("http://service.sap.com/sap/support/notes/1861687","1861687")</f>
        <v>1861687</v>
      </c>
      <c r="E10446">
        <v>1</v>
      </c>
      <c r="F10446" t="s">
        <v>12433</v>
      </c>
    </row>
    <row r="10447" spans="1:6" x14ac:dyDescent="0.25">
      <c r="A10447" t="s">
        <v>13142</v>
      </c>
      <c r="B10447" t="s">
        <v>1287</v>
      </c>
      <c r="C10447" t="s">
        <v>824</v>
      </c>
      <c r="D10447" t="str">
        <f>HYPERLINK("http://service.sap.com/sap/support/notes/1863366","1863366")</f>
        <v>1863366</v>
      </c>
      <c r="E10447">
        <v>1</v>
      </c>
      <c r="F10447" t="s">
        <v>12432</v>
      </c>
    </row>
    <row r="10448" spans="1:6" x14ac:dyDescent="0.25">
      <c r="A10448" t="s">
        <v>13142</v>
      </c>
      <c r="B10448" t="s">
        <v>1287</v>
      </c>
      <c r="C10448" t="s">
        <v>824</v>
      </c>
      <c r="D10448" t="str">
        <f>HYPERLINK("http://service.sap.com/sap/support/notes/1866611","1866611")</f>
        <v>1866611</v>
      </c>
      <c r="E10448">
        <v>1</v>
      </c>
      <c r="F10448" t="s">
        <v>12431</v>
      </c>
    </row>
    <row r="10449" spans="1:6" x14ac:dyDescent="0.25">
      <c r="A10449" t="s">
        <v>13142</v>
      </c>
      <c r="B10449" t="s">
        <v>1287</v>
      </c>
      <c r="C10449" t="s">
        <v>824</v>
      </c>
      <c r="D10449" t="str">
        <f>HYPERLINK("http://service.sap.com/sap/support/notes/1872585","1872585")</f>
        <v>1872585</v>
      </c>
      <c r="E10449">
        <v>1</v>
      </c>
      <c r="F10449" t="s">
        <v>12430</v>
      </c>
    </row>
    <row r="10450" spans="1:6" x14ac:dyDescent="0.25">
      <c r="A10450" t="s">
        <v>13142</v>
      </c>
      <c r="B10450" t="s">
        <v>1287</v>
      </c>
      <c r="C10450" t="s">
        <v>824</v>
      </c>
      <c r="D10450" t="str">
        <f>HYPERLINK("http://service.sap.com/sap/support/notes/1881055","1881055")</f>
        <v>1881055</v>
      </c>
      <c r="E10450">
        <v>2</v>
      </c>
      <c r="F10450" t="s">
        <v>12429</v>
      </c>
    </row>
    <row r="10451" spans="1:6" x14ac:dyDescent="0.25">
      <c r="A10451" t="s">
        <v>13142</v>
      </c>
      <c r="B10451" t="s">
        <v>1287</v>
      </c>
      <c r="C10451" t="s">
        <v>824</v>
      </c>
      <c r="D10451" t="str">
        <f>HYPERLINK("http://service.sap.com/sap/support/notes/1881227","1881227")</f>
        <v>1881227</v>
      </c>
      <c r="E10451">
        <v>3</v>
      </c>
      <c r="F10451" t="s">
        <v>12428</v>
      </c>
    </row>
    <row r="10452" spans="1:6" x14ac:dyDescent="0.25">
      <c r="A10452" t="s">
        <v>13142</v>
      </c>
      <c r="B10452" t="s">
        <v>1287</v>
      </c>
      <c r="C10452" t="s">
        <v>824</v>
      </c>
      <c r="D10452" t="str">
        <f>HYPERLINK("http://service.sap.com/sap/support/notes/1881833","1881833")</f>
        <v>1881833</v>
      </c>
      <c r="E10452">
        <v>1</v>
      </c>
      <c r="F10452" t="s">
        <v>12427</v>
      </c>
    </row>
    <row r="10453" spans="1:6" x14ac:dyDescent="0.25">
      <c r="A10453" t="s">
        <v>13142</v>
      </c>
      <c r="B10453" t="s">
        <v>1287</v>
      </c>
      <c r="C10453" t="s">
        <v>824</v>
      </c>
      <c r="D10453" t="str">
        <f>HYPERLINK("http://service.sap.com/sap/support/notes/1887704","1887704")</f>
        <v>1887704</v>
      </c>
      <c r="E10453">
        <v>1</v>
      </c>
      <c r="F10453" t="s">
        <v>12426</v>
      </c>
    </row>
    <row r="10454" spans="1:6" x14ac:dyDescent="0.25">
      <c r="A10454" t="s">
        <v>13142</v>
      </c>
      <c r="B10454" t="s">
        <v>1287</v>
      </c>
      <c r="C10454" t="s">
        <v>824</v>
      </c>
      <c r="D10454" t="str">
        <f>HYPERLINK("http://service.sap.com/sap/support/notes/1888853","1888853")</f>
        <v>1888853</v>
      </c>
      <c r="E10454">
        <v>1</v>
      </c>
      <c r="F10454" t="s">
        <v>12425</v>
      </c>
    </row>
    <row r="10455" spans="1:6" x14ac:dyDescent="0.25">
      <c r="A10455" t="s">
        <v>13142</v>
      </c>
      <c r="B10455" t="s">
        <v>1287</v>
      </c>
      <c r="C10455" t="s">
        <v>824</v>
      </c>
      <c r="D10455" t="str">
        <f>HYPERLINK("http://service.sap.com/sap/support/notes/1888934","1888934")</f>
        <v>1888934</v>
      </c>
      <c r="E10455">
        <v>5</v>
      </c>
      <c r="F10455" t="s">
        <v>12424</v>
      </c>
    </row>
    <row r="10456" spans="1:6" x14ac:dyDescent="0.25">
      <c r="A10456" t="s">
        <v>13142</v>
      </c>
      <c r="B10456" t="s">
        <v>1287</v>
      </c>
      <c r="C10456" t="s">
        <v>824</v>
      </c>
      <c r="D10456" t="str">
        <f>HYPERLINK("http://service.sap.com/sap/support/notes/1891645","1891645")</f>
        <v>1891645</v>
      </c>
      <c r="E10456">
        <v>1</v>
      </c>
      <c r="F10456" t="s">
        <v>12423</v>
      </c>
    </row>
    <row r="10457" spans="1:6" x14ac:dyDescent="0.25">
      <c r="A10457" t="s">
        <v>13142</v>
      </c>
      <c r="B10457" t="s">
        <v>1313</v>
      </c>
      <c r="C10457" t="s">
        <v>1314</v>
      </c>
    </row>
    <row r="10458" spans="1:6" x14ac:dyDescent="0.25">
      <c r="A10458" t="s">
        <v>13142</v>
      </c>
      <c r="B10458" t="s">
        <v>1315</v>
      </c>
      <c r="C10458" t="s">
        <v>1316</v>
      </c>
      <c r="D10458" t="str">
        <f>HYPERLINK("http://service.sap.com/sap/support/notes/1842388","1842388")</f>
        <v>1842388</v>
      </c>
      <c r="E10458">
        <v>2</v>
      </c>
      <c r="F10458" t="s">
        <v>12422</v>
      </c>
    </row>
    <row r="10459" spans="1:6" x14ac:dyDescent="0.25">
      <c r="A10459" t="s">
        <v>13142</v>
      </c>
      <c r="B10459" t="s">
        <v>1326</v>
      </c>
      <c r="C10459" t="s">
        <v>1327</v>
      </c>
      <c r="D10459" t="str">
        <f>HYPERLINK("http://service.sap.com/sap/support/notes/1864097","1864097")</f>
        <v>1864097</v>
      </c>
      <c r="E10459">
        <v>3</v>
      </c>
      <c r="F10459" t="s">
        <v>12421</v>
      </c>
    </row>
    <row r="10460" spans="1:6" x14ac:dyDescent="0.25">
      <c r="A10460" t="s">
        <v>13142</v>
      </c>
      <c r="B10460" t="s">
        <v>1326</v>
      </c>
      <c r="C10460" t="s">
        <v>1327</v>
      </c>
      <c r="D10460" t="str">
        <f>HYPERLINK("http://service.sap.com/sap/support/notes/1869445","1869445")</f>
        <v>1869445</v>
      </c>
      <c r="E10460">
        <v>4</v>
      </c>
      <c r="F10460" t="s">
        <v>12420</v>
      </c>
    </row>
    <row r="10461" spans="1:6" x14ac:dyDescent="0.25">
      <c r="A10461" t="s">
        <v>13142</v>
      </c>
      <c r="B10461" t="s">
        <v>1326</v>
      </c>
      <c r="C10461" t="s">
        <v>1327</v>
      </c>
      <c r="D10461" t="str">
        <f>HYPERLINK("http://service.sap.com/sap/support/notes/1881515","1881515")</f>
        <v>1881515</v>
      </c>
      <c r="E10461">
        <v>5</v>
      </c>
      <c r="F10461" t="s">
        <v>12419</v>
      </c>
    </row>
    <row r="10462" spans="1:6" x14ac:dyDescent="0.25">
      <c r="A10462" t="s">
        <v>13142</v>
      </c>
      <c r="B10462" t="s">
        <v>1333</v>
      </c>
      <c r="C10462" t="s">
        <v>1334</v>
      </c>
      <c r="D10462" t="str">
        <f>HYPERLINK("http://service.sap.com/sap/support/notes/1823868","1823868")</f>
        <v>1823868</v>
      </c>
      <c r="E10462">
        <v>2</v>
      </c>
      <c r="F10462" t="s">
        <v>12418</v>
      </c>
    </row>
    <row r="10463" spans="1:6" x14ac:dyDescent="0.25">
      <c r="A10463" t="s">
        <v>13142</v>
      </c>
      <c r="B10463" t="s">
        <v>1333</v>
      </c>
      <c r="C10463" t="s">
        <v>1334</v>
      </c>
      <c r="D10463" t="str">
        <f>HYPERLINK("http://service.sap.com/sap/support/notes/1838532","1838532")</f>
        <v>1838532</v>
      </c>
      <c r="E10463">
        <v>2</v>
      </c>
      <c r="F10463" t="s">
        <v>12417</v>
      </c>
    </row>
    <row r="10464" spans="1:6" x14ac:dyDescent="0.25">
      <c r="A10464" t="s">
        <v>13142</v>
      </c>
      <c r="B10464" t="s">
        <v>1333</v>
      </c>
      <c r="C10464" t="s">
        <v>1334</v>
      </c>
      <c r="D10464" t="str">
        <f>HYPERLINK("http://service.sap.com/sap/support/notes/1875135","1875135")</f>
        <v>1875135</v>
      </c>
      <c r="E10464">
        <v>2</v>
      </c>
      <c r="F10464" t="s">
        <v>12416</v>
      </c>
    </row>
    <row r="10465" spans="1:6" x14ac:dyDescent="0.25">
      <c r="A10465" t="s">
        <v>13142</v>
      </c>
      <c r="B10465" t="s">
        <v>1333</v>
      </c>
      <c r="C10465" t="s">
        <v>1334</v>
      </c>
      <c r="D10465" t="str">
        <f>HYPERLINK("http://service.sap.com/sap/support/notes/1892275","1892275")</f>
        <v>1892275</v>
      </c>
      <c r="E10465">
        <v>1</v>
      </c>
    </row>
    <row r="10466" spans="1:6" x14ac:dyDescent="0.25">
      <c r="A10466" t="s">
        <v>13142</v>
      </c>
      <c r="B10466" t="s">
        <v>1347</v>
      </c>
      <c r="C10466" t="s">
        <v>1327</v>
      </c>
      <c r="D10466" t="str">
        <f>HYPERLINK("http://service.sap.com/sap/support/notes/1900735","1900735")</f>
        <v>1900735</v>
      </c>
      <c r="E10466">
        <v>1</v>
      </c>
      <c r="F10466" t="s">
        <v>12415</v>
      </c>
    </row>
    <row r="10467" spans="1:6" x14ac:dyDescent="0.25">
      <c r="A10467" t="s">
        <v>13142</v>
      </c>
      <c r="B10467" t="s">
        <v>1351</v>
      </c>
      <c r="C10467" t="s">
        <v>1327</v>
      </c>
      <c r="D10467" t="str">
        <f>HYPERLINK("http://service.sap.com/sap/support/notes/1869309","1869309")</f>
        <v>1869309</v>
      </c>
      <c r="E10467">
        <v>10</v>
      </c>
      <c r="F10467" t="s">
        <v>12414</v>
      </c>
    </row>
    <row r="10468" spans="1:6" x14ac:dyDescent="0.25">
      <c r="A10468" t="s">
        <v>13142</v>
      </c>
      <c r="B10468" t="s">
        <v>1351</v>
      </c>
      <c r="C10468" t="s">
        <v>1327</v>
      </c>
      <c r="D10468" t="str">
        <f>HYPERLINK("http://service.sap.com/sap/support/notes/1872614","1872614")</f>
        <v>1872614</v>
      </c>
      <c r="E10468">
        <v>2</v>
      </c>
      <c r="F10468" t="s">
        <v>12413</v>
      </c>
    </row>
    <row r="10469" spans="1:6" x14ac:dyDescent="0.25">
      <c r="A10469" t="s">
        <v>13142</v>
      </c>
      <c r="B10469" t="s">
        <v>1351</v>
      </c>
      <c r="C10469" t="s">
        <v>1327</v>
      </c>
      <c r="D10469" t="str">
        <f>HYPERLINK("http://service.sap.com/sap/support/notes/1880655","1880655")</f>
        <v>1880655</v>
      </c>
      <c r="E10469">
        <v>5</v>
      </c>
      <c r="F10469" t="s">
        <v>12412</v>
      </c>
    </row>
    <row r="10470" spans="1:6" x14ac:dyDescent="0.25">
      <c r="A10470" t="s">
        <v>13142</v>
      </c>
      <c r="B10470" t="s">
        <v>1351</v>
      </c>
      <c r="C10470" t="s">
        <v>1327</v>
      </c>
      <c r="D10470" t="str">
        <f>HYPERLINK("http://service.sap.com/sap/support/notes/1885761","1885761")</f>
        <v>1885761</v>
      </c>
      <c r="E10470">
        <v>6</v>
      </c>
      <c r="F10470" t="s">
        <v>12411</v>
      </c>
    </row>
    <row r="10471" spans="1:6" x14ac:dyDescent="0.25">
      <c r="A10471" t="s">
        <v>13142</v>
      </c>
      <c r="B10471" t="s">
        <v>1351</v>
      </c>
      <c r="C10471" t="s">
        <v>1327</v>
      </c>
      <c r="D10471" t="str">
        <f>HYPERLINK("http://service.sap.com/sap/support/notes/1889169","1889169")</f>
        <v>1889169</v>
      </c>
      <c r="E10471">
        <v>3</v>
      </c>
      <c r="F10471" t="s">
        <v>12410</v>
      </c>
    </row>
    <row r="10472" spans="1:6" x14ac:dyDescent="0.25">
      <c r="A10472" t="s">
        <v>13142</v>
      </c>
      <c r="B10472" t="s">
        <v>1362</v>
      </c>
      <c r="C10472" t="s">
        <v>1327</v>
      </c>
      <c r="D10472" t="str">
        <f>HYPERLINK("http://service.sap.com/sap/support/notes/1869269","1869269")</f>
        <v>1869269</v>
      </c>
      <c r="E10472">
        <v>1</v>
      </c>
      <c r="F10472" t="s">
        <v>12409</v>
      </c>
    </row>
    <row r="10473" spans="1:6" x14ac:dyDescent="0.25">
      <c r="A10473" t="s">
        <v>13142</v>
      </c>
      <c r="B10473" t="s">
        <v>1372</v>
      </c>
      <c r="C10473" t="s">
        <v>9519</v>
      </c>
      <c r="D10473" t="str">
        <f>HYPERLINK("http://service.sap.com/sap/support/notes/1881206","1881206")</f>
        <v>1881206</v>
      </c>
      <c r="E10473">
        <v>1</v>
      </c>
      <c r="F10473" t="s">
        <v>12408</v>
      </c>
    </row>
    <row r="10474" spans="1:6" x14ac:dyDescent="0.25">
      <c r="A10474" t="s">
        <v>13142</v>
      </c>
      <c r="B10474" t="s">
        <v>1374</v>
      </c>
      <c r="C10474" t="s">
        <v>824</v>
      </c>
    </row>
    <row r="10475" spans="1:6" x14ac:dyDescent="0.25">
      <c r="A10475" t="s">
        <v>13142</v>
      </c>
      <c r="B10475" t="s">
        <v>1375</v>
      </c>
      <c r="C10475" t="s">
        <v>1376</v>
      </c>
      <c r="D10475" t="str">
        <f>HYPERLINK("http://service.sap.com/sap/support/notes/1602319","1602319")</f>
        <v>1602319</v>
      </c>
      <c r="E10475">
        <v>4</v>
      </c>
      <c r="F10475" t="s">
        <v>12407</v>
      </c>
    </row>
    <row r="10476" spans="1:6" x14ac:dyDescent="0.25">
      <c r="A10476" t="s">
        <v>13142</v>
      </c>
      <c r="B10476" t="s">
        <v>1375</v>
      </c>
      <c r="C10476" t="s">
        <v>1376</v>
      </c>
      <c r="D10476" t="str">
        <f>HYPERLINK("http://service.sap.com/sap/support/notes/1749769","1749769")</f>
        <v>1749769</v>
      </c>
      <c r="E10476">
        <v>3</v>
      </c>
      <c r="F10476" t="s">
        <v>12406</v>
      </c>
    </row>
    <row r="10477" spans="1:6" x14ac:dyDescent="0.25">
      <c r="A10477" t="s">
        <v>13142</v>
      </c>
      <c r="B10477" t="s">
        <v>1375</v>
      </c>
      <c r="C10477" t="s">
        <v>1376</v>
      </c>
      <c r="D10477" t="str">
        <f>HYPERLINK("http://service.sap.com/sap/support/notes/1800915","1800915")</f>
        <v>1800915</v>
      </c>
      <c r="E10477">
        <v>2</v>
      </c>
      <c r="F10477" t="s">
        <v>12405</v>
      </c>
    </row>
    <row r="10478" spans="1:6" x14ac:dyDescent="0.25">
      <c r="A10478" t="s">
        <v>13142</v>
      </c>
      <c r="B10478" t="s">
        <v>1375</v>
      </c>
      <c r="C10478" t="s">
        <v>1376</v>
      </c>
      <c r="D10478" t="str">
        <f>HYPERLINK("http://service.sap.com/sap/support/notes/1833794","1833794")</f>
        <v>1833794</v>
      </c>
      <c r="E10478">
        <v>1</v>
      </c>
      <c r="F10478" t="s">
        <v>12404</v>
      </c>
    </row>
    <row r="10479" spans="1:6" x14ac:dyDescent="0.25">
      <c r="A10479" t="s">
        <v>13142</v>
      </c>
      <c r="B10479" t="s">
        <v>1375</v>
      </c>
      <c r="C10479" t="s">
        <v>1376</v>
      </c>
      <c r="D10479" t="str">
        <f>HYPERLINK("http://service.sap.com/sap/support/notes/1834797","1834797")</f>
        <v>1834797</v>
      </c>
      <c r="E10479">
        <v>1</v>
      </c>
      <c r="F10479" t="s">
        <v>12403</v>
      </c>
    </row>
    <row r="10480" spans="1:6" x14ac:dyDescent="0.25">
      <c r="A10480" t="s">
        <v>13142</v>
      </c>
      <c r="B10480" t="s">
        <v>1375</v>
      </c>
      <c r="C10480" t="s">
        <v>1376</v>
      </c>
      <c r="D10480" t="str">
        <f>HYPERLINK("http://service.sap.com/sap/support/notes/1838927","1838927")</f>
        <v>1838927</v>
      </c>
      <c r="E10480">
        <v>3</v>
      </c>
      <c r="F10480" t="s">
        <v>12402</v>
      </c>
    </row>
    <row r="10481" spans="1:6" x14ac:dyDescent="0.25">
      <c r="A10481" t="s">
        <v>13142</v>
      </c>
      <c r="B10481" t="s">
        <v>1375</v>
      </c>
      <c r="C10481" t="s">
        <v>1376</v>
      </c>
      <c r="D10481" t="str">
        <f>HYPERLINK("http://service.sap.com/sap/support/notes/1862588","1862588")</f>
        <v>1862588</v>
      </c>
      <c r="E10481">
        <v>2</v>
      </c>
      <c r="F10481" t="s">
        <v>12401</v>
      </c>
    </row>
    <row r="10482" spans="1:6" x14ac:dyDescent="0.25">
      <c r="A10482" t="s">
        <v>13142</v>
      </c>
      <c r="B10482" t="s">
        <v>1375</v>
      </c>
      <c r="C10482" t="s">
        <v>1376</v>
      </c>
      <c r="D10482" t="str">
        <f>HYPERLINK("http://service.sap.com/sap/support/notes/1869404","1869404")</f>
        <v>1869404</v>
      </c>
      <c r="E10482">
        <v>3</v>
      </c>
      <c r="F10482" t="s">
        <v>12400</v>
      </c>
    </row>
    <row r="10483" spans="1:6" x14ac:dyDescent="0.25">
      <c r="A10483" t="s">
        <v>13142</v>
      </c>
      <c r="B10483" t="s">
        <v>1375</v>
      </c>
      <c r="C10483" t="s">
        <v>1376</v>
      </c>
      <c r="D10483" t="str">
        <f>HYPERLINK("http://service.sap.com/sap/support/notes/1880723","1880723")</f>
        <v>1880723</v>
      </c>
      <c r="E10483">
        <v>1</v>
      </c>
      <c r="F10483" t="s">
        <v>12399</v>
      </c>
    </row>
    <row r="10484" spans="1:6" x14ac:dyDescent="0.25">
      <c r="A10484" t="s">
        <v>13142</v>
      </c>
      <c r="B10484" t="s">
        <v>1375</v>
      </c>
      <c r="C10484" t="s">
        <v>1376</v>
      </c>
      <c r="D10484" t="str">
        <f>HYPERLINK("http://service.sap.com/sap/support/notes/1883608","1883608")</f>
        <v>1883608</v>
      </c>
      <c r="E10484">
        <v>7</v>
      </c>
      <c r="F10484" t="s">
        <v>12398</v>
      </c>
    </row>
    <row r="10485" spans="1:6" x14ac:dyDescent="0.25">
      <c r="A10485" t="s">
        <v>13142</v>
      </c>
      <c r="B10485" t="s">
        <v>1389</v>
      </c>
      <c r="C10485" t="s">
        <v>151</v>
      </c>
    </row>
    <row r="10486" spans="1:6" x14ac:dyDescent="0.25">
      <c r="A10486" t="s">
        <v>13142</v>
      </c>
      <c r="B10486" t="s">
        <v>4916</v>
      </c>
      <c r="C10486" t="s">
        <v>4917</v>
      </c>
      <c r="D10486" t="str">
        <f>HYPERLINK("http://service.sap.com/sap/support/notes/1873679","1873679")</f>
        <v>1873679</v>
      </c>
      <c r="E10486">
        <v>2</v>
      </c>
      <c r="F10486" t="s">
        <v>12397</v>
      </c>
    </row>
    <row r="10487" spans="1:6" x14ac:dyDescent="0.25">
      <c r="A10487" t="s">
        <v>13142</v>
      </c>
      <c r="B10487" t="s">
        <v>4919</v>
      </c>
      <c r="C10487" t="s">
        <v>4920</v>
      </c>
      <c r="D10487" t="str">
        <f>HYPERLINK("http://service.sap.com/sap/support/notes/1892216","1892216")</f>
        <v>1892216</v>
      </c>
      <c r="E10487">
        <v>2</v>
      </c>
      <c r="F10487" t="s">
        <v>12396</v>
      </c>
    </row>
    <row r="10488" spans="1:6" x14ac:dyDescent="0.25">
      <c r="A10488" t="s">
        <v>13142</v>
      </c>
      <c r="B10488" t="s">
        <v>7218</v>
      </c>
      <c r="C10488" t="s">
        <v>887</v>
      </c>
      <c r="D10488" t="str">
        <f>HYPERLINK("http://service.sap.com/sap/support/notes/1887135","1887135")</f>
        <v>1887135</v>
      </c>
      <c r="E10488">
        <v>1</v>
      </c>
      <c r="F10488" t="s">
        <v>12395</v>
      </c>
    </row>
    <row r="10489" spans="1:6" x14ac:dyDescent="0.25">
      <c r="A10489" t="s">
        <v>13142</v>
      </c>
      <c r="B10489" t="s">
        <v>1395</v>
      </c>
      <c r="C10489" t="s">
        <v>445</v>
      </c>
      <c r="D10489" t="str">
        <f>HYPERLINK("http://service.sap.com/sap/support/notes/1806095","1806095")</f>
        <v>1806095</v>
      </c>
      <c r="E10489">
        <v>3</v>
      </c>
      <c r="F10489" t="s">
        <v>12394</v>
      </c>
    </row>
    <row r="10490" spans="1:6" x14ac:dyDescent="0.25">
      <c r="A10490" t="s">
        <v>13142</v>
      </c>
      <c r="B10490" t="s">
        <v>1398</v>
      </c>
      <c r="C10490" t="s">
        <v>1399</v>
      </c>
      <c r="D10490" t="str">
        <f>HYPERLINK("http://service.sap.com/sap/support/notes/1902169","1902169")</f>
        <v>1902169</v>
      </c>
      <c r="E10490">
        <v>1</v>
      </c>
      <c r="F10490" t="s">
        <v>12393</v>
      </c>
    </row>
    <row r="10491" spans="1:6" x14ac:dyDescent="0.25">
      <c r="A10491" t="s">
        <v>13142</v>
      </c>
      <c r="B10491" t="s">
        <v>1404</v>
      </c>
      <c r="C10491" t="s">
        <v>1405</v>
      </c>
    </row>
    <row r="10492" spans="1:6" x14ac:dyDescent="0.25">
      <c r="A10492" t="s">
        <v>13142</v>
      </c>
      <c r="B10492" t="s">
        <v>1406</v>
      </c>
      <c r="C10492" t="s">
        <v>1407</v>
      </c>
      <c r="D10492" t="str">
        <f>HYPERLINK("http://service.sap.com/sap/support/notes/1776934","1776934")</f>
        <v>1776934</v>
      </c>
      <c r="E10492">
        <v>1</v>
      </c>
      <c r="F10492" t="s">
        <v>12392</v>
      </c>
    </row>
    <row r="10493" spans="1:6" x14ac:dyDescent="0.25">
      <c r="A10493" t="s">
        <v>13142</v>
      </c>
      <c r="B10493" t="s">
        <v>1406</v>
      </c>
      <c r="C10493" t="s">
        <v>1407</v>
      </c>
      <c r="D10493" t="str">
        <f>HYPERLINK("http://service.sap.com/sap/support/notes/1858752","1858752")</f>
        <v>1858752</v>
      </c>
      <c r="E10493">
        <v>2</v>
      </c>
      <c r="F10493" t="s">
        <v>9533</v>
      </c>
    </row>
    <row r="10494" spans="1:6" x14ac:dyDescent="0.25">
      <c r="A10494" t="s">
        <v>13142</v>
      </c>
      <c r="B10494" t="s">
        <v>1411</v>
      </c>
      <c r="C10494" t="s">
        <v>1412</v>
      </c>
    </row>
    <row r="10495" spans="1:6" x14ac:dyDescent="0.25">
      <c r="A10495" t="s">
        <v>13142</v>
      </c>
      <c r="B10495" t="s">
        <v>1416</v>
      </c>
      <c r="C10495" t="s">
        <v>1417</v>
      </c>
    </row>
    <row r="10496" spans="1:6" x14ac:dyDescent="0.25">
      <c r="A10496" t="s">
        <v>13142</v>
      </c>
      <c r="B10496" t="s">
        <v>1418</v>
      </c>
      <c r="C10496" t="s">
        <v>1419</v>
      </c>
    </row>
    <row r="10497" spans="1:6" x14ac:dyDescent="0.25">
      <c r="A10497" t="s">
        <v>13142</v>
      </c>
      <c r="B10497" t="s">
        <v>1420</v>
      </c>
      <c r="C10497" t="s">
        <v>1421</v>
      </c>
      <c r="D10497" t="str">
        <f>HYPERLINK("http://service.sap.com/sap/support/notes/1847875","1847875")</f>
        <v>1847875</v>
      </c>
      <c r="E10497">
        <v>3</v>
      </c>
      <c r="F10497" t="s">
        <v>9534</v>
      </c>
    </row>
    <row r="10498" spans="1:6" x14ac:dyDescent="0.25">
      <c r="A10498" t="s">
        <v>13142</v>
      </c>
      <c r="B10498" t="s">
        <v>1420</v>
      </c>
      <c r="C10498" t="s">
        <v>1421</v>
      </c>
      <c r="D10498" t="str">
        <f>HYPERLINK("http://service.sap.com/sap/support/notes/1876400","1876400")</f>
        <v>1876400</v>
      </c>
      <c r="E10498">
        <v>1</v>
      </c>
      <c r="F10498" t="s">
        <v>12391</v>
      </c>
    </row>
    <row r="10499" spans="1:6" x14ac:dyDescent="0.25">
      <c r="A10499" t="s">
        <v>13142</v>
      </c>
      <c r="B10499" t="s">
        <v>1420</v>
      </c>
      <c r="C10499" t="s">
        <v>1421</v>
      </c>
      <c r="D10499" t="str">
        <f>HYPERLINK("http://service.sap.com/sap/support/notes/1877390","1877390")</f>
        <v>1877390</v>
      </c>
      <c r="E10499">
        <v>2</v>
      </c>
      <c r="F10499" t="s">
        <v>12390</v>
      </c>
    </row>
    <row r="10500" spans="1:6" x14ac:dyDescent="0.25">
      <c r="A10500" t="s">
        <v>13142</v>
      </c>
      <c r="B10500" t="s">
        <v>1420</v>
      </c>
      <c r="C10500" t="s">
        <v>1421</v>
      </c>
      <c r="D10500" t="str">
        <f>HYPERLINK("http://service.sap.com/sap/support/notes/1881181","1881181")</f>
        <v>1881181</v>
      </c>
      <c r="E10500">
        <v>3</v>
      </c>
      <c r="F10500" t="s">
        <v>12389</v>
      </c>
    </row>
    <row r="10501" spans="1:6" x14ac:dyDescent="0.25">
      <c r="A10501" t="s">
        <v>13142</v>
      </c>
      <c r="B10501" t="s">
        <v>1420</v>
      </c>
      <c r="C10501" t="s">
        <v>1421</v>
      </c>
      <c r="D10501" t="str">
        <f>HYPERLINK("http://service.sap.com/sap/support/notes/1898035","1898035")</f>
        <v>1898035</v>
      </c>
      <c r="E10501">
        <v>2</v>
      </c>
      <c r="F10501" t="s">
        <v>12388</v>
      </c>
    </row>
    <row r="10502" spans="1:6" x14ac:dyDescent="0.25">
      <c r="A10502" t="s">
        <v>13142</v>
      </c>
      <c r="B10502" t="s">
        <v>9539</v>
      </c>
      <c r="C10502" t="s">
        <v>9540</v>
      </c>
      <c r="D10502" t="str">
        <f>HYPERLINK("http://service.sap.com/sap/support/notes/1899438","1899438")</f>
        <v>1899438</v>
      </c>
      <c r="E10502">
        <v>2</v>
      </c>
      <c r="F10502" t="s">
        <v>12387</v>
      </c>
    </row>
    <row r="10503" spans="1:6" x14ac:dyDescent="0.25">
      <c r="A10503" t="s">
        <v>13142</v>
      </c>
      <c r="B10503" t="s">
        <v>1425</v>
      </c>
      <c r="C10503" t="s">
        <v>1426</v>
      </c>
      <c r="D10503" t="str">
        <f>HYPERLINK("http://service.sap.com/sap/support/notes/1838437","1838437")</f>
        <v>1838437</v>
      </c>
      <c r="E10503">
        <v>3</v>
      </c>
      <c r="F10503" t="s">
        <v>12386</v>
      </c>
    </row>
    <row r="10504" spans="1:6" x14ac:dyDescent="0.25">
      <c r="A10504" t="s">
        <v>13142</v>
      </c>
      <c r="B10504" t="s">
        <v>1425</v>
      </c>
      <c r="C10504" t="s">
        <v>1426</v>
      </c>
      <c r="D10504" t="str">
        <f>HYPERLINK("http://service.sap.com/sap/support/notes/1855084","1855084")</f>
        <v>1855084</v>
      </c>
      <c r="E10504">
        <v>3</v>
      </c>
      <c r="F10504" t="s">
        <v>12385</v>
      </c>
    </row>
    <row r="10505" spans="1:6" x14ac:dyDescent="0.25">
      <c r="A10505" t="s">
        <v>13142</v>
      </c>
      <c r="B10505" t="s">
        <v>1425</v>
      </c>
      <c r="C10505" t="s">
        <v>1426</v>
      </c>
      <c r="D10505" t="str">
        <f>HYPERLINK("http://service.sap.com/sap/support/notes/1858741","1858741")</f>
        <v>1858741</v>
      </c>
      <c r="E10505">
        <v>1</v>
      </c>
      <c r="F10505" t="s">
        <v>12384</v>
      </c>
    </row>
    <row r="10506" spans="1:6" x14ac:dyDescent="0.25">
      <c r="A10506" t="s">
        <v>13142</v>
      </c>
      <c r="B10506" t="s">
        <v>1425</v>
      </c>
      <c r="C10506" t="s">
        <v>1426</v>
      </c>
      <c r="D10506" t="str">
        <f>HYPERLINK("http://service.sap.com/sap/support/notes/1871832","1871832")</f>
        <v>1871832</v>
      </c>
      <c r="E10506">
        <v>1</v>
      </c>
      <c r="F10506" t="s">
        <v>12383</v>
      </c>
    </row>
    <row r="10507" spans="1:6" x14ac:dyDescent="0.25">
      <c r="A10507" t="s">
        <v>13142</v>
      </c>
      <c r="B10507" t="s">
        <v>1425</v>
      </c>
      <c r="C10507" t="s">
        <v>1426</v>
      </c>
      <c r="D10507" t="str">
        <f>HYPERLINK("http://service.sap.com/sap/support/notes/1873112","1873112")</f>
        <v>1873112</v>
      </c>
      <c r="E10507">
        <v>3</v>
      </c>
      <c r="F10507" t="s">
        <v>12382</v>
      </c>
    </row>
    <row r="10508" spans="1:6" x14ac:dyDescent="0.25">
      <c r="A10508" t="s">
        <v>13142</v>
      </c>
      <c r="B10508" t="s">
        <v>1425</v>
      </c>
      <c r="C10508" t="s">
        <v>1426</v>
      </c>
      <c r="D10508" t="str">
        <f>HYPERLINK("http://service.sap.com/sap/support/notes/1873677","1873677")</f>
        <v>1873677</v>
      </c>
      <c r="E10508">
        <v>1</v>
      </c>
      <c r="F10508" t="s">
        <v>12381</v>
      </c>
    </row>
    <row r="10509" spans="1:6" x14ac:dyDescent="0.25">
      <c r="A10509" t="s">
        <v>13142</v>
      </c>
      <c r="B10509" t="s">
        <v>1425</v>
      </c>
      <c r="C10509" t="s">
        <v>1426</v>
      </c>
      <c r="D10509" t="str">
        <f>HYPERLINK("http://service.sap.com/sap/support/notes/1876093","1876093")</f>
        <v>1876093</v>
      </c>
      <c r="E10509">
        <v>2</v>
      </c>
      <c r="F10509" t="s">
        <v>12380</v>
      </c>
    </row>
    <row r="10510" spans="1:6" x14ac:dyDescent="0.25">
      <c r="A10510" t="s">
        <v>13142</v>
      </c>
      <c r="B10510" t="s">
        <v>1425</v>
      </c>
      <c r="C10510" t="s">
        <v>1426</v>
      </c>
      <c r="D10510" t="str">
        <f>HYPERLINK("http://service.sap.com/sap/support/notes/1887724","1887724")</f>
        <v>1887724</v>
      </c>
      <c r="E10510">
        <v>5</v>
      </c>
      <c r="F10510" t="s">
        <v>12379</v>
      </c>
    </row>
    <row r="10511" spans="1:6" x14ac:dyDescent="0.25">
      <c r="A10511" t="s">
        <v>13142</v>
      </c>
      <c r="B10511" t="s">
        <v>1425</v>
      </c>
      <c r="C10511" t="s">
        <v>1426</v>
      </c>
      <c r="D10511" t="str">
        <f>HYPERLINK("http://service.sap.com/sap/support/notes/1892712","1892712")</f>
        <v>1892712</v>
      </c>
      <c r="E10511">
        <v>1</v>
      </c>
      <c r="F10511" t="s">
        <v>12378</v>
      </c>
    </row>
    <row r="10512" spans="1:6" x14ac:dyDescent="0.25">
      <c r="A10512" t="s">
        <v>13142</v>
      </c>
      <c r="B10512" t="s">
        <v>1425</v>
      </c>
      <c r="C10512" t="s">
        <v>1426</v>
      </c>
      <c r="D10512" t="str">
        <f>HYPERLINK("http://service.sap.com/sap/support/notes/1894327","1894327")</f>
        <v>1894327</v>
      </c>
      <c r="E10512">
        <v>1</v>
      </c>
      <c r="F10512" t="s">
        <v>12377</v>
      </c>
    </row>
    <row r="10513" spans="1:6" x14ac:dyDescent="0.25">
      <c r="A10513" t="s">
        <v>13142</v>
      </c>
      <c r="B10513" t="s">
        <v>1444</v>
      </c>
      <c r="C10513" t="s">
        <v>1445</v>
      </c>
      <c r="D10513" t="str">
        <f>HYPERLINK("http://service.sap.com/sap/support/notes/1893252","1893252")</f>
        <v>1893252</v>
      </c>
      <c r="E10513">
        <v>1</v>
      </c>
      <c r="F10513" t="s">
        <v>12376</v>
      </c>
    </row>
    <row r="10514" spans="1:6" x14ac:dyDescent="0.25">
      <c r="A10514" t="s">
        <v>13142</v>
      </c>
      <c r="B10514" t="s">
        <v>1447</v>
      </c>
      <c r="C10514" t="s">
        <v>151</v>
      </c>
      <c r="D10514" t="str">
        <f>HYPERLINK("http://service.sap.com/sap/support/notes/1846503","1846503")</f>
        <v>1846503</v>
      </c>
      <c r="E10514">
        <v>4</v>
      </c>
      <c r="F10514" t="s">
        <v>12375</v>
      </c>
    </row>
    <row r="10515" spans="1:6" x14ac:dyDescent="0.25">
      <c r="A10515" t="s">
        <v>13142</v>
      </c>
      <c r="B10515" t="s">
        <v>1447</v>
      </c>
      <c r="C10515" t="s">
        <v>151</v>
      </c>
      <c r="D10515" t="str">
        <f>HYPERLINK("http://service.sap.com/sap/support/notes/1867370","1867370")</f>
        <v>1867370</v>
      </c>
      <c r="E10515">
        <v>5</v>
      </c>
      <c r="F10515" t="s">
        <v>12374</v>
      </c>
    </row>
    <row r="10516" spans="1:6" x14ac:dyDescent="0.25">
      <c r="A10516" t="s">
        <v>13142</v>
      </c>
      <c r="B10516" t="s">
        <v>1447</v>
      </c>
      <c r="C10516" t="s">
        <v>151</v>
      </c>
      <c r="D10516" t="str">
        <f>HYPERLINK("http://service.sap.com/sap/support/notes/1894998","1894998")</f>
        <v>1894998</v>
      </c>
      <c r="E10516">
        <v>2</v>
      </c>
    </row>
    <row r="10517" spans="1:6" x14ac:dyDescent="0.25">
      <c r="A10517" t="s">
        <v>13142</v>
      </c>
      <c r="B10517" t="s">
        <v>1459</v>
      </c>
      <c r="C10517" t="s">
        <v>1460</v>
      </c>
      <c r="D10517" t="str">
        <f>HYPERLINK("http://service.sap.com/sap/support/notes/1823874","1823874")</f>
        <v>1823874</v>
      </c>
      <c r="E10517">
        <v>3</v>
      </c>
      <c r="F10517" t="s">
        <v>12373</v>
      </c>
    </row>
    <row r="10518" spans="1:6" x14ac:dyDescent="0.25">
      <c r="A10518" t="s">
        <v>13142</v>
      </c>
      <c r="B10518" t="s">
        <v>1459</v>
      </c>
      <c r="C10518" t="s">
        <v>1460</v>
      </c>
      <c r="D10518" t="str">
        <f>HYPERLINK("http://service.sap.com/sap/support/notes/1847366","1847366")</f>
        <v>1847366</v>
      </c>
      <c r="E10518">
        <v>2</v>
      </c>
      <c r="F10518" t="s">
        <v>12372</v>
      </c>
    </row>
    <row r="10519" spans="1:6" x14ac:dyDescent="0.25">
      <c r="A10519" t="s">
        <v>13142</v>
      </c>
      <c r="B10519" t="s">
        <v>1459</v>
      </c>
      <c r="C10519" t="s">
        <v>1460</v>
      </c>
      <c r="D10519" t="str">
        <f>HYPERLINK("http://service.sap.com/sap/support/notes/1848335","1848335")</f>
        <v>1848335</v>
      </c>
      <c r="E10519">
        <v>4</v>
      </c>
      <c r="F10519" t="s">
        <v>9554</v>
      </c>
    </row>
    <row r="10520" spans="1:6" x14ac:dyDescent="0.25">
      <c r="A10520" t="s">
        <v>13142</v>
      </c>
      <c r="B10520" t="s">
        <v>1459</v>
      </c>
      <c r="C10520" t="s">
        <v>1460</v>
      </c>
      <c r="D10520" t="str">
        <f>HYPERLINK("http://service.sap.com/sap/support/notes/1849785","1849785")</f>
        <v>1849785</v>
      </c>
      <c r="E10520">
        <v>3</v>
      </c>
      <c r="F10520" t="s">
        <v>12371</v>
      </c>
    </row>
    <row r="10521" spans="1:6" x14ac:dyDescent="0.25">
      <c r="A10521" t="s">
        <v>13142</v>
      </c>
      <c r="B10521" t="s">
        <v>1459</v>
      </c>
      <c r="C10521" t="s">
        <v>1460</v>
      </c>
      <c r="D10521" t="str">
        <f>HYPERLINK("http://service.sap.com/sap/support/notes/1873127","1873127")</f>
        <v>1873127</v>
      </c>
      <c r="E10521">
        <v>2</v>
      </c>
      <c r="F10521" t="s">
        <v>12370</v>
      </c>
    </row>
    <row r="10522" spans="1:6" x14ac:dyDescent="0.25">
      <c r="A10522" t="s">
        <v>13142</v>
      </c>
      <c r="B10522" t="s">
        <v>1459</v>
      </c>
      <c r="C10522" t="s">
        <v>1460</v>
      </c>
      <c r="D10522" t="str">
        <f>HYPERLINK("http://service.sap.com/sap/support/notes/1874170","1874170")</f>
        <v>1874170</v>
      </c>
      <c r="E10522">
        <v>2</v>
      </c>
      <c r="F10522" t="s">
        <v>12369</v>
      </c>
    </row>
    <row r="10523" spans="1:6" x14ac:dyDescent="0.25">
      <c r="A10523" t="s">
        <v>13142</v>
      </c>
      <c r="B10523" t="s">
        <v>1459</v>
      </c>
      <c r="C10523" t="s">
        <v>1460</v>
      </c>
      <c r="D10523" t="str">
        <f>HYPERLINK("http://service.sap.com/sap/support/notes/1875417","1875417")</f>
        <v>1875417</v>
      </c>
      <c r="E10523">
        <v>1</v>
      </c>
      <c r="F10523" t="s">
        <v>12368</v>
      </c>
    </row>
    <row r="10524" spans="1:6" x14ac:dyDescent="0.25">
      <c r="A10524" t="s">
        <v>13142</v>
      </c>
      <c r="B10524" t="s">
        <v>1459</v>
      </c>
      <c r="C10524" t="s">
        <v>1460</v>
      </c>
      <c r="D10524" t="str">
        <f>HYPERLINK("http://service.sap.com/sap/support/notes/1885719","1885719")</f>
        <v>1885719</v>
      </c>
      <c r="E10524">
        <v>1</v>
      </c>
      <c r="F10524" t="s">
        <v>12367</v>
      </c>
    </row>
    <row r="10525" spans="1:6" x14ac:dyDescent="0.25">
      <c r="A10525" t="s">
        <v>13142</v>
      </c>
      <c r="B10525" t="s">
        <v>1473</v>
      </c>
      <c r="C10525" t="s">
        <v>1474</v>
      </c>
      <c r="D10525" t="str">
        <f>HYPERLINK("http://service.sap.com/sap/support/notes/1727889","1727889")</f>
        <v>1727889</v>
      </c>
      <c r="E10525">
        <v>4</v>
      </c>
      <c r="F10525" t="s">
        <v>1478</v>
      </c>
    </row>
    <row r="10526" spans="1:6" x14ac:dyDescent="0.25">
      <c r="A10526" t="s">
        <v>13142</v>
      </c>
      <c r="B10526" t="s">
        <v>1473</v>
      </c>
      <c r="C10526" t="s">
        <v>1474</v>
      </c>
      <c r="D10526" t="str">
        <f>HYPERLINK("http://service.sap.com/sap/support/notes/1820824","1820824")</f>
        <v>1820824</v>
      </c>
      <c r="E10526">
        <v>3</v>
      </c>
      <c r="F10526" t="s">
        <v>12366</v>
      </c>
    </row>
    <row r="10527" spans="1:6" x14ac:dyDescent="0.25">
      <c r="A10527" t="s">
        <v>13142</v>
      </c>
      <c r="B10527" t="s">
        <v>1473</v>
      </c>
      <c r="C10527" t="s">
        <v>1474</v>
      </c>
      <c r="D10527" t="str">
        <f>HYPERLINK("http://service.sap.com/sap/support/notes/1844978","1844978")</f>
        <v>1844978</v>
      </c>
      <c r="E10527">
        <v>2</v>
      </c>
      <c r="F10527" t="s">
        <v>12365</v>
      </c>
    </row>
    <row r="10528" spans="1:6" x14ac:dyDescent="0.25">
      <c r="A10528" t="s">
        <v>13142</v>
      </c>
      <c r="B10528" t="s">
        <v>1473</v>
      </c>
      <c r="C10528" t="s">
        <v>1474</v>
      </c>
      <c r="D10528" t="str">
        <f>HYPERLINK("http://service.sap.com/sap/support/notes/1852392","1852392")</f>
        <v>1852392</v>
      </c>
      <c r="E10528">
        <v>1</v>
      </c>
      <c r="F10528" t="s">
        <v>12364</v>
      </c>
    </row>
    <row r="10529" spans="1:6" x14ac:dyDescent="0.25">
      <c r="A10529" t="s">
        <v>13142</v>
      </c>
      <c r="B10529" t="s">
        <v>1473</v>
      </c>
      <c r="C10529" t="s">
        <v>1474</v>
      </c>
      <c r="D10529" t="str">
        <f>HYPERLINK("http://service.sap.com/sap/support/notes/1893268","1893268")</f>
        <v>1893268</v>
      </c>
      <c r="E10529">
        <v>1</v>
      </c>
      <c r="F10529" t="s">
        <v>12363</v>
      </c>
    </row>
    <row r="10530" spans="1:6" x14ac:dyDescent="0.25">
      <c r="A10530" t="s">
        <v>13142</v>
      </c>
      <c r="B10530" t="s">
        <v>4958</v>
      </c>
      <c r="C10530" t="s">
        <v>4959</v>
      </c>
      <c r="D10530" t="str">
        <f>HYPERLINK("http://service.sap.com/sap/support/notes/1860919","1860919")</f>
        <v>1860919</v>
      </c>
      <c r="E10530">
        <v>3</v>
      </c>
      <c r="F10530" t="s">
        <v>12362</v>
      </c>
    </row>
    <row r="10531" spans="1:6" x14ac:dyDescent="0.25">
      <c r="A10531" t="s">
        <v>13142</v>
      </c>
      <c r="B10531" t="s">
        <v>4961</v>
      </c>
      <c r="C10531" t="s">
        <v>4962</v>
      </c>
      <c r="D10531" t="str">
        <f>HYPERLINK("http://service.sap.com/sap/support/notes/1882635","1882635")</f>
        <v>1882635</v>
      </c>
      <c r="E10531">
        <v>1</v>
      </c>
      <c r="F10531" t="s">
        <v>12361</v>
      </c>
    </row>
    <row r="10532" spans="1:6" x14ac:dyDescent="0.25">
      <c r="A10532" t="s">
        <v>13142</v>
      </c>
      <c r="B10532" t="s">
        <v>4961</v>
      </c>
      <c r="C10532" t="s">
        <v>4962</v>
      </c>
      <c r="D10532" t="str">
        <f>HYPERLINK("http://service.sap.com/sap/support/notes/1891212","1891212")</f>
        <v>1891212</v>
      </c>
      <c r="E10532">
        <v>1</v>
      </c>
      <c r="F10532" t="s">
        <v>12360</v>
      </c>
    </row>
    <row r="10533" spans="1:6" x14ac:dyDescent="0.25">
      <c r="A10533" t="s">
        <v>13142</v>
      </c>
      <c r="B10533" t="s">
        <v>1482</v>
      </c>
      <c r="C10533" t="s">
        <v>1483</v>
      </c>
      <c r="D10533" t="str">
        <f>HYPERLINK("http://service.sap.com/sap/support/notes/1694622","1694622")</f>
        <v>1694622</v>
      </c>
      <c r="E10533">
        <v>1</v>
      </c>
      <c r="F10533" t="s">
        <v>12359</v>
      </c>
    </row>
    <row r="10534" spans="1:6" x14ac:dyDescent="0.25">
      <c r="A10534" t="s">
        <v>13142</v>
      </c>
      <c r="B10534" t="s">
        <v>1482</v>
      </c>
      <c r="C10534" t="s">
        <v>1483</v>
      </c>
      <c r="D10534" t="str">
        <f>HYPERLINK("http://service.sap.com/sap/support/notes/1892071","1892071")</f>
        <v>1892071</v>
      </c>
      <c r="E10534">
        <v>1</v>
      </c>
      <c r="F10534" t="s">
        <v>8324</v>
      </c>
    </row>
    <row r="10535" spans="1:6" x14ac:dyDescent="0.25">
      <c r="A10535" t="s">
        <v>13142</v>
      </c>
      <c r="B10535" t="s">
        <v>7258</v>
      </c>
      <c r="C10535" t="s">
        <v>151</v>
      </c>
    </row>
    <row r="10536" spans="1:6" x14ac:dyDescent="0.25">
      <c r="A10536" t="s">
        <v>13142</v>
      </c>
      <c r="B10536" t="s">
        <v>7259</v>
      </c>
      <c r="C10536" t="s">
        <v>7260</v>
      </c>
      <c r="D10536" t="str">
        <f>HYPERLINK("http://service.sap.com/sap/support/notes/1886063","1886063")</f>
        <v>1886063</v>
      </c>
      <c r="E10536">
        <v>1</v>
      </c>
      <c r="F10536" t="s">
        <v>12358</v>
      </c>
    </row>
    <row r="10537" spans="1:6" x14ac:dyDescent="0.25">
      <c r="A10537" t="s">
        <v>13142</v>
      </c>
      <c r="B10537" t="s">
        <v>7259</v>
      </c>
      <c r="C10537" t="s">
        <v>7260</v>
      </c>
      <c r="D10537" t="str">
        <f>HYPERLINK("http://service.sap.com/sap/support/notes/1889628","1889628")</f>
        <v>1889628</v>
      </c>
      <c r="E10537">
        <v>3</v>
      </c>
      <c r="F10537" t="s">
        <v>12357</v>
      </c>
    </row>
    <row r="10538" spans="1:6" x14ac:dyDescent="0.25">
      <c r="A10538" t="s">
        <v>13142</v>
      </c>
      <c r="B10538" t="s">
        <v>4965</v>
      </c>
      <c r="C10538" t="s">
        <v>4966</v>
      </c>
      <c r="D10538" t="str">
        <f>HYPERLINK("http://service.sap.com/sap/support/notes/1856930","1856930")</f>
        <v>1856930</v>
      </c>
      <c r="E10538">
        <v>2</v>
      </c>
      <c r="F10538" t="s">
        <v>12356</v>
      </c>
    </row>
    <row r="10539" spans="1:6" x14ac:dyDescent="0.25">
      <c r="A10539" t="s">
        <v>13142</v>
      </c>
      <c r="B10539" t="s">
        <v>4965</v>
      </c>
      <c r="C10539" t="s">
        <v>4966</v>
      </c>
      <c r="D10539" t="str">
        <f>HYPERLINK("http://service.sap.com/sap/support/notes/1869868","1869868")</f>
        <v>1869868</v>
      </c>
      <c r="E10539">
        <v>2</v>
      </c>
      <c r="F10539" t="s">
        <v>12355</v>
      </c>
    </row>
    <row r="10540" spans="1:6" x14ac:dyDescent="0.25">
      <c r="A10540" t="s">
        <v>13142</v>
      </c>
      <c r="B10540" t="s">
        <v>1488</v>
      </c>
      <c r="C10540" t="s">
        <v>1489</v>
      </c>
      <c r="D10540" t="str">
        <f>HYPERLINK("http://service.sap.com/sap/support/notes/1867184","1867184")</f>
        <v>1867184</v>
      </c>
      <c r="E10540">
        <v>2</v>
      </c>
    </row>
    <row r="10541" spans="1:6" x14ac:dyDescent="0.25">
      <c r="A10541" t="s">
        <v>13142</v>
      </c>
      <c r="B10541" t="s">
        <v>1488</v>
      </c>
      <c r="C10541" t="s">
        <v>1489</v>
      </c>
      <c r="D10541" t="str">
        <f>HYPERLINK("http://service.sap.com/sap/support/notes/1893542","1893542")</f>
        <v>1893542</v>
      </c>
      <c r="E10541">
        <v>2</v>
      </c>
      <c r="F10541" t="s">
        <v>12354</v>
      </c>
    </row>
    <row r="10542" spans="1:6" x14ac:dyDescent="0.25">
      <c r="A10542" t="s">
        <v>13142</v>
      </c>
      <c r="B10542" t="s">
        <v>1488</v>
      </c>
      <c r="C10542" t="s">
        <v>1489</v>
      </c>
      <c r="D10542" t="str">
        <f>HYPERLINK("http://service.sap.com/sap/support/notes/1893655","1893655")</f>
        <v>1893655</v>
      </c>
      <c r="E10542">
        <v>3</v>
      </c>
      <c r="F10542" t="s">
        <v>12353</v>
      </c>
    </row>
    <row r="10543" spans="1:6" x14ac:dyDescent="0.25">
      <c r="A10543" t="s">
        <v>13142</v>
      </c>
      <c r="B10543" t="s">
        <v>1488</v>
      </c>
      <c r="C10543" t="s">
        <v>1489</v>
      </c>
      <c r="D10543" t="str">
        <f>HYPERLINK("http://service.sap.com/sap/support/notes/1894360","1894360")</f>
        <v>1894360</v>
      </c>
      <c r="E10543">
        <v>1</v>
      </c>
      <c r="F10543" t="s">
        <v>12352</v>
      </c>
    </row>
    <row r="10544" spans="1:6" x14ac:dyDescent="0.25">
      <c r="A10544" t="s">
        <v>13142</v>
      </c>
      <c r="B10544" t="s">
        <v>12351</v>
      </c>
      <c r="C10544" t="s">
        <v>12350</v>
      </c>
    </row>
    <row r="10545" spans="1:6" x14ac:dyDescent="0.25">
      <c r="A10545" t="s">
        <v>13142</v>
      </c>
      <c r="B10545" t="s">
        <v>12344</v>
      </c>
      <c r="C10545" t="s">
        <v>12343</v>
      </c>
      <c r="D10545" t="str">
        <f>HYPERLINK("http://service.sap.com/sap/support/notes/1864230","1864230")</f>
        <v>1864230</v>
      </c>
      <c r="E10545">
        <v>2</v>
      </c>
      <c r="F10545" t="s">
        <v>12349</v>
      </c>
    </row>
    <row r="10546" spans="1:6" x14ac:dyDescent="0.25">
      <c r="A10546" t="s">
        <v>13142</v>
      </c>
      <c r="B10546" t="s">
        <v>12344</v>
      </c>
      <c r="C10546" t="s">
        <v>12343</v>
      </c>
      <c r="D10546" t="str">
        <f>HYPERLINK("http://service.sap.com/sap/support/notes/1870122","1870122")</f>
        <v>1870122</v>
      </c>
      <c r="E10546">
        <v>1</v>
      </c>
      <c r="F10546" t="s">
        <v>12348</v>
      </c>
    </row>
    <row r="10547" spans="1:6" x14ac:dyDescent="0.25">
      <c r="A10547" t="s">
        <v>13142</v>
      </c>
      <c r="B10547" t="s">
        <v>12344</v>
      </c>
      <c r="C10547" t="s">
        <v>12343</v>
      </c>
      <c r="D10547" t="str">
        <f>HYPERLINK("http://service.sap.com/sap/support/notes/1871231","1871231")</f>
        <v>1871231</v>
      </c>
      <c r="E10547">
        <v>1</v>
      </c>
      <c r="F10547" t="s">
        <v>12347</v>
      </c>
    </row>
    <row r="10548" spans="1:6" x14ac:dyDescent="0.25">
      <c r="A10548" t="s">
        <v>13142</v>
      </c>
      <c r="B10548" t="s">
        <v>12344</v>
      </c>
      <c r="C10548" t="s">
        <v>12343</v>
      </c>
      <c r="D10548" t="str">
        <f>HYPERLINK("http://service.sap.com/sap/support/notes/1889121","1889121")</f>
        <v>1889121</v>
      </c>
      <c r="E10548">
        <v>1</v>
      </c>
      <c r="F10548" t="s">
        <v>12346</v>
      </c>
    </row>
    <row r="10549" spans="1:6" x14ac:dyDescent="0.25">
      <c r="A10549" t="s">
        <v>13142</v>
      </c>
      <c r="B10549" t="s">
        <v>12344</v>
      </c>
      <c r="C10549" t="s">
        <v>12343</v>
      </c>
      <c r="D10549" t="str">
        <f>HYPERLINK("http://service.sap.com/sap/support/notes/1894131","1894131")</f>
        <v>1894131</v>
      </c>
      <c r="E10549">
        <v>1</v>
      </c>
      <c r="F10549" t="s">
        <v>12345</v>
      </c>
    </row>
    <row r="10550" spans="1:6" x14ac:dyDescent="0.25">
      <c r="A10550" t="s">
        <v>13142</v>
      </c>
      <c r="B10550" t="s">
        <v>12344</v>
      </c>
      <c r="C10550" t="s">
        <v>12343</v>
      </c>
      <c r="D10550" t="str">
        <f>HYPERLINK("http://service.sap.com/sap/support/notes/1894759","1894759")</f>
        <v>1894759</v>
      </c>
      <c r="E10550">
        <v>1</v>
      </c>
      <c r="F10550" t="s">
        <v>12342</v>
      </c>
    </row>
    <row r="10551" spans="1:6" x14ac:dyDescent="0.25">
      <c r="A10551" t="s">
        <v>13142</v>
      </c>
      <c r="B10551" t="s">
        <v>1496</v>
      </c>
      <c r="C10551" t="s">
        <v>1497</v>
      </c>
    </row>
    <row r="10552" spans="1:6" x14ac:dyDescent="0.25">
      <c r="A10552" t="s">
        <v>13142</v>
      </c>
      <c r="B10552" t="s">
        <v>1498</v>
      </c>
      <c r="C10552" t="s">
        <v>126</v>
      </c>
      <c r="D10552" t="str">
        <f>HYPERLINK("http://service.sap.com/sap/support/notes/1837398","1837398")</f>
        <v>1837398</v>
      </c>
      <c r="E10552">
        <v>7</v>
      </c>
      <c r="F10552" t="s">
        <v>12341</v>
      </c>
    </row>
    <row r="10553" spans="1:6" x14ac:dyDescent="0.25">
      <c r="A10553" t="s">
        <v>13142</v>
      </c>
      <c r="B10553" t="s">
        <v>1498</v>
      </c>
      <c r="C10553" t="s">
        <v>126</v>
      </c>
      <c r="D10553" t="str">
        <f>HYPERLINK("http://service.sap.com/sap/support/notes/1869919","1869919")</f>
        <v>1869919</v>
      </c>
      <c r="E10553">
        <v>4</v>
      </c>
      <c r="F10553" t="s">
        <v>12340</v>
      </c>
    </row>
    <row r="10554" spans="1:6" x14ac:dyDescent="0.25">
      <c r="A10554" t="s">
        <v>13142</v>
      </c>
      <c r="B10554" t="s">
        <v>1498</v>
      </c>
      <c r="C10554" t="s">
        <v>126</v>
      </c>
      <c r="D10554" t="str">
        <f>HYPERLINK("http://service.sap.com/sap/support/notes/1871141","1871141")</f>
        <v>1871141</v>
      </c>
      <c r="E10554">
        <v>1</v>
      </c>
      <c r="F10554" t="s">
        <v>12339</v>
      </c>
    </row>
    <row r="10555" spans="1:6" x14ac:dyDescent="0.25">
      <c r="A10555" t="s">
        <v>13142</v>
      </c>
      <c r="B10555" t="s">
        <v>1498</v>
      </c>
      <c r="C10555" t="s">
        <v>126</v>
      </c>
      <c r="D10555" t="str">
        <f>HYPERLINK("http://service.sap.com/sap/support/notes/1873690","1873690")</f>
        <v>1873690</v>
      </c>
      <c r="E10555">
        <v>1</v>
      </c>
      <c r="F10555" t="s">
        <v>12339</v>
      </c>
    </row>
    <row r="10556" spans="1:6" x14ac:dyDescent="0.25">
      <c r="A10556" t="s">
        <v>13142</v>
      </c>
      <c r="B10556" t="s">
        <v>1498</v>
      </c>
      <c r="C10556" t="s">
        <v>126</v>
      </c>
      <c r="D10556" t="str">
        <f>HYPERLINK("http://service.sap.com/sap/support/notes/1885888","1885888")</f>
        <v>1885888</v>
      </c>
      <c r="E10556">
        <v>1</v>
      </c>
      <c r="F10556" t="s">
        <v>12338</v>
      </c>
    </row>
    <row r="10557" spans="1:6" x14ac:dyDescent="0.25">
      <c r="A10557" t="s">
        <v>13142</v>
      </c>
      <c r="B10557" t="s">
        <v>1498</v>
      </c>
      <c r="C10557" t="s">
        <v>126</v>
      </c>
      <c r="D10557" t="str">
        <f>HYPERLINK("http://service.sap.com/sap/support/notes/1887666","1887666")</f>
        <v>1887666</v>
      </c>
      <c r="E10557">
        <v>1</v>
      </c>
      <c r="F10557" t="s">
        <v>12337</v>
      </c>
    </row>
    <row r="10558" spans="1:6" x14ac:dyDescent="0.25">
      <c r="A10558" t="s">
        <v>13142</v>
      </c>
      <c r="B10558" t="s">
        <v>1498</v>
      </c>
      <c r="C10558" t="s">
        <v>126</v>
      </c>
      <c r="D10558" t="str">
        <f>HYPERLINK("http://service.sap.com/sap/support/notes/1892056","1892056")</f>
        <v>1892056</v>
      </c>
      <c r="E10558">
        <v>1</v>
      </c>
      <c r="F10558" t="s">
        <v>12336</v>
      </c>
    </row>
    <row r="10559" spans="1:6" x14ac:dyDescent="0.25">
      <c r="A10559" t="s">
        <v>13142</v>
      </c>
      <c r="B10559" t="s">
        <v>1498</v>
      </c>
      <c r="C10559" t="s">
        <v>126</v>
      </c>
      <c r="D10559" t="str">
        <f>HYPERLINK("http://service.sap.com/sap/support/notes/1894258","1894258")</f>
        <v>1894258</v>
      </c>
      <c r="E10559">
        <v>2</v>
      </c>
      <c r="F10559" t="s">
        <v>12335</v>
      </c>
    </row>
    <row r="10560" spans="1:6" x14ac:dyDescent="0.25">
      <c r="A10560" t="s">
        <v>13142</v>
      </c>
      <c r="B10560" t="s">
        <v>1498</v>
      </c>
      <c r="C10560" t="s">
        <v>126</v>
      </c>
      <c r="D10560" t="str">
        <f>HYPERLINK("http://service.sap.com/sap/support/notes/1902311","1902311")</f>
        <v>1902311</v>
      </c>
      <c r="E10560">
        <v>1</v>
      </c>
      <c r="F10560" t="s">
        <v>12334</v>
      </c>
    </row>
    <row r="10561" spans="1:6" x14ac:dyDescent="0.25">
      <c r="A10561" t="s">
        <v>13142</v>
      </c>
      <c r="B10561" t="s">
        <v>1498</v>
      </c>
      <c r="C10561" t="s">
        <v>126</v>
      </c>
      <c r="D10561" t="str">
        <f>HYPERLINK("http://service.sap.com/sap/support/notes/1902896","1902896")</f>
        <v>1902896</v>
      </c>
      <c r="E10561">
        <v>2</v>
      </c>
    </row>
    <row r="10562" spans="1:6" x14ac:dyDescent="0.25">
      <c r="A10562" t="s">
        <v>13142</v>
      </c>
      <c r="B10562" t="s">
        <v>1503</v>
      </c>
      <c r="C10562" t="s">
        <v>1504</v>
      </c>
      <c r="D10562" t="str">
        <f>HYPERLINK("http://service.sap.com/sap/support/notes/1896110","1896110")</f>
        <v>1896110</v>
      </c>
      <c r="E10562">
        <v>2</v>
      </c>
      <c r="F10562" t="s">
        <v>12333</v>
      </c>
    </row>
    <row r="10563" spans="1:6" x14ac:dyDescent="0.25">
      <c r="A10563" t="s">
        <v>13142</v>
      </c>
      <c r="B10563" t="s">
        <v>1507</v>
      </c>
      <c r="C10563" t="s">
        <v>1508</v>
      </c>
    </row>
    <row r="10564" spans="1:6" x14ac:dyDescent="0.25">
      <c r="A10564" t="s">
        <v>13142</v>
      </c>
      <c r="B10564" t="s">
        <v>1509</v>
      </c>
      <c r="C10564" t="s">
        <v>1510</v>
      </c>
      <c r="D10564" t="str">
        <f>HYPERLINK("http://service.sap.com/sap/support/notes/1847749","1847749")</f>
        <v>1847749</v>
      </c>
      <c r="E10564">
        <v>1</v>
      </c>
      <c r="F10564" t="s">
        <v>12332</v>
      </c>
    </row>
    <row r="10565" spans="1:6" x14ac:dyDescent="0.25">
      <c r="A10565" t="s">
        <v>13142</v>
      </c>
      <c r="B10565" t="s">
        <v>1511</v>
      </c>
      <c r="C10565" t="s">
        <v>1512</v>
      </c>
      <c r="D10565" t="str">
        <f>HYPERLINK("http://service.sap.com/sap/support/notes/1878114","1878114")</f>
        <v>1878114</v>
      </c>
      <c r="E10565">
        <v>1</v>
      </c>
      <c r="F10565" t="s">
        <v>12331</v>
      </c>
    </row>
    <row r="10566" spans="1:6" x14ac:dyDescent="0.25">
      <c r="A10566" t="s">
        <v>13142</v>
      </c>
      <c r="B10566" t="s">
        <v>1511</v>
      </c>
      <c r="C10566" t="s">
        <v>1512</v>
      </c>
      <c r="D10566" t="str">
        <f>HYPERLINK("http://service.sap.com/sap/support/notes/1884400","1884400")</f>
        <v>1884400</v>
      </c>
      <c r="E10566">
        <v>1</v>
      </c>
      <c r="F10566" t="s">
        <v>12330</v>
      </c>
    </row>
    <row r="10567" spans="1:6" x14ac:dyDescent="0.25">
      <c r="A10567" t="s">
        <v>13142</v>
      </c>
      <c r="B10567" t="s">
        <v>1511</v>
      </c>
      <c r="C10567" t="s">
        <v>1512</v>
      </c>
      <c r="D10567" t="str">
        <f>HYPERLINK("http://service.sap.com/sap/support/notes/1887075","1887075")</f>
        <v>1887075</v>
      </c>
      <c r="E10567">
        <v>1</v>
      </c>
      <c r="F10567" t="s">
        <v>12329</v>
      </c>
    </row>
    <row r="10568" spans="1:6" x14ac:dyDescent="0.25">
      <c r="A10568" t="s">
        <v>13142</v>
      </c>
      <c r="B10568" t="s">
        <v>1516</v>
      </c>
      <c r="C10568" t="s">
        <v>1517</v>
      </c>
      <c r="D10568" t="str">
        <f>HYPERLINK("http://service.sap.com/sap/support/notes/971073","971073")</f>
        <v>971073</v>
      </c>
      <c r="E10568">
        <v>7</v>
      </c>
      <c r="F10568" t="s">
        <v>12328</v>
      </c>
    </row>
    <row r="10569" spans="1:6" x14ac:dyDescent="0.25">
      <c r="A10569" t="s">
        <v>13142</v>
      </c>
      <c r="B10569" t="s">
        <v>1516</v>
      </c>
      <c r="C10569" t="s">
        <v>1517</v>
      </c>
      <c r="D10569" t="str">
        <f>HYPERLINK("http://service.sap.com/sap/support/notes/1827757","1827757")</f>
        <v>1827757</v>
      </c>
      <c r="E10569">
        <v>3</v>
      </c>
      <c r="F10569" t="s">
        <v>12327</v>
      </c>
    </row>
    <row r="10570" spans="1:6" x14ac:dyDescent="0.25">
      <c r="A10570" t="s">
        <v>13142</v>
      </c>
      <c r="B10570" t="s">
        <v>1516</v>
      </c>
      <c r="C10570" t="s">
        <v>1517</v>
      </c>
      <c r="D10570" t="str">
        <f>HYPERLINK("http://service.sap.com/sap/support/notes/1872959","1872959")</f>
        <v>1872959</v>
      </c>
      <c r="E10570">
        <v>1</v>
      </c>
      <c r="F10570" t="s">
        <v>12326</v>
      </c>
    </row>
    <row r="10571" spans="1:6" x14ac:dyDescent="0.25">
      <c r="A10571" t="s">
        <v>13142</v>
      </c>
      <c r="B10571" t="s">
        <v>1516</v>
      </c>
      <c r="C10571" t="s">
        <v>1517</v>
      </c>
      <c r="D10571" t="str">
        <f>HYPERLINK("http://service.sap.com/sap/support/notes/1889974","1889974")</f>
        <v>1889974</v>
      </c>
      <c r="E10571">
        <v>1</v>
      </c>
      <c r="F10571" t="s">
        <v>12325</v>
      </c>
    </row>
    <row r="10572" spans="1:6" x14ac:dyDescent="0.25">
      <c r="A10572" t="s">
        <v>13142</v>
      </c>
      <c r="B10572" t="s">
        <v>1529</v>
      </c>
      <c r="C10572" t="s">
        <v>1530</v>
      </c>
    </row>
    <row r="10573" spans="1:6" x14ac:dyDescent="0.25">
      <c r="A10573" t="s">
        <v>13142</v>
      </c>
      <c r="B10573" t="s">
        <v>1531</v>
      </c>
      <c r="C10573" t="s">
        <v>12324</v>
      </c>
      <c r="D10573" t="str">
        <f>HYPERLINK("http://service.sap.com/sap/support/notes/1871339","1871339")</f>
        <v>1871339</v>
      </c>
      <c r="E10573">
        <v>2</v>
      </c>
    </row>
    <row r="10574" spans="1:6" x14ac:dyDescent="0.25">
      <c r="A10574" t="s">
        <v>13142</v>
      </c>
      <c r="B10574" t="s">
        <v>12323</v>
      </c>
      <c r="C10574" t="s">
        <v>2516</v>
      </c>
      <c r="D10574" t="str">
        <f>HYPERLINK("http://service.sap.com/sap/support/notes/1857216","1857216")</f>
        <v>1857216</v>
      </c>
      <c r="E10574">
        <v>3</v>
      </c>
      <c r="F10574" t="s">
        <v>12322</v>
      </c>
    </row>
    <row r="10575" spans="1:6" x14ac:dyDescent="0.25">
      <c r="A10575" t="s">
        <v>13142</v>
      </c>
      <c r="B10575" t="s">
        <v>1536</v>
      </c>
      <c r="C10575" t="s">
        <v>1537</v>
      </c>
      <c r="D10575" t="str">
        <f>HYPERLINK("http://service.sap.com/sap/support/notes/1848233","1848233")</f>
        <v>1848233</v>
      </c>
      <c r="E10575">
        <v>2</v>
      </c>
    </row>
    <row r="10576" spans="1:6" x14ac:dyDescent="0.25">
      <c r="A10576" t="s">
        <v>13142</v>
      </c>
      <c r="B10576" t="s">
        <v>1536</v>
      </c>
      <c r="C10576" t="s">
        <v>1537</v>
      </c>
      <c r="D10576" t="str">
        <f>HYPERLINK("http://service.sap.com/sap/support/notes/1878394","1878394")</f>
        <v>1878394</v>
      </c>
      <c r="E10576">
        <v>2</v>
      </c>
    </row>
    <row r="10577" spans="1:6" x14ac:dyDescent="0.25">
      <c r="A10577" t="s">
        <v>13142</v>
      </c>
      <c r="B10577" t="s">
        <v>1536</v>
      </c>
      <c r="C10577" t="s">
        <v>1537</v>
      </c>
      <c r="D10577" t="str">
        <f>HYPERLINK("http://service.sap.com/sap/support/notes/1879547","1879547")</f>
        <v>1879547</v>
      </c>
      <c r="E10577">
        <v>1</v>
      </c>
    </row>
    <row r="10578" spans="1:6" x14ac:dyDescent="0.25">
      <c r="A10578" t="s">
        <v>13142</v>
      </c>
      <c r="B10578" t="s">
        <v>1536</v>
      </c>
      <c r="C10578" t="s">
        <v>1537</v>
      </c>
      <c r="D10578" t="str">
        <f>HYPERLINK("http://service.sap.com/sap/support/notes/1886988","1886988")</f>
        <v>1886988</v>
      </c>
      <c r="E10578">
        <v>1</v>
      </c>
    </row>
    <row r="10579" spans="1:6" x14ac:dyDescent="0.25">
      <c r="A10579" t="s">
        <v>13142</v>
      </c>
      <c r="B10579" t="s">
        <v>1547</v>
      </c>
      <c r="C10579" t="s">
        <v>1548</v>
      </c>
      <c r="D10579" t="str">
        <f>HYPERLINK("http://service.sap.com/sap/support/notes/1829626","1829626")</f>
        <v>1829626</v>
      </c>
      <c r="E10579">
        <v>1</v>
      </c>
      <c r="F10579" t="s">
        <v>7298</v>
      </c>
    </row>
    <row r="10580" spans="1:6" x14ac:dyDescent="0.25">
      <c r="A10580" t="s">
        <v>13142</v>
      </c>
      <c r="B10580" t="s">
        <v>1547</v>
      </c>
      <c r="C10580" t="s">
        <v>1548</v>
      </c>
      <c r="D10580" t="str">
        <f>HYPERLINK("http://service.sap.com/sap/support/notes/1871297","1871297")</f>
        <v>1871297</v>
      </c>
      <c r="E10580">
        <v>1</v>
      </c>
      <c r="F10580" t="s">
        <v>12321</v>
      </c>
    </row>
    <row r="10581" spans="1:6" x14ac:dyDescent="0.25">
      <c r="A10581" t="s">
        <v>13142</v>
      </c>
      <c r="B10581" t="s">
        <v>1547</v>
      </c>
      <c r="C10581" t="s">
        <v>1548</v>
      </c>
      <c r="D10581" t="str">
        <f>HYPERLINK("http://service.sap.com/sap/support/notes/1904598","1904598")</f>
        <v>1904598</v>
      </c>
      <c r="E10581">
        <v>1</v>
      </c>
      <c r="F10581" t="s">
        <v>12320</v>
      </c>
    </row>
    <row r="10582" spans="1:6" x14ac:dyDescent="0.25">
      <c r="A10582" t="s">
        <v>13142</v>
      </c>
      <c r="B10582" t="s">
        <v>1550</v>
      </c>
      <c r="C10582" t="s">
        <v>1551</v>
      </c>
    </row>
    <row r="10583" spans="1:6" x14ac:dyDescent="0.25">
      <c r="A10583" t="s">
        <v>13142</v>
      </c>
      <c r="B10583" t="s">
        <v>7302</v>
      </c>
      <c r="C10583" t="s">
        <v>7303</v>
      </c>
      <c r="D10583" t="str">
        <f>HYPERLINK("http://service.sap.com/sap/support/notes/1882817","1882817")</f>
        <v>1882817</v>
      </c>
      <c r="E10583">
        <v>2</v>
      </c>
      <c r="F10583" t="s">
        <v>12319</v>
      </c>
    </row>
    <row r="10584" spans="1:6" x14ac:dyDescent="0.25">
      <c r="A10584" t="s">
        <v>13142</v>
      </c>
      <c r="B10584" t="s">
        <v>12318</v>
      </c>
      <c r="C10584" t="s">
        <v>12317</v>
      </c>
      <c r="D10584" t="str">
        <f>HYPERLINK("http://service.sap.com/sap/support/notes/1711679","1711679")</f>
        <v>1711679</v>
      </c>
      <c r="E10584">
        <v>2</v>
      </c>
      <c r="F10584" t="s">
        <v>12316</v>
      </c>
    </row>
    <row r="10585" spans="1:6" x14ac:dyDescent="0.25">
      <c r="A10585" t="s">
        <v>13142</v>
      </c>
      <c r="B10585" t="s">
        <v>9586</v>
      </c>
      <c r="C10585" t="s">
        <v>9587</v>
      </c>
      <c r="D10585" t="str">
        <f>HYPERLINK("http://service.sap.com/sap/support/notes/816606","816606")</f>
        <v>816606</v>
      </c>
      <c r="E10585">
        <v>4</v>
      </c>
      <c r="F10585" t="s">
        <v>12315</v>
      </c>
    </row>
    <row r="10586" spans="1:6" x14ac:dyDescent="0.25">
      <c r="A10586" t="s">
        <v>13142</v>
      </c>
      <c r="B10586" t="s">
        <v>1558</v>
      </c>
      <c r="C10586" t="s">
        <v>1559</v>
      </c>
      <c r="D10586" t="str">
        <f>HYPERLINK("http://service.sap.com/sap/support/notes/1833667","1833667")</f>
        <v>1833667</v>
      </c>
      <c r="E10586">
        <v>2</v>
      </c>
      <c r="F10586" t="s">
        <v>12314</v>
      </c>
    </row>
    <row r="10587" spans="1:6" x14ac:dyDescent="0.25">
      <c r="A10587" t="s">
        <v>13142</v>
      </c>
      <c r="B10587" t="s">
        <v>12313</v>
      </c>
      <c r="C10587" t="s">
        <v>12312</v>
      </c>
      <c r="D10587" t="str">
        <f>HYPERLINK("http://service.sap.com/sap/support/notes/1901055","1901055")</f>
        <v>1901055</v>
      </c>
      <c r="E10587">
        <v>1</v>
      </c>
      <c r="F10587" t="s">
        <v>12311</v>
      </c>
    </row>
    <row r="10588" spans="1:6" x14ac:dyDescent="0.25">
      <c r="A10588" t="s">
        <v>13142</v>
      </c>
      <c r="B10588" t="s">
        <v>5004</v>
      </c>
      <c r="C10588" t="s">
        <v>2277</v>
      </c>
      <c r="D10588" t="str">
        <f>HYPERLINK("http://service.sap.com/sap/support/notes/1871075","1871075")</f>
        <v>1871075</v>
      </c>
      <c r="E10588">
        <v>2</v>
      </c>
      <c r="F10588" t="s">
        <v>12310</v>
      </c>
    </row>
    <row r="10589" spans="1:6" x14ac:dyDescent="0.25">
      <c r="A10589" t="s">
        <v>13142</v>
      </c>
      <c r="B10589" t="s">
        <v>5004</v>
      </c>
      <c r="C10589" t="s">
        <v>2277</v>
      </c>
      <c r="D10589" t="str">
        <f>HYPERLINK("http://service.sap.com/sap/support/notes/1890130","1890130")</f>
        <v>1890130</v>
      </c>
      <c r="E10589">
        <v>1</v>
      </c>
      <c r="F10589" t="s">
        <v>12309</v>
      </c>
    </row>
    <row r="10590" spans="1:6" x14ac:dyDescent="0.25">
      <c r="A10590" t="s">
        <v>13142</v>
      </c>
      <c r="B10590" t="s">
        <v>5004</v>
      </c>
      <c r="C10590" t="s">
        <v>2277</v>
      </c>
      <c r="D10590" t="str">
        <f>HYPERLINK("http://service.sap.com/sap/support/notes/1890569","1890569")</f>
        <v>1890569</v>
      </c>
      <c r="E10590">
        <v>1</v>
      </c>
      <c r="F10590" t="s">
        <v>12308</v>
      </c>
    </row>
    <row r="10591" spans="1:6" x14ac:dyDescent="0.25">
      <c r="A10591" t="s">
        <v>13142</v>
      </c>
      <c r="B10591" t="s">
        <v>5012</v>
      </c>
      <c r="C10591" t="s">
        <v>12307</v>
      </c>
      <c r="D10591" t="str">
        <f>HYPERLINK("http://service.sap.com/sap/support/notes/1234488","1234488")</f>
        <v>1234488</v>
      </c>
      <c r="E10591">
        <v>1</v>
      </c>
      <c r="F10591" t="s">
        <v>12306</v>
      </c>
    </row>
    <row r="10592" spans="1:6" x14ac:dyDescent="0.25">
      <c r="A10592" t="s">
        <v>13142</v>
      </c>
      <c r="B10592" t="s">
        <v>1577</v>
      </c>
      <c r="C10592" t="s">
        <v>1578</v>
      </c>
    </row>
    <row r="10593" spans="1:6" x14ac:dyDescent="0.25">
      <c r="A10593" t="s">
        <v>13142</v>
      </c>
      <c r="B10593" t="s">
        <v>5022</v>
      </c>
      <c r="C10593" t="s">
        <v>218</v>
      </c>
      <c r="D10593" t="str">
        <f>HYPERLINK("http://service.sap.com/sap/support/notes/1853671","1853671")</f>
        <v>1853671</v>
      </c>
      <c r="E10593">
        <v>3</v>
      </c>
      <c r="F10593" t="s">
        <v>12305</v>
      </c>
    </row>
    <row r="10594" spans="1:6" x14ac:dyDescent="0.25">
      <c r="A10594" t="s">
        <v>13142</v>
      </c>
      <c r="B10594" t="s">
        <v>1579</v>
      </c>
      <c r="C10594" t="s">
        <v>240</v>
      </c>
      <c r="D10594" t="str">
        <f>HYPERLINK("http://service.sap.com/sap/support/notes/1895192","1895192")</f>
        <v>1895192</v>
      </c>
      <c r="E10594">
        <v>2</v>
      </c>
      <c r="F10594" t="s">
        <v>12304</v>
      </c>
    </row>
    <row r="10595" spans="1:6" x14ac:dyDescent="0.25">
      <c r="A10595" t="s">
        <v>13142</v>
      </c>
      <c r="B10595" t="s">
        <v>1581</v>
      </c>
      <c r="C10595" t="s">
        <v>1582</v>
      </c>
    </row>
    <row r="10596" spans="1:6" x14ac:dyDescent="0.25">
      <c r="A10596" t="s">
        <v>13142</v>
      </c>
      <c r="B10596" t="s">
        <v>1583</v>
      </c>
      <c r="C10596" t="s">
        <v>1584</v>
      </c>
    </row>
    <row r="10597" spans="1:6" x14ac:dyDescent="0.25">
      <c r="A10597" t="s">
        <v>13142</v>
      </c>
      <c r="B10597" t="s">
        <v>5026</v>
      </c>
      <c r="C10597" t="s">
        <v>5027</v>
      </c>
      <c r="D10597" t="str">
        <f>HYPERLINK("http://service.sap.com/sap/support/notes/1873472","1873472")</f>
        <v>1873472</v>
      </c>
      <c r="E10597">
        <v>1</v>
      </c>
      <c r="F10597" t="s">
        <v>12303</v>
      </c>
    </row>
    <row r="10598" spans="1:6" x14ac:dyDescent="0.25">
      <c r="A10598" t="s">
        <v>13142</v>
      </c>
      <c r="B10598" t="s">
        <v>1585</v>
      </c>
      <c r="C10598" t="s">
        <v>12302</v>
      </c>
      <c r="D10598" t="str">
        <f>HYPERLINK("http://service.sap.com/sap/support/notes/1875791","1875791")</f>
        <v>1875791</v>
      </c>
      <c r="E10598">
        <v>1</v>
      </c>
      <c r="F10598" t="s">
        <v>12301</v>
      </c>
    </row>
    <row r="10599" spans="1:6" x14ac:dyDescent="0.25">
      <c r="A10599" t="s">
        <v>13142</v>
      </c>
      <c r="B10599" t="s">
        <v>1587</v>
      </c>
      <c r="C10599" t="s">
        <v>1588</v>
      </c>
    </row>
    <row r="10600" spans="1:6" x14ac:dyDescent="0.25">
      <c r="A10600" t="s">
        <v>13142</v>
      </c>
      <c r="B10600" t="s">
        <v>1589</v>
      </c>
      <c r="C10600" t="s">
        <v>1590</v>
      </c>
      <c r="D10600" t="str">
        <f>HYPERLINK("http://service.sap.com/sap/support/notes/1880941","1880941")</f>
        <v>1880941</v>
      </c>
      <c r="E10600">
        <v>3</v>
      </c>
      <c r="F10600" t="s">
        <v>12300</v>
      </c>
    </row>
    <row r="10601" spans="1:6" x14ac:dyDescent="0.25">
      <c r="A10601" t="s">
        <v>13142</v>
      </c>
      <c r="B10601" t="s">
        <v>1596</v>
      </c>
      <c r="C10601" t="s">
        <v>1597</v>
      </c>
      <c r="D10601" t="str">
        <f>HYPERLINK("http://service.sap.com/sap/support/notes/1866008","1866008")</f>
        <v>1866008</v>
      </c>
      <c r="E10601">
        <v>2</v>
      </c>
      <c r="F10601" t="s">
        <v>12299</v>
      </c>
    </row>
    <row r="10602" spans="1:6" x14ac:dyDescent="0.25">
      <c r="A10602" t="s">
        <v>13142</v>
      </c>
      <c r="B10602" t="s">
        <v>1596</v>
      </c>
      <c r="C10602" t="s">
        <v>1597</v>
      </c>
      <c r="D10602" t="str">
        <f>HYPERLINK("http://service.sap.com/sap/support/notes/1873759","1873759")</f>
        <v>1873759</v>
      </c>
      <c r="E10602">
        <v>1</v>
      </c>
      <c r="F10602" t="s">
        <v>12298</v>
      </c>
    </row>
    <row r="10603" spans="1:6" x14ac:dyDescent="0.25">
      <c r="A10603" t="s">
        <v>13142</v>
      </c>
      <c r="B10603" t="s">
        <v>1599</v>
      </c>
      <c r="C10603" t="s">
        <v>1600</v>
      </c>
      <c r="D10603" t="str">
        <f>HYPERLINK("http://service.sap.com/sap/support/notes/1886926","1886926")</f>
        <v>1886926</v>
      </c>
      <c r="E10603">
        <v>1</v>
      </c>
      <c r="F10603" t="s">
        <v>12297</v>
      </c>
    </row>
    <row r="10604" spans="1:6" x14ac:dyDescent="0.25">
      <c r="A10604" t="s">
        <v>13142</v>
      </c>
      <c r="B10604" t="s">
        <v>1599</v>
      </c>
      <c r="C10604" t="s">
        <v>1600</v>
      </c>
      <c r="D10604" t="str">
        <f>HYPERLINK("http://service.sap.com/sap/support/notes/1896271","1896271")</f>
        <v>1896271</v>
      </c>
      <c r="E10604">
        <v>3</v>
      </c>
      <c r="F10604" t="s">
        <v>12296</v>
      </c>
    </row>
    <row r="10605" spans="1:6" x14ac:dyDescent="0.25">
      <c r="A10605" t="s">
        <v>13142</v>
      </c>
      <c r="B10605" t="s">
        <v>1599</v>
      </c>
      <c r="C10605" t="s">
        <v>1600</v>
      </c>
      <c r="D10605" t="str">
        <f>HYPERLINK("http://service.sap.com/sap/support/notes/1898503","1898503")</f>
        <v>1898503</v>
      </c>
      <c r="E10605">
        <v>1</v>
      </c>
      <c r="F10605" t="s">
        <v>12295</v>
      </c>
    </row>
    <row r="10606" spans="1:6" x14ac:dyDescent="0.25">
      <c r="A10606" t="s">
        <v>13142</v>
      </c>
      <c r="B10606" t="s">
        <v>1612</v>
      </c>
      <c r="C10606" t="s">
        <v>1613</v>
      </c>
      <c r="D10606" t="str">
        <f>HYPERLINK("http://service.sap.com/sap/support/notes/1829572","1829572")</f>
        <v>1829572</v>
      </c>
      <c r="E10606">
        <v>4</v>
      </c>
      <c r="F10606" t="s">
        <v>12294</v>
      </c>
    </row>
    <row r="10607" spans="1:6" x14ac:dyDescent="0.25">
      <c r="A10607" t="s">
        <v>13142</v>
      </c>
      <c r="B10607" t="s">
        <v>1612</v>
      </c>
      <c r="C10607" t="s">
        <v>1613</v>
      </c>
      <c r="D10607" t="str">
        <f>HYPERLINK("http://service.sap.com/sap/support/notes/1867977","1867977")</f>
        <v>1867977</v>
      </c>
      <c r="E10607">
        <v>2</v>
      </c>
      <c r="F10607" t="s">
        <v>12293</v>
      </c>
    </row>
    <row r="10608" spans="1:6" x14ac:dyDescent="0.25">
      <c r="A10608" t="s">
        <v>13142</v>
      </c>
      <c r="B10608" t="s">
        <v>1618</v>
      </c>
      <c r="C10608" t="s">
        <v>1619</v>
      </c>
      <c r="D10608" t="str">
        <f>HYPERLINK("http://service.sap.com/sap/support/notes/989205","989205")</f>
        <v>989205</v>
      </c>
      <c r="E10608">
        <v>6</v>
      </c>
      <c r="F10608" t="s">
        <v>12292</v>
      </c>
    </row>
    <row r="10609" spans="1:6" x14ac:dyDescent="0.25">
      <c r="A10609" t="s">
        <v>13142</v>
      </c>
      <c r="B10609" t="s">
        <v>1618</v>
      </c>
      <c r="C10609" t="s">
        <v>1619</v>
      </c>
      <c r="D10609" t="str">
        <f>HYPERLINK("http://service.sap.com/sap/support/notes/1225757","1225757")</f>
        <v>1225757</v>
      </c>
      <c r="E10609">
        <v>12</v>
      </c>
      <c r="F10609" t="s">
        <v>12291</v>
      </c>
    </row>
    <row r="10610" spans="1:6" x14ac:dyDescent="0.25">
      <c r="A10610" t="s">
        <v>13142</v>
      </c>
      <c r="B10610" t="s">
        <v>1618</v>
      </c>
      <c r="C10610" t="s">
        <v>1619</v>
      </c>
      <c r="D10610" t="str">
        <f>HYPERLINK("http://service.sap.com/sap/support/notes/1642483","1642483")</f>
        <v>1642483</v>
      </c>
      <c r="E10610">
        <v>1</v>
      </c>
      <c r="F10610" t="s">
        <v>12290</v>
      </c>
    </row>
    <row r="10611" spans="1:6" x14ac:dyDescent="0.25">
      <c r="A10611" t="s">
        <v>13142</v>
      </c>
      <c r="B10611" t="s">
        <v>1618</v>
      </c>
      <c r="C10611" t="s">
        <v>1619</v>
      </c>
      <c r="D10611" t="str">
        <f>HYPERLINK("http://service.sap.com/sap/support/notes/1781487","1781487")</f>
        <v>1781487</v>
      </c>
      <c r="E10611">
        <v>2</v>
      </c>
      <c r="F10611" t="s">
        <v>12289</v>
      </c>
    </row>
    <row r="10612" spans="1:6" x14ac:dyDescent="0.25">
      <c r="A10612" t="s">
        <v>13142</v>
      </c>
      <c r="B10612" t="s">
        <v>1618</v>
      </c>
      <c r="C10612" t="s">
        <v>1619</v>
      </c>
      <c r="D10612" t="str">
        <f>HYPERLINK("http://service.sap.com/sap/support/notes/1865903","1865903")</f>
        <v>1865903</v>
      </c>
      <c r="E10612">
        <v>4</v>
      </c>
      <c r="F10612" t="s">
        <v>12288</v>
      </c>
    </row>
    <row r="10613" spans="1:6" x14ac:dyDescent="0.25">
      <c r="A10613" t="s">
        <v>13142</v>
      </c>
      <c r="B10613" t="s">
        <v>1618</v>
      </c>
      <c r="C10613" t="s">
        <v>1619</v>
      </c>
      <c r="D10613" t="str">
        <f>HYPERLINK("http://service.sap.com/sap/support/notes/1895111","1895111")</f>
        <v>1895111</v>
      </c>
      <c r="E10613">
        <v>2</v>
      </c>
      <c r="F10613" t="s">
        <v>12287</v>
      </c>
    </row>
    <row r="10614" spans="1:6" x14ac:dyDescent="0.25">
      <c r="A10614" t="s">
        <v>13142</v>
      </c>
      <c r="B10614" t="s">
        <v>1618</v>
      </c>
      <c r="C10614" t="s">
        <v>1619</v>
      </c>
      <c r="D10614" t="str">
        <f>HYPERLINK("http://service.sap.com/sap/support/notes/1900112","1900112")</f>
        <v>1900112</v>
      </c>
      <c r="E10614">
        <v>1</v>
      </c>
      <c r="F10614" t="s">
        <v>12286</v>
      </c>
    </row>
    <row r="10615" spans="1:6" x14ac:dyDescent="0.25">
      <c r="A10615" t="s">
        <v>13142</v>
      </c>
      <c r="B10615" t="s">
        <v>1632</v>
      </c>
      <c r="C10615" t="s">
        <v>1633</v>
      </c>
    </row>
    <row r="10616" spans="1:6" x14ac:dyDescent="0.25">
      <c r="A10616" t="s">
        <v>13142</v>
      </c>
      <c r="B10616" t="s">
        <v>9631</v>
      </c>
      <c r="C10616" t="s">
        <v>1537</v>
      </c>
      <c r="D10616" t="str">
        <f>HYPERLINK("http://service.sap.com/sap/support/notes/987164","987164")</f>
        <v>987164</v>
      </c>
      <c r="E10616">
        <v>6</v>
      </c>
      <c r="F10616" t="s">
        <v>12285</v>
      </c>
    </row>
    <row r="10617" spans="1:6" x14ac:dyDescent="0.25">
      <c r="A10617" t="s">
        <v>13142</v>
      </c>
      <c r="B10617" t="s">
        <v>1634</v>
      </c>
      <c r="C10617" t="s">
        <v>1635</v>
      </c>
      <c r="D10617" t="str">
        <f>HYPERLINK("http://service.sap.com/sap/support/notes/1091675","1091675")</f>
        <v>1091675</v>
      </c>
      <c r="E10617">
        <v>8</v>
      </c>
      <c r="F10617" t="s">
        <v>12284</v>
      </c>
    </row>
    <row r="10618" spans="1:6" x14ac:dyDescent="0.25">
      <c r="A10618" t="s">
        <v>13142</v>
      </c>
      <c r="B10618" t="s">
        <v>1634</v>
      </c>
      <c r="C10618" t="s">
        <v>1635</v>
      </c>
      <c r="D10618" t="str">
        <f>HYPERLINK("http://service.sap.com/sap/support/notes/1304683","1304683")</f>
        <v>1304683</v>
      </c>
      <c r="E10618">
        <v>1</v>
      </c>
      <c r="F10618" t="s">
        <v>12283</v>
      </c>
    </row>
    <row r="10619" spans="1:6" x14ac:dyDescent="0.25">
      <c r="A10619" t="s">
        <v>13142</v>
      </c>
      <c r="B10619" t="s">
        <v>1634</v>
      </c>
      <c r="C10619" t="s">
        <v>1635</v>
      </c>
      <c r="D10619" t="str">
        <f>HYPERLINK("http://service.sap.com/sap/support/notes/1805480","1805480")</f>
        <v>1805480</v>
      </c>
      <c r="E10619">
        <v>2</v>
      </c>
      <c r="F10619" t="s">
        <v>12282</v>
      </c>
    </row>
    <row r="10620" spans="1:6" x14ac:dyDescent="0.25">
      <c r="A10620" t="s">
        <v>13142</v>
      </c>
      <c r="B10620" t="s">
        <v>12281</v>
      </c>
      <c r="C10620" t="s">
        <v>2280</v>
      </c>
      <c r="D10620" t="str">
        <f>HYPERLINK("http://service.sap.com/sap/support/notes/1485258","1485258")</f>
        <v>1485258</v>
      </c>
      <c r="E10620">
        <v>3</v>
      </c>
      <c r="F10620" t="s">
        <v>12280</v>
      </c>
    </row>
    <row r="10621" spans="1:6" x14ac:dyDescent="0.25">
      <c r="A10621" t="s">
        <v>13142</v>
      </c>
      <c r="B10621" t="s">
        <v>1637</v>
      </c>
      <c r="C10621" t="s">
        <v>1638</v>
      </c>
    </row>
    <row r="10622" spans="1:6" x14ac:dyDescent="0.25">
      <c r="A10622" t="s">
        <v>13142</v>
      </c>
      <c r="B10622" t="s">
        <v>1639</v>
      </c>
      <c r="C10622" t="s">
        <v>1640</v>
      </c>
      <c r="D10622" t="str">
        <f>HYPERLINK("http://service.sap.com/sap/support/notes/1743262","1743262")</f>
        <v>1743262</v>
      </c>
      <c r="E10622">
        <v>5</v>
      </c>
      <c r="F10622" t="s">
        <v>12279</v>
      </c>
    </row>
    <row r="10623" spans="1:6" x14ac:dyDescent="0.25">
      <c r="A10623" t="s">
        <v>13142</v>
      </c>
      <c r="B10623" t="s">
        <v>1639</v>
      </c>
      <c r="C10623" t="s">
        <v>1640</v>
      </c>
      <c r="D10623" t="str">
        <f>HYPERLINK("http://service.sap.com/sap/support/notes/1856350","1856350")</f>
        <v>1856350</v>
      </c>
      <c r="E10623">
        <v>3</v>
      </c>
      <c r="F10623" t="s">
        <v>12278</v>
      </c>
    </row>
    <row r="10624" spans="1:6" x14ac:dyDescent="0.25">
      <c r="A10624" t="s">
        <v>13142</v>
      </c>
      <c r="B10624" t="s">
        <v>1642</v>
      </c>
      <c r="C10624" t="s">
        <v>1643</v>
      </c>
      <c r="D10624" t="str">
        <f>HYPERLINK("http://service.sap.com/sap/support/notes/1161240","1161240")</f>
        <v>1161240</v>
      </c>
      <c r="E10624">
        <v>4</v>
      </c>
      <c r="F10624" t="s">
        <v>12277</v>
      </c>
    </row>
    <row r="10625" spans="1:6" x14ac:dyDescent="0.25">
      <c r="A10625" t="s">
        <v>13142</v>
      </c>
      <c r="B10625" t="s">
        <v>1642</v>
      </c>
      <c r="C10625" t="s">
        <v>1643</v>
      </c>
      <c r="D10625" t="str">
        <f>HYPERLINK("http://service.sap.com/sap/support/notes/1865290","1865290")</f>
        <v>1865290</v>
      </c>
      <c r="E10625">
        <v>1</v>
      </c>
      <c r="F10625" t="s">
        <v>12276</v>
      </c>
    </row>
    <row r="10626" spans="1:6" x14ac:dyDescent="0.25">
      <c r="A10626" t="s">
        <v>13142</v>
      </c>
      <c r="B10626" t="s">
        <v>1657</v>
      </c>
      <c r="C10626" t="s">
        <v>1658</v>
      </c>
      <c r="D10626" t="str">
        <f>HYPERLINK("http://service.sap.com/sap/support/notes/980473","980473")</f>
        <v>980473</v>
      </c>
      <c r="E10626">
        <v>2</v>
      </c>
      <c r="F10626" t="s">
        <v>12275</v>
      </c>
    </row>
    <row r="10627" spans="1:6" x14ac:dyDescent="0.25">
      <c r="A10627" t="s">
        <v>13142</v>
      </c>
      <c r="B10627" t="s">
        <v>7385</v>
      </c>
      <c r="C10627" t="s">
        <v>7386</v>
      </c>
    </row>
    <row r="10628" spans="1:6" x14ac:dyDescent="0.25">
      <c r="A10628" t="s">
        <v>13142</v>
      </c>
      <c r="B10628" t="s">
        <v>7387</v>
      </c>
      <c r="C10628" t="s">
        <v>7388</v>
      </c>
    </row>
    <row r="10629" spans="1:6" x14ac:dyDescent="0.25">
      <c r="A10629" t="s">
        <v>13142</v>
      </c>
      <c r="B10629" t="s">
        <v>7389</v>
      </c>
      <c r="C10629" t="s">
        <v>7390</v>
      </c>
      <c r="D10629" t="str">
        <f>HYPERLINK("http://service.sap.com/sap/support/notes/1891379","1891379")</f>
        <v>1891379</v>
      </c>
      <c r="E10629">
        <v>4</v>
      </c>
      <c r="F10629" t="s">
        <v>12274</v>
      </c>
    </row>
    <row r="10630" spans="1:6" x14ac:dyDescent="0.25">
      <c r="A10630" t="s">
        <v>13142</v>
      </c>
      <c r="B10630" t="s">
        <v>1660</v>
      </c>
      <c r="C10630" t="s">
        <v>210</v>
      </c>
    </row>
    <row r="10631" spans="1:6" x14ac:dyDescent="0.25">
      <c r="A10631" t="s">
        <v>13142</v>
      </c>
      <c r="B10631" t="s">
        <v>1666</v>
      </c>
      <c r="C10631" t="s">
        <v>9654</v>
      </c>
      <c r="D10631" t="str">
        <f>HYPERLINK("http://service.sap.com/sap/support/notes/1874758","1874758")</f>
        <v>1874758</v>
      </c>
      <c r="E10631">
        <v>1</v>
      </c>
      <c r="F10631" t="s">
        <v>12273</v>
      </c>
    </row>
    <row r="10632" spans="1:6" x14ac:dyDescent="0.25">
      <c r="A10632" t="s">
        <v>13142</v>
      </c>
      <c r="B10632" t="s">
        <v>1668</v>
      </c>
      <c r="C10632" t="s">
        <v>1669</v>
      </c>
      <c r="D10632" t="str">
        <f>HYPERLINK("http://service.sap.com/sap/support/notes/1837017","1837017")</f>
        <v>1837017</v>
      </c>
      <c r="E10632">
        <v>2</v>
      </c>
      <c r="F10632" t="s">
        <v>12272</v>
      </c>
    </row>
    <row r="10633" spans="1:6" x14ac:dyDescent="0.25">
      <c r="A10633" t="s">
        <v>13142</v>
      </c>
      <c r="B10633" t="s">
        <v>1672</v>
      </c>
      <c r="C10633" t="s">
        <v>1673</v>
      </c>
      <c r="D10633" t="str">
        <f>HYPERLINK("http://service.sap.com/sap/support/notes/1861557","1861557")</f>
        <v>1861557</v>
      </c>
      <c r="E10633">
        <v>5</v>
      </c>
      <c r="F10633" t="s">
        <v>12271</v>
      </c>
    </row>
    <row r="10634" spans="1:6" x14ac:dyDescent="0.25">
      <c r="A10634" t="s">
        <v>13142</v>
      </c>
      <c r="B10634" t="s">
        <v>1672</v>
      </c>
      <c r="C10634" t="s">
        <v>1673</v>
      </c>
      <c r="D10634" t="str">
        <f>HYPERLINK("http://service.sap.com/sap/support/notes/1876688","1876688")</f>
        <v>1876688</v>
      </c>
      <c r="E10634">
        <v>1</v>
      </c>
      <c r="F10634" t="s">
        <v>12270</v>
      </c>
    </row>
    <row r="10635" spans="1:6" x14ac:dyDescent="0.25">
      <c r="A10635" t="s">
        <v>13142</v>
      </c>
      <c r="B10635" t="s">
        <v>5054</v>
      </c>
      <c r="C10635" t="s">
        <v>2153</v>
      </c>
      <c r="D10635" t="str">
        <f>HYPERLINK("http://service.sap.com/sap/support/notes/1876207","1876207")</f>
        <v>1876207</v>
      </c>
      <c r="E10635">
        <v>1</v>
      </c>
      <c r="F10635" t="s">
        <v>12269</v>
      </c>
    </row>
    <row r="10636" spans="1:6" x14ac:dyDescent="0.25">
      <c r="A10636" t="s">
        <v>13142</v>
      </c>
      <c r="B10636" t="s">
        <v>1679</v>
      </c>
      <c r="C10636" t="s">
        <v>1680</v>
      </c>
      <c r="D10636" t="str">
        <f>HYPERLINK("http://service.sap.com/sap/support/notes/1826992","1826992")</f>
        <v>1826992</v>
      </c>
      <c r="E10636">
        <v>3</v>
      </c>
      <c r="F10636" t="s">
        <v>12268</v>
      </c>
    </row>
    <row r="10637" spans="1:6" x14ac:dyDescent="0.25">
      <c r="A10637" t="s">
        <v>13142</v>
      </c>
      <c r="B10637" t="s">
        <v>1679</v>
      </c>
      <c r="C10637" t="s">
        <v>1680</v>
      </c>
      <c r="D10637" t="str">
        <f>HYPERLINK("http://service.sap.com/sap/support/notes/1841263","1841263")</f>
        <v>1841263</v>
      </c>
      <c r="E10637">
        <v>2</v>
      </c>
      <c r="F10637" t="s">
        <v>12267</v>
      </c>
    </row>
    <row r="10638" spans="1:6" x14ac:dyDescent="0.25">
      <c r="A10638" t="s">
        <v>13142</v>
      </c>
      <c r="B10638" t="s">
        <v>1682</v>
      </c>
      <c r="C10638" t="s">
        <v>1683</v>
      </c>
      <c r="D10638" t="str">
        <f>HYPERLINK("http://service.sap.com/sap/support/notes/1814254","1814254")</f>
        <v>1814254</v>
      </c>
      <c r="E10638">
        <v>4</v>
      </c>
      <c r="F10638" t="s">
        <v>12266</v>
      </c>
    </row>
    <row r="10639" spans="1:6" x14ac:dyDescent="0.25">
      <c r="A10639" t="s">
        <v>13142</v>
      </c>
      <c r="B10639" t="s">
        <v>1682</v>
      </c>
      <c r="C10639" t="s">
        <v>1683</v>
      </c>
      <c r="D10639" t="str">
        <f>HYPERLINK("http://service.sap.com/sap/support/notes/1874164","1874164")</f>
        <v>1874164</v>
      </c>
      <c r="E10639">
        <v>1</v>
      </c>
      <c r="F10639" t="s">
        <v>12265</v>
      </c>
    </row>
    <row r="10640" spans="1:6" x14ac:dyDescent="0.25">
      <c r="A10640" t="s">
        <v>13142</v>
      </c>
      <c r="B10640" t="s">
        <v>1682</v>
      </c>
      <c r="C10640" t="s">
        <v>1683</v>
      </c>
      <c r="D10640" t="str">
        <f>HYPERLINK("http://service.sap.com/sap/support/notes/1877409","1877409")</f>
        <v>1877409</v>
      </c>
      <c r="E10640">
        <v>2</v>
      </c>
      <c r="F10640" t="s">
        <v>12264</v>
      </c>
    </row>
    <row r="10641" spans="1:6" x14ac:dyDescent="0.25">
      <c r="A10641" t="s">
        <v>13142</v>
      </c>
      <c r="B10641" t="s">
        <v>1694</v>
      </c>
      <c r="C10641" t="s">
        <v>212</v>
      </c>
      <c r="D10641" t="str">
        <f>HYPERLINK("http://service.sap.com/sap/support/notes/1894808","1894808")</f>
        <v>1894808</v>
      </c>
      <c r="E10641">
        <v>1</v>
      </c>
      <c r="F10641" t="s">
        <v>12263</v>
      </c>
    </row>
    <row r="10642" spans="1:6" x14ac:dyDescent="0.25">
      <c r="A10642" t="s">
        <v>13142</v>
      </c>
      <c r="B10642" t="s">
        <v>1695</v>
      </c>
      <c r="C10642" t="s">
        <v>1696</v>
      </c>
      <c r="D10642" t="str">
        <f>HYPERLINK("http://service.sap.com/sap/support/notes/1827663","1827663")</f>
        <v>1827663</v>
      </c>
      <c r="E10642">
        <v>2</v>
      </c>
    </row>
    <row r="10643" spans="1:6" x14ac:dyDescent="0.25">
      <c r="A10643" t="s">
        <v>13142</v>
      </c>
      <c r="B10643" t="s">
        <v>1695</v>
      </c>
      <c r="C10643" t="s">
        <v>1696</v>
      </c>
      <c r="D10643" t="str">
        <f>HYPERLINK("http://service.sap.com/sap/support/notes/1859363","1859363")</f>
        <v>1859363</v>
      </c>
      <c r="E10643">
        <v>2</v>
      </c>
    </row>
    <row r="10644" spans="1:6" x14ac:dyDescent="0.25">
      <c r="A10644" t="s">
        <v>13142</v>
      </c>
      <c r="B10644" t="s">
        <v>1695</v>
      </c>
      <c r="C10644" t="s">
        <v>1696</v>
      </c>
      <c r="D10644" t="str">
        <f>HYPERLINK("http://service.sap.com/sap/support/notes/1863204","1863204")</f>
        <v>1863204</v>
      </c>
      <c r="E10644">
        <v>1</v>
      </c>
    </row>
    <row r="10645" spans="1:6" x14ac:dyDescent="0.25">
      <c r="A10645" t="s">
        <v>13142</v>
      </c>
      <c r="B10645" t="s">
        <v>1695</v>
      </c>
      <c r="C10645" t="s">
        <v>1696</v>
      </c>
      <c r="D10645" t="str">
        <f>HYPERLINK("http://service.sap.com/sap/support/notes/1874074","1874074")</f>
        <v>1874074</v>
      </c>
      <c r="E10645">
        <v>3</v>
      </c>
    </row>
    <row r="10646" spans="1:6" x14ac:dyDescent="0.25">
      <c r="A10646" t="s">
        <v>13142</v>
      </c>
      <c r="B10646" t="s">
        <v>1695</v>
      </c>
      <c r="C10646" t="s">
        <v>1696</v>
      </c>
      <c r="D10646" t="str">
        <f>HYPERLINK("http://service.sap.com/sap/support/notes/1875736","1875736")</f>
        <v>1875736</v>
      </c>
      <c r="E10646">
        <v>1</v>
      </c>
    </row>
    <row r="10647" spans="1:6" x14ac:dyDescent="0.25">
      <c r="A10647" t="s">
        <v>13142</v>
      </c>
      <c r="B10647" t="s">
        <v>1695</v>
      </c>
      <c r="C10647" t="s">
        <v>1696</v>
      </c>
      <c r="D10647" t="str">
        <f>HYPERLINK("http://service.sap.com/sap/support/notes/1876028","1876028")</f>
        <v>1876028</v>
      </c>
      <c r="E10647">
        <v>1</v>
      </c>
    </row>
    <row r="10648" spans="1:6" x14ac:dyDescent="0.25">
      <c r="A10648" t="s">
        <v>13142</v>
      </c>
      <c r="B10648" t="s">
        <v>1695</v>
      </c>
      <c r="C10648" t="s">
        <v>1696</v>
      </c>
      <c r="D10648" t="str">
        <f>HYPERLINK("http://service.sap.com/sap/support/notes/1876359","1876359")</f>
        <v>1876359</v>
      </c>
      <c r="E10648">
        <v>1</v>
      </c>
      <c r="F10648" t="s">
        <v>12262</v>
      </c>
    </row>
    <row r="10649" spans="1:6" x14ac:dyDescent="0.25">
      <c r="A10649" t="s">
        <v>13142</v>
      </c>
      <c r="B10649" t="s">
        <v>1695</v>
      </c>
      <c r="C10649" t="s">
        <v>1696</v>
      </c>
      <c r="D10649" t="str">
        <f>HYPERLINK("http://service.sap.com/sap/support/notes/1883265","1883265")</f>
        <v>1883265</v>
      </c>
      <c r="E10649">
        <v>1</v>
      </c>
    </row>
    <row r="10650" spans="1:6" x14ac:dyDescent="0.25">
      <c r="A10650" t="s">
        <v>13142</v>
      </c>
      <c r="B10650" t="s">
        <v>1711</v>
      </c>
      <c r="C10650" t="s">
        <v>1712</v>
      </c>
      <c r="D10650" t="str">
        <f>HYPERLINK("http://service.sap.com/sap/support/notes/1878297","1878297")</f>
        <v>1878297</v>
      </c>
      <c r="E10650">
        <v>1</v>
      </c>
    </row>
    <row r="10651" spans="1:6" x14ac:dyDescent="0.25">
      <c r="A10651" t="s">
        <v>13142</v>
      </c>
      <c r="B10651" t="s">
        <v>1714</v>
      </c>
      <c r="C10651" t="s">
        <v>1715</v>
      </c>
      <c r="D10651" t="str">
        <f>HYPERLINK("http://service.sap.com/sap/support/notes/1872449","1872449")</f>
        <v>1872449</v>
      </c>
      <c r="E10651">
        <v>2</v>
      </c>
      <c r="F10651" t="s">
        <v>12261</v>
      </c>
    </row>
    <row r="10652" spans="1:6" x14ac:dyDescent="0.25">
      <c r="A10652" t="s">
        <v>13142</v>
      </c>
      <c r="B10652" t="s">
        <v>1714</v>
      </c>
      <c r="C10652" t="s">
        <v>1715</v>
      </c>
      <c r="D10652" t="str">
        <f>HYPERLINK("http://service.sap.com/sap/support/notes/1877928","1877928")</f>
        <v>1877928</v>
      </c>
      <c r="E10652">
        <v>2</v>
      </c>
      <c r="F10652" t="s">
        <v>12260</v>
      </c>
    </row>
    <row r="10653" spans="1:6" x14ac:dyDescent="0.25">
      <c r="A10653" t="s">
        <v>13142</v>
      </c>
      <c r="B10653" t="s">
        <v>1720</v>
      </c>
      <c r="C10653" t="s">
        <v>1721</v>
      </c>
      <c r="D10653" t="str">
        <f>HYPERLINK("http://service.sap.com/sap/support/notes/1820293","1820293")</f>
        <v>1820293</v>
      </c>
      <c r="E10653">
        <v>2</v>
      </c>
      <c r="F10653" t="s">
        <v>12259</v>
      </c>
    </row>
    <row r="10654" spans="1:6" x14ac:dyDescent="0.25">
      <c r="A10654" t="s">
        <v>13142</v>
      </c>
      <c r="B10654" t="s">
        <v>1720</v>
      </c>
      <c r="C10654" t="s">
        <v>1721</v>
      </c>
      <c r="D10654" t="str">
        <f>HYPERLINK("http://service.sap.com/sap/support/notes/1822286","1822286")</f>
        <v>1822286</v>
      </c>
      <c r="E10654">
        <v>2</v>
      </c>
      <c r="F10654" t="s">
        <v>12258</v>
      </c>
    </row>
    <row r="10655" spans="1:6" x14ac:dyDescent="0.25">
      <c r="A10655" t="s">
        <v>13142</v>
      </c>
      <c r="B10655" t="s">
        <v>1720</v>
      </c>
      <c r="C10655" t="s">
        <v>1721</v>
      </c>
      <c r="D10655" t="str">
        <f>HYPERLINK("http://service.sap.com/sap/support/notes/1827611","1827611")</f>
        <v>1827611</v>
      </c>
      <c r="E10655">
        <v>4</v>
      </c>
      <c r="F10655" t="s">
        <v>12257</v>
      </c>
    </row>
    <row r="10656" spans="1:6" x14ac:dyDescent="0.25">
      <c r="A10656" t="s">
        <v>13142</v>
      </c>
      <c r="B10656" t="s">
        <v>1720</v>
      </c>
      <c r="C10656" t="s">
        <v>1721</v>
      </c>
      <c r="D10656" t="str">
        <f>HYPERLINK("http://service.sap.com/sap/support/notes/1839142","1839142")</f>
        <v>1839142</v>
      </c>
      <c r="E10656">
        <v>2</v>
      </c>
      <c r="F10656" t="s">
        <v>12256</v>
      </c>
    </row>
    <row r="10657" spans="1:6" x14ac:dyDescent="0.25">
      <c r="A10657" t="s">
        <v>13142</v>
      </c>
      <c r="B10657" t="s">
        <v>1720</v>
      </c>
      <c r="C10657" t="s">
        <v>1721</v>
      </c>
      <c r="D10657" t="str">
        <f>HYPERLINK("http://service.sap.com/sap/support/notes/1841877","1841877")</f>
        <v>1841877</v>
      </c>
      <c r="E10657">
        <v>2</v>
      </c>
      <c r="F10657" t="s">
        <v>12255</v>
      </c>
    </row>
    <row r="10658" spans="1:6" x14ac:dyDescent="0.25">
      <c r="A10658" t="s">
        <v>13142</v>
      </c>
      <c r="B10658" t="s">
        <v>1720</v>
      </c>
      <c r="C10658" t="s">
        <v>1721</v>
      </c>
      <c r="D10658" t="str">
        <f>HYPERLINK("http://service.sap.com/sap/support/notes/1855197","1855197")</f>
        <v>1855197</v>
      </c>
      <c r="E10658">
        <v>1</v>
      </c>
      <c r="F10658" t="s">
        <v>12254</v>
      </c>
    </row>
    <row r="10659" spans="1:6" x14ac:dyDescent="0.25">
      <c r="A10659" t="s">
        <v>13142</v>
      </c>
      <c r="B10659" t="s">
        <v>1720</v>
      </c>
      <c r="C10659" t="s">
        <v>1721</v>
      </c>
      <c r="D10659" t="str">
        <f>HYPERLINK("http://service.sap.com/sap/support/notes/1870029","1870029")</f>
        <v>1870029</v>
      </c>
      <c r="E10659">
        <v>1</v>
      </c>
      <c r="F10659" t="s">
        <v>12253</v>
      </c>
    </row>
    <row r="10660" spans="1:6" x14ac:dyDescent="0.25">
      <c r="A10660" t="s">
        <v>13142</v>
      </c>
      <c r="B10660" t="s">
        <v>1720</v>
      </c>
      <c r="C10660" t="s">
        <v>1721</v>
      </c>
      <c r="D10660" t="str">
        <f>HYPERLINK("http://service.sap.com/sap/support/notes/1870686","1870686")</f>
        <v>1870686</v>
      </c>
      <c r="E10660">
        <v>1</v>
      </c>
      <c r="F10660" t="s">
        <v>12252</v>
      </c>
    </row>
    <row r="10661" spans="1:6" x14ac:dyDescent="0.25">
      <c r="A10661" t="s">
        <v>13142</v>
      </c>
      <c r="B10661" t="s">
        <v>1720</v>
      </c>
      <c r="C10661" t="s">
        <v>1721</v>
      </c>
      <c r="D10661" t="str">
        <f>HYPERLINK("http://service.sap.com/sap/support/notes/1881769","1881769")</f>
        <v>1881769</v>
      </c>
      <c r="E10661">
        <v>1</v>
      </c>
      <c r="F10661" t="s">
        <v>12251</v>
      </c>
    </row>
    <row r="10662" spans="1:6" x14ac:dyDescent="0.25">
      <c r="A10662" t="s">
        <v>13142</v>
      </c>
      <c r="B10662" t="s">
        <v>1720</v>
      </c>
      <c r="C10662" t="s">
        <v>1721</v>
      </c>
      <c r="D10662" t="str">
        <f>HYPERLINK("http://service.sap.com/sap/support/notes/1882235","1882235")</f>
        <v>1882235</v>
      </c>
      <c r="E10662">
        <v>2</v>
      </c>
      <c r="F10662" t="s">
        <v>12250</v>
      </c>
    </row>
    <row r="10663" spans="1:6" x14ac:dyDescent="0.25">
      <c r="A10663" t="s">
        <v>13142</v>
      </c>
      <c r="B10663" t="s">
        <v>5073</v>
      </c>
      <c r="C10663" t="s">
        <v>5074</v>
      </c>
      <c r="D10663" t="str">
        <f>HYPERLINK("http://service.sap.com/sap/support/notes/1807426","1807426")</f>
        <v>1807426</v>
      </c>
      <c r="E10663">
        <v>4</v>
      </c>
      <c r="F10663" t="s">
        <v>12249</v>
      </c>
    </row>
    <row r="10664" spans="1:6" x14ac:dyDescent="0.25">
      <c r="A10664" t="s">
        <v>13142</v>
      </c>
      <c r="B10664" t="s">
        <v>5073</v>
      </c>
      <c r="C10664" t="s">
        <v>5074</v>
      </c>
      <c r="D10664" t="str">
        <f>HYPERLINK("http://service.sap.com/sap/support/notes/1845296","1845296")</f>
        <v>1845296</v>
      </c>
      <c r="E10664">
        <v>2</v>
      </c>
      <c r="F10664" t="s">
        <v>12248</v>
      </c>
    </row>
    <row r="10665" spans="1:6" x14ac:dyDescent="0.25">
      <c r="A10665" t="s">
        <v>13142</v>
      </c>
      <c r="B10665" t="s">
        <v>1728</v>
      </c>
      <c r="C10665" t="s">
        <v>1729</v>
      </c>
      <c r="D10665" t="str">
        <f>HYPERLINK("http://service.sap.com/sap/support/notes/1845684","1845684")</f>
        <v>1845684</v>
      </c>
      <c r="E10665">
        <v>2</v>
      </c>
      <c r="F10665" t="s">
        <v>12247</v>
      </c>
    </row>
    <row r="10666" spans="1:6" x14ac:dyDescent="0.25">
      <c r="A10666" t="s">
        <v>13142</v>
      </c>
      <c r="B10666" t="s">
        <v>1728</v>
      </c>
      <c r="C10666" t="s">
        <v>1729</v>
      </c>
      <c r="D10666" t="str">
        <f>HYPERLINK("http://service.sap.com/sap/support/notes/1874990","1874990")</f>
        <v>1874990</v>
      </c>
      <c r="E10666">
        <v>2</v>
      </c>
      <c r="F10666" t="s">
        <v>12246</v>
      </c>
    </row>
    <row r="10667" spans="1:6" x14ac:dyDescent="0.25">
      <c r="A10667" t="s">
        <v>13142</v>
      </c>
      <c r="B10667" t="s">
        <v>5076</v>
      </c>
      <c r="C10667" t="s">
        <v>5077</v>
      </c>
      <c r="D10667" t="str">
        <f>HYPERLINK("http://service.sap.com/sap/support/notes/1837655","1837655")</f>
        <v>1837655</v>
      </c>
      <c r="E10667">
        <v>2</v>
      </c>
      <c r="F10667" t="s">
        <v>12245</v>
      </c>
    </row>
    <row r="10668" spans="1:6" x14ac:dyDescent="0.25">
      <c r="A10668" t="s">
        <v>13142</v>
      </c>
      <c r="B10668" t="s">
        <v>5076</v>
      </c>
      <c r="C10668" t="s">
        <v>5077</v>
      </c>
      <c r="D10668" t="str">
        <f>HYPERLINK("http://service.sap.com/sap/support/notes/1875473","1875473")</f>
        <v>1875473</v>
      </c>
      <c r="E10668">
        <v>1</v>
      </c>
      <c r="F10668" t="s">
        <v>12244</v>
      </c>
    </row>
    <row r="10669" spans="1:6" x14ac:dyDescent="0.25">
      <c r="A10669" t="s">
        <v>13142</v>
      </c>
      <c r="B10669" t="s">
        <v>1734</v>
      </c>
      <c r="C10669" t="s">
        <v>151</v>
      </c>
      <c r="D10669" t="str">
        <f>HYPERLINK("http://service.sap.com/sap/support/notes/1853787","1853787")</f>
        <v>1853787</v>
      </c>
      <c r="E10669">
        <v>1</v>
      </c>
      <c r="F10669" t="s">
        <v>12243</v>
      </c>
    </row>
    <row r="10670" spans="1:6" x14ac:dyDescent="0.25">
      <c r="A10670" t="s">
        <v>13142</v>
      </c>
      <c r="B10670" t="s">
        <v>1736</v>
      </c>
      <c r="C10670" t="s">
        <v>1737</v>
      </c>
      <c r="D10670" t="str">
        <f>HYPERLINK("http://service.sap.com/sap/support/notes/1813506","1813506")</f>
        <v>1813506</v>
      </c>
      <c r="E10670">
        <v>3</v>
      </c>
      <c r="F10670" t="s">
        <v>12242</v>
      </c>
    </row>
    <row r="10671" spans="1:6" x14ac:dyDescent="0.25">
      <c r="A10671" t="s">
        <v>13142</v>
      </c>
      <c r="B10671" t="s">
        <v>5083</v>
      </c>
      <c r="C10671" t="s">
        <v>5084</v>
      </c>
      <c r="D10671" t="str">
        <f>HYPERLINK("http://service.sap.com/sap/support/notes/1864256","1864256")</f>
        <v>1864256</v>
      </c>
      <c r="E10671">
        <v>2</v>
      </c>
      <c r="F10671" t="s">
        <v>12241</v>
      </c>
    </row>
    <row r="10672" spans="1:6" x14ac:dyDescent="0.25">
      <c r="A10672" t="s">
        <v>13142</v>
      </c>
      <c r="B10672" t="s">
        <v>12240</v>
      </c>
      <c r="C10672" t="s">
        <v>12239</v>
      </c>
      <c r="D10672" t="str">
        <f>HYPERLINK("http://service.sap.com/sap/support/notes/1897607","1897607")</f>
        <v>1897607</v>
      </c>
      <c r="E10672">
        <v>2</v>
      </c>
      <c r="F10672" t="s">
        <v>12238</v>
      </c>
    </row>
    <row r="10673" spans="1:6" x14ac:dyDescent="0.25">
      <c r="A10673" t="s">
        <v>13142</v>
      </c>
      <c r="B10673" t="s">
        <v>7424</v>
      </c>
      <c r="C10673" t="s">
        <v>7425</v>
      </c>
      <c r="D10673" t="str">
        <f>HYPERLINK("http://service.sap.com/sap/support/notes/1892241","1892241")</f>
        <v>1892241</v>
      </c>
      <c r="E10673">
        <v>3</v>
      </c>
      <c r="F10673" t="s">
        <v>12237</v>
      </c>
    </row>
    <row r="10674" spans="1:6" x14ac:dyDescent="0.25">
      <c r="A10674" t="s">
        <v>13142</v>
      </c>
      <c r="B10674" t="s">
        <v>1739</v>
      </c>
      <c r="C10674" t="s">
        <v>1740</v>
      </c>
      <c r="D10674" t="str">
        <f>HYPERLINK("http://service.sap.com/sap/support/notes/1833474","1833474")</f>
        <v>1833474</v>
      </c>
      <c r="E10674">
        <v>3</v>
      </c>
      <c r="F10674" t="s">
        <v>12236</v>
      </c>
    </row>
    <row r="10675" spans="1:6" x14ac:dyDescent="0.25">
      <c r="A10675" t="s">
        <v>13142</v>
      </c>
      <c r="B10675" t="s">
        <v>1742</v>
      </c>
      <c r="C10675" t="s">
        <v>1743</v>
      </c>
      <c r="D10675" t="str">
        <f>HYPERLINK("http://service.sap.com/sap/support/notes/1820051","1820051")</f>
        <v>1820051</v>
      </c>
      <c r="E10675">
        <v>3</v>
      </c>
      <c r="F10675" t="s">
        <v>12235</v>
      </c>
    </row>
    <row r="10676" spans="1:6" x14ac:dyDescent="0.25">
      <c r="A10676" t="s">
        <v>13142</v>
      </c>
      <c r="B10676" t="s">
        <v>1742</v>
      </c>
      <c r="C10676" t="s">
        <v>1743</v>
      </c>
      <c r="D10676" t="str">
        <f>HYPERLINK("http://service.sap.com/sap/support/notes/1869983","1869983")</f>
        <v>1869983</v>
      </c>
      <c r="E10676">
        <v>2</v>
      </c>
      <c r="F10676" t="s">
        <v>12234</v>
      </c>
    </row>
    <row r="10677" spans="1:6" x14ac:dyDescent="0.25">
      <c r="A10677" t="s">
        <v>13142</v>
      </c>
      <c r="B10677" t="s">
        <v>1742</v>
      </c>
      <c r="C10677" t="s">
        <v>1743</v>
      </c>
      <c r="D10677" t="str">
        <f>HYPERLINK("http://service.sap.com/sap/support/notes/1879705","1879705")</f>
        <v>1879705</v>
      </c>
      <c r="E10677">
        <v>2</v>
      </c>
      <c r="F10677" t="s">
        <v>12233</v>
      </c>
    </row>
    <row r="10678" spans="1:6" x14ac:dyDescent="0.25">
      <c r="A10678" t="s">
        <v>13142</v>
      </c>
      <c r="B10678" t="s">
        <v>1742</v>
      </c>
      <c r="C10678" t="s">
        <v>1743</v>
      </c>
      <c r="D10678" t="str">
        <f>HYPERLINK("http://service.sap.com/sap/support/notes/1880921","1880921")</f>
        <v>1880921</v>
      </c>
      <c r="E10678">
        <v>1</v>
      </c>
      <c r="F10678" t="s">
        <v>12232</v>
      </c>
    </row>
    <row r="10679" spans="1:6" x14ac:dyDescent="0.25">
      <c r="A10679" t="s">
        <v>13142</v>
      </c>
      <c r="B10679" t="s">
        <v>1742</v>
      </c>
      <c r="C10679" t="s">
        <v>1743</v>
      </c>
      <c r="D10679" t="str">
        <f>HYPERLINK("http://service.sap.com/sap/support/notes/1886239","1886239")</f>
        <v>1886239</v>
      </c>
      <c r="E10679">
        <v>1</v>
      </c>
      <c r="F10679" t="s">
        <v>12231</v>
      </c>
    </row>
    <row r="10680" spans="1:6" x14ac:dyDescent="0.25">
      <c r="A10680" t="s">
        <v>13142</v>
      </c>
      <c r="B10680" t="s">
        <v>1754</v>
      </c>
      <c r="C10680" t="s">
        <v>1755</v>
      </c>
      <c r="D10680" t="str">
        <f>HYPERLINK("http://service.sap.com/sap/support/notes/1844467","1844467")</f>
        <v>1844467</v>
      </c>
      <c r="E10680">
        <v>2</v>
      </c>
      <c r="F10680" t="s">
        <v>12230</v>
      </c>
    </row>
    <row r="10681" spans="1:6" x14ac:dyDescent="0.25">
      <c r="A10681" t="s">
        <v>13142</v>
      </c>
      <c r="B10681" t="s">
        <v>1761</v>
      </c>
      <c r="C10681" t="s">
        <v>1762</v>
      </c>
      <c r="D10681" t="str">
        <f>HYPERLINK("http://service.sap.com/sap/support/notes/1831657","1831657")</f>
        <v>1831657</v>
      </c>
      <c r="E10681">
        <v>2</v>
      </c>
      <c r="F10681" t="s">
        <v>12229</v>
      </c>
    </row>
    <row r="10682" spans="1:6" x14ac:dyDescent="0.25">
      <c r="A10682" t="s">
        <v>13142</v>
      </c>
      <c r="B10682" t="s">
        <v>1763</v>
      </c>
      <c r="C10682" t="s">
        <v>1764</v>
      </c>
    </row>
    <row r="10683" spans="1:6" x14ac:dyDescent="0.25">
      <c r="A10683" t="s">
        <v>13142</v>
      </c>
      <c r="B10683" t="s">
        <v>12228</v>
      </c>
      <c r="C10683" t="s">
        <v>12227</v>
      </c>
      <c r="D10683" t="str">
        <f>HYPERLINK("http://service.sap.com/sap/support/notes/1833555","1833555")</f>
        <v>1833555</v>
      </c>
      <c r="E10683">
        <v>2</v>
      </c>
      <c r="F10683" t="s">
        <v>12226</v>
      </c>
    </row>
    <row r="10684" spans="1:6" x14ac:dyDescent="0.25">
      <c r="A10684" t="s">
        <v>13142</v>
      </c>
      <c r="B10684" t="s">
        <v>7433</v>
      </c>
      <c r="C10684" t="s">
        <v>1784</v>
      </c>
      <c r="D10684" t="str">
        <f>HYPERLINK("http://service.sap.com/sap/support/notes/1834694","1834694")</f>
        <v>1834694</v>
      </c>
      <c r="E10684">
        <v>6</v>
      </c>
      <c r="F10684" t="s">
        <v>12225</v>
      </c>
    </row>
    <row r="10685" spans="1:6" x14ac:dyDescent="0.25">
      <c r="A10685" t="s">
        <v>13142</v>
      </c>
      <c r="B10685" t="s">
        <v>5101</v>
      </c>
      <c r="C10685" t="s">
        <v>5102</v>
      </c>
    </row>
    <row r="10686" spans="1:6" x14ac:dyDescent="0.25">
      <c r="A10686" t="s">
        <v>13142</v>
      </c>
      <c r="B10686" t="s">
        <v>12224</v>
      </c>
      <c r="C10686" t="s">
        <v>12223</v>
      </c>
      <c r="D10686" t="str">
        <f>HYPERLINK("http://service.sap.com/sap/support/notes/1815529","1815529")</f>
        <v>1815529</v>
      </c>
      <c r="E10686">
        <v>3</v>
      </c>
      <c r="F10686" t="s">
        <v>12222</v>
      </c>
    </row>
    <row r="10687" spans="1:6" x14ac:dyDescent="0.25">
      <c r="A10687" t="s">
        <v>13142</v>
      </c>
      <c r="B10687" t="s">
        <v>12221</v>
      </c>
      <c r="C10687" t="s">
        <v>12220</v>
      </c>
      <c r="D10687" t="str">
        <f>HYPERLINK("http://service.sap.com/sap/support/notes/1373014","1373014")</f>
        <v>1373014</v>
      </c>
      <c r="E10687">
        <v>2</v>
      </c>
      <c r="F10687" t="s">
        <v>12219</v>
      </c>
    </row>
    <row r="10688" spans="1:6" x14ac:dyDescent="0.25">
      <c r="A10688" t="s">
        <v>13142</v>
      </c>
      <c r="B10688" t="s">
        <v>1774</v>
      </c>
      <c r="C10688" t="s">
        <v>1775</v>
      </c>
    </row>
    <row r="10689" spans="1:6" x14ac:dyDescent="0.25">
      <c r="A10689" t="s">
        <v>13142</v>
      </c>
      <c r="B10689" t="s">
        <v>1786</v>
      </c>
      <c r="C10689" t="s">
        <v>29</v>
      </c>
      <c r="D10689" t="str">
        <f>HYPERLINK("http://service.sap.com/sap/support/notes/1885640","1885640")</f>
        <v>1885640</v>
      </c>
      <c r="E10689">
        <v>1</v>
      </c>
      <c r="F10689" t="s">
        <v>12218</v>
      </c>
    </row>
    <row r="10690" spans="1:6" x14ac:dyDescent="0.25">
      <c r="A10690" t="s">
        <v>13142</v>
      </c>
      <c r="B10690" t="s">
        <v>1789</v>
      </c>
      <c r="C10690" t="s">
        <v>1790</v>
      </c>
      <c r="D10690" t="str">
        <f>HYPERLINK("http://service.sap.com/sap/support/notes/1886078","1886078")</f>
        <v>1886078</v>
      </c>
      <c r="E10690">
        <v>2</v>
      </c>
      <c r="F10690" t="s">
        <v>12217</v>
      </c>
    </row>
    <row r="10691" spans="1:6" x14ac:dyDescent="0.25">
      <c r="A10691" t="s">
        <v>13142</v>
      </c>
      <c r="B10691" t="s">
        <v>61</v>
      </c>
      <c r="C10691" t="s">
        <v>62</v>
      </c>
    </row>
    <row r="10692" spans="1:6" x14ac:dyDescent="0.25">
      <c r="A10692" t="s">
        <v>13142</v>
      </c>
      <c r="B10692" t="s">
        <v>1807</v>
      </c>
      <c r="C10692" t="s">
        <v>1808</v>
      </c>
      <c r="D10692" t="str">
        <f>HYPERLINK("http://service.sap.com/sap/support/notes/1826200","1826200")</f>
        <v>1826200</v>
      </c>
      <c r="E10692">
        <v>1</v>
      </c>
      <c r="F10692" t="s">
        <v>12216</v>
      </c>
    </row>
    <row r="10693" spans="1:6" x14ac:dyDescent="0.25">
      <c r="A10693" t="s">
        <v>13142</v>
      </c>
      <c r="B10693" t="s">
        <v>1807</v>
      </c>
      <c r="C10693" t="s">
        <v>1808</v>
      </c>
      <c r="D10693" t="str">
        <f>HYPERLINK("http://service.sap.com/sap/support/notes/1840468","1840468")</f>
        <v>1840468</v>
      </c>
      <c r="E10693">
        <v>4</v>
      </c>
      <c r="F10693" t="s">
        <v>12215</v>
      </c>
    </row>
    <row r="10694" spans="1:6" x14ac:dyDescent="0.25">
      <c r="A10694" t="s">
        <v>13142</v>
      </c>
      <c r="B10694" t="s">
        <v>1807</v>
      </c>
      <c r="C10694" t="s">
        <v>1808</v>
      </c>
      <c r="D10694" t="str">
        <f>HYPERLINK("http://service.sap.com/sap/support/notes/1843228","1843228")</f>
        <v>1843228</v>
      </c>
      <c r="E10694">
        <v>2</v>
      </c>
      <c r="F10694" t="s">
        <v>12214</v>
      </c>
    </row>
    <row r="10695" spans="1:6" x14ac:dyDescent="0.25">
      <c r="A10695" t="s">
        <v>13142</v>
      </c>
      <c r="B10695" t="s">
        <v>1807</v>
      </c>
      <c r="C10695" t="s">
        <v>1808</v>
      </c>
      <c r="D10695" t="str">
        <f>HYPERLINK("http://service.sap.com/sap/support/notes/1863592","1863592")</f>
        <v>1863592</v>
      </c>
      <c r="E10695">
        <v>2</v>
      </c>
      <c r="F10695" t="s">
        <v>12213</v>
      </c>
    </row>
    <row r="10696" spans="1:6" x14ac:dyDescent="0.25">
      <c r="A10696" t="s">
        <v>13142</v>
      </c>
      <c r="B10696" t="s">
        <v>1807</v>
      </c>
      <c r="C10696" t="s">
        <v>1808</v>
      </c>
      <c r="D10696" t="str">
        <f>HYPERLINK("http://service.sap.com/sap/support/notes/1863611","1863611")</f>
        <v>1863611</v>
      </c>
      <c r="E10696">
        <v>1</v>
      </c>
      <c r="F10696" t="s">
        <v>12212</v>
      </c>
    </row>
    <row r="10697" spans="1:6" x14ac:dyDescent="0.25">
      <c r="A10697" t="s">
        <v>13142</v>
      </c>
      <c r="B10697" t="s">
        <v>1807</v>
      </c>
      <c r="C10697" t="s">
        <v>1808</v>
      </c>
      <c r="D10697" t="str">
        <f>HYPERLINK("http://service.sap.com/sap/support/notes/1863649","1863649")</f>
        <v>1863649</v>
      </c>
      <c r="E10697">
        <v>1</v>
      </c>
      <c r="F10697" t="s">
        <v>12211</v>
      </c>
    </row>
    <row r="10698" spans="1:6" x14ac:dyDescent="0.25">
      <c r="A10698" t="s">
        <v>13142</v>
      </c>
      <c r="B10698" t="s">
        <v>1807</v>
      </c>
      <c r="C10698" t="s">
        <v>1808</v>
      </c>
      <c r="D10698" t="str">
        <f>HYPERLINK("http://service.sap.com/sap/support/notes/1863676","1863676")</f>
        <v>1863676</v>
      </c>
      <c r="E10698">
        <v>4</v>
      </c>
      <c r="F10698" t="s">
        <v>12210</v>
      </c>
    </row>
    <row r="10699" spans="1:6" x14ac:dyDescent="0.25">
      <c r="A10699" t="s">
        <v>13142</v>
      </c>
      <c r="B10699" t="s">
        <v>1807</v>
      </c>
      <c r="C10699" t="s">
        <v>1808</v>
      </c>
      <c r="D10699" t="str">
        <f>HYPERLINK("http://service.sap.com/sap/support/notes/1865563","1865563")</f>
        <v>1865563</v>
      </c>
      <c r="E10699">
        <v>2</v>
      </c>
      <c r="F10699" t="s">
        <v>12209</v>
      </c>
    </row>
    <row r="10700" spans="1:6" x14ac:dyDescent="0.25">
      <c r="A10700" t="s">
        <v>13142</v>
      </c>
      <c r="B10700" t="s">
        <v>1807</v>
      </c>
      <c r="C10700" t="s">
        <v>1808</v>
      </c>
      <c r="D10700" t="str">
        <f>HYPERLINK("http://service.sap.com/sap/support/notes/1870256","1870256")</f>
        <v>1870256</v>
      </c>
      <c r="E10700">
        <v>5</v>
      </c>
      <c r="F10700" t="s">
        <v>12208</v>
      </c>
    </row>
    <row r="10701" spans="1:6" x14ac:dyDescent="0.25">
      <c r="A10701" t="s">
        <v>13142</v>
      </c>
      <c r="B10701" t="s">
        <v>1807</v>
      </c>
      <c r="C10701" t="s">
        <v>1808</v>
      </c>
      <c r="D10701" t="str">
        <f>HYPERLINK("http://service.sap.com/sap/support/notes/1871411","1871411")</f>
        <v>1871411</v>
      </c>
      <c r="E10701">
        <v>2</v>
      </c>
      <c r="F10701" t="s">
        <v>12207</v>
      </c>
    </row>
    <row r="10702" spans="1:6" x14ac:dyDescent="0.25">
      <c r="A10702" t="s">
        <v>13142</v>
      </c>
      <c r="B10702" t="s">
        <v>1807</v>
      </c>
      <c r="C10702" t="s">
        <v>1808</v>
      </c>
      <c r="D10702" t="str">
        <f>HYPERLINK("http://service.sap.com/sap/support/notes/1872604","1872604")</f>
        <v>1872604</v>
      </c>
      <c r="E10702">
        <v>1</v>
      </c>
      <c r="F10702" t="s">
        <v>12206</v>
      </c>
    </row>
    <row r="10703" spans="1:6" x14ac:dyDescent="0.25">
      <c r="A10703" t="s">
        <v>13142</v>
      </c>
      <c r="B10703" t="s">
        <v>1807</v>
      </c>
      <c r="C10703" t="s">
        <v>1808</v>
      </c>
      <c r="D10703" t="str">
        <f>HYPERLINK("http://service.sap.com/sap/support/notes/1873533","1873533")</f>
        <v>1873533</v>
      </c>
      <c r="E10703">
        <v>1</v>
      </c>
      <c r="F10703" t="s">
        <v>12205</v>
      </c>
    </row>
    <row r="10704" spans="1:6" x14ac:dyDescent="0.25">
      <c r="A10704" t="s">
        <v>13142</v>
      </c>
      <c r="B10704" t="s">
        <v>1807</v>
      </c>
      <c r="C10704" t="s">
        <v>1808</v>
      </c>
      <c r="D10704" t="str">
        <f>HYPERLINK("http://service.sap.com/sap/support/notes/1875162","1875162")</f>
        <v>1875162</v>
      </c>
      <c r="E10704">
        <v>2</v>
      </c>
      <c r="F10704" t="s">
        <v>12204</v>
      </c>
    </row>
    <row r="10705" spans="1:6" x14ac:dyDescent="0.25">
      <c r="A10705" t="s">
        <v>13142</v>
      </c>
      <c r="B10705" t="s">
        <v>1807</v>
      </c>
      <c r="C10705" t="s">
        <v>1808</v>
      </c>
      <c r="D10705" t="str">
        <f>HYPERLINK("http://service.sap.com/sap/support/notes/1875789","1875789")</f>
        <v>1875789</v>
      </c>
      <c r="E10705">
        <v>2</v>
      </c>
      <c r="F10705" t="s">
        <v>12203</v>
      </c>
    </row>
    <row r="10706" spans="1:6" x14ac:dyDescent="0.25">
      <c r="A10706" t="s">
        <v>13142</v>
      </c>
      <c r="B10706" t="s">
        <v>1807</v>
      </c>
      <c r="C10706" t="s">
        <v>1808</v>
      </c>
      <c r="D10706" t="str">
        <f>HYPERLINK("http://service.sap.com/sap/support/notes/1876724","1876724")</f>
        <v>1876724</v>
      </c>
      <c r="E10706">
        <v>2</v>
      </c>
      <c r="F10706" t="s">
        <v>12202</v>
      </c>
    </row>
    <row r="10707" spans="1:6" x14ac:dyDescent="0.25">
      <c r="A10707" t="s">
        <v>13142</v>
      </c>
      <c r="B10707" t="s">
        <v>1807</v>
      </c>
      <c r="C10707" t="s">
        <v>1808</v>
      </c>
      <c r="D10707" t="str">
        <f>HYPERLINK("http://service.sap.com/sap/support/notes/1879853","1879853")</f>
        <v>1879853</v>
      </c>
      <c r="E10707">
        <v>1</v>
      </c>
      <c r="F10707" t="s">
        <v>12201</v>
      </c>
    </row>
    <row r="10708" spans="1:6" x14ac:dyDescent="0.25">
      <c r="A10708" t="s">
        <v>13142</v>
      </c>
      <c r="B10708" t="s">
        <v>1807</v>
      </c>
      <c r="C10708" t="s">
        <v>1808</v>
      </c>
      <c r="D10708" t="str">
        <f>HYPERLINK("http://service.sap.com/sap/support/notes/1879999","1879999")</f>
        <v>1879999</v>
      </c>
      <c r="E10708">
        <v>1</v>
      </c>
      <c r="F10708" t="s">
        <v>12200</v>
      </c>
    </row>
    <row r="10709" spans="1:6" x14ac:dyDescent="0.25">
      <c r="A10709" t="s">
        <v>13142</v>
      </c>
      <c r="B10709" t="s">
        <v>1807</v>
      </c>
      <c r="C10709" t="s">
        <v>1808</v>
      </c>
      <c r="D10709" t="str">
        <f>HYPERLINK("http://service.sap.com/sap/support/notes/1880445","1880445")</f>
        <v>1880445</v>
      </c>
      <c r="E10709">
        <v>1</v>
      </c>
      <c r="F10709" t="s">
        <v>12199</v>
      </c>
    </row>
    <row r="10710" spans="1:6" x14ac:dyDescent="0.25">
      <c r="A10710" t="s">
        <v>13142</v>
      </c>
      <c r="B10710" t="s">
        <v>1807</v>
      </c>
      <c r="C10710" t="s">
        <v>1808</v>
      </c>
      <c r="D10710" t="str">
        <f>HYPERLINK("http://service.sap.com/sap/support/notes/1880546","1880546")</f>
        <v>1880546</v>
      </c>
      <c r="E10710">
        <v>1</v>
      </c>
      <c r="F10710" t="s">
        <v>12198</v>
      </c>
    </row>
    <row r="10711" spans="1:6" x14ac:dyDescent="0.25">
      <c r="A10711" t="s">
        <v>13142</v>
      </c>
      <c r="B10711" t="s">
        <v>1807</v>
      </c>
      <c r="C10711" t="s">
        <v>1808</v>
      </c>
      <c r="D10711" t="str">
        <f>HYPERLINK("http://service.sap.com/sap/support/notes/1881121","1881121")</f>
        <v>1881121</v>
      </c>
      <c r="E10711">
        <v>2</v>
      </c>
      <c r="F10711" t="s">
        <v>12197</v>
      </c>
    </row>
    <row r="10712" spans="1:6" x14ac:dyDescent="0.25">
      <c r="A10712" t="s">
        <v>13142</v>
      </c>
      <c r="B10712" t="s">
        <v>1807</v>
      </c>
      <c r="C10712" t="s">
        <v>1808</v>
      </c>
      <c r="D10712" t="str">
        <f>HYPERLINK("http://service.sap.com/sap/support/notes/1882851","1882851")</f>
        <v>1882851</v>
      </c>
      <c r="E10712">
        <v>5</v>
      </c>
      <c r="F10712" t="s">
        <v>12196</v>
      </c>
    </row>
    <row r="10713" spans="1:6" x14ac:dyDescent="0.25">
      <c r="A10713" t="s">
        <v>13142</v>
      </c>
      <c r="B10713" t="s">
        <v>1807</v>
      </c>
      <c r="C10713" t="s">
        <v>1808</v>
      </c>
      <c r="D10713" t="str">
        <f>HYPERLINK("http://service.sap.com/sap/support/notes/1882987","1882987")</f>
        <v>1882987</v>
      </c>
      <c r="E10713">
        <v>2</v>
      </c>
      <c r="F10713" t="s">
        <v>12195</v>
      </c>
    </row>
    <row r="10714" spans="1:6" x14ac:dyDescent="0.25">
      <c r="A10714" t="s">
        <v>13142</v>
      </c>
      <c r="B10714" t="s">
        <v>1807</v>
      </c>
      <c r="C10714" t="s">
        <v>1808</v>
      </c>
      <c r="D10714" t="str">
        <f>HYPERLINK("http://service.sap.com/sap/support/notes/1883039","1883039")</f>
        <v>1883039</v>
      </c>
      <c r="E10714">
        <v>2</v>
      </c>
      <c r="F10714" t="s">
        <v>12194</v>
      </c>
    </row>
    <row r="10715" spans="1:6" x14ac:dyDescent="0.25">
      <c r="A10715" t="s">
        <v>13142</v>
      </c>
      <c r="B10715" t="s">
        <v>1807</v>
      </c>
      <c r="C10715" t="s">
        <v>1808</v>
      </c>
      <c r="D10715" t="str">
        <f>HYPERLINK("http://service.sap.com/sap/support/notes/1883061","1883061")</f>
        <v>1883061</v>
      </c>
      <c r="E10715">
        <v>1</v>
      </c>
      <c r="F10715" t="s">
        <v>12193</v>
      </c>
    </row>
    <row r="10716" spans="1:6" x14ac:dyDescent="0.25">
      <c r="A10716" t="s">
        <v>13142</v>
      </c>
      <c r="B10716" t="s">
        <v>1807</v>
      </c>
      <c r="C10716" t="s">
        <v>1808</v>
      </c>
      <c r="D10716" t="str">
        <f>HYPERLINK("http://service.sap.com/sap/support/notes/1884884","1884884")</f>
        <v>1884884</v>
      </c>
      <c r="E10716">
        <v>3</v>
      </c>
      <c r="F10716" t="s">
        <v>12192</v>
      </c>
    </row>
    <row r="10717" spans="1:6" x14ac:dyDescent="0.25">
      <c r="A10717" t="s">
        <v>13142</v>
      </c>
      <c r="B10717" t="s">
        <v>1807</v>
      </c>
      <c r="C10717" t="s">
        <v>1808</v>
      </c>
      <c r="D10717" t="str">
        <f>HYPERLINK("http://service.sap.com/sap/support/notes/1887849","1887849")</f>
        <v>1887849</v>
      </c>
      <c r="E10717">
        <v>1</v>
      </c>
      <c r="F10717" t="s">
        <v>12191</v>
      </c>
    </row>
    <row r="10718" spans="1:6" x14ac:dyDescent="0.25">
      <c r="A10718" t="s">
        <v>13142</v>
      </c>
      <c r="B10718" t="s">
        <v>1807</v>
      </c>
      <c r="C10718" t="s">
        <v>1808</v>
      </c>
      <c r="D10718" t="str">
        <f>HYPERLINK("http://service.sap.com/sap/support/notes/1887984","1887984")</f>
        <v>1887984</v>
      </c>
      <c r="E10718">
        <v>1</v>
      </c>
      <c r="F10718" t="s">
        <v>12190</v>
      </c>
    </row>
    <row r="10719" spans="1:6" x14ac:dyDescent="0.25">
      <c r="A10719" t="s">
        <v>13142</v>
      </c>
      <c r="B10719" t="s">
        <v>1807</v>
      </c>
      <c r="C10719" t="s">
        <v>1808</v>
      </c>
      <c r="D10719" t="str">
        <f>HYPERLINK("http://service.sap.com/sap/support/notes/1888418","1888418")</f>
        <v>1888418</v>
      </c>
      <c r="E10719">
        <v>2</v>
      </c>
      <c r="F10719" t="s">
        <v>12189</v>
      </c>
    </row>
    <row r="10720" spans="1:6" x14ac:dyDescent="0.25">
      <c r="A10720" t="s">
        <v>13142</v>
      </c>
      <c r="B10720" t="s">
        <v>1807</v>
      </c>
      <c r="C10720" t="s">
        <v>1808</v>
      </c>
      <c r="D10720" t="str">
        <f>HYPERLINK("http://service.sap.com/sap/support/notes/1889526","1889526")</f>
        <v>1889526</v>
      </c>
      <c r="E10720">
        <v>1</v>
      </c>
      <c r="F10720" t="s">
        <v>12188</v>
      </c>
    </row>
    <row r="10721" spans="1:6" x14ac:dyDescent="0.25">
      <c r="A10721" t="s">
        <v>13142</v>
      </c>
      <c r="B10721" t="s">
        <v>1807</v>
      </c>
      <c r="C10721" t="s">
        <v>1808</v>
      </c>
      <c r="D10721" t="str">
        <f>HYPERLINK("http://service.sap.com/sap/support/notes/1892113","1892113")</f>
        <v>1892113</v>
      </c>
      <c r="E10721">
        <v>1</v>
      </c>
      <c r="F10721" t="s">
        <v>12187</v>
      </c>
    </row>
    <row r="10722" spans="1:6" x14ac:dyDescent="0.25">
      <c r="A10722" t="s">
        <v>13142</v>
      </c>
      <c r="B10722" t="s">
        <v>1807</v>
      </c>
      <c r="C10722" t="s">
        <v>1808</v>
      </c>
      <c r="D10722" t="str">
        <f>HYPERLINK("http://service.sap.com/sap/support/notes/1893273","1893273")</f>
        <v>1893273</v>
      </c>
      <c r="E10722">
        <v>1</v>
      </c>
      <c r="F10722" t="s">
        <v>12186</v>
      </c>
    </row>
    <row r="10723" spans="1:6" x14ac:dyDescent="0.25">
      <c r="A10723" t="s">
        <v>13142</v>
      </c>
      <c r="B10723" t="s">
        <v>1807</v>
      </c>
      <c r="C10723" t="s">
        <v>1808</v>
      </c>
      <c r="D10723" t="str">
        <f>HYPERLINK("http://service.sap.com/sap/support/notes/1893435","1893435")</f>
        <v>1893435</v>
      </c>
      <c r="E10723">
        <v>1</v>
      </c>
      <c r="F10723" t="s">
        <v>12185</v>
      </c>
    </row>
    <row r="10724" spans="1:6" x14ac:dyDescent="0.25">
      <c r="A10724" t="s">
        <v>13142</v>
      </c>
      <c r="B10724" t="s">
        <v>1807</v>
      </c>
      <c r="C10724" t="s">
        <v>1808</v>
      </c>
      <c r="D10724" t="str">
        <f>HYPERLINK("http://service.sap.com/sap/support/notes/1894461","1894461")</f>
        <v>1894461</v>
      </c>
      <c r="E10724">
        <v>2</v>
      </c>
      <c r="F10724" t="s">
        <v>12184</v>
      </c>
    </row>
    <row r="10725" spans="1:6" x14ac:dyDescent="0.25">
      <c r="A10725" t="s">
        <v>13142</v>
      </c>
      <c r="B10725" t="s">
        <v>1807</v>
      </c>
      <c r="C10725" t="s">
        <v>1808</v>
      </c>
      <c r="D10725" t="str">
        <f>HYPERLINK("http://service.sap.com/sap/support/notes/1897100","1897100")</f>
        <v>1897100</v>
      </c>
      <c r="E10725">
        <v>1</v>
      </c>
      <c r="F10725" t="s">
        <v>12183</v>
      </c>
    </row>
    <row r="10726" spans="1:6" x14ac:dyDescent="0.25">
      <c r="A10726" t="s">
        <v>13142</v>
      </c>
      <c r="B10726" t="s">
        <v>1807</v>
      </c>
      <c r="C10726" t="s">
        <v>1808</v>
      </c>
      <c r="D10726" t="str">
        <f>HYPERLINK("http://service.sap.com/sap/support/notes/1897138","1897138")</f>
        <v>1897138</v>
      </c>
      <c r="E10726">
        <v>1</v>
      </c>
      <c r="F10726" t="s">
        <v>12182</v>
      </c>
    </row>
    <row r="10727" spans="1:6" x14ac:dyDescent="0.25">
      <c r="A10727" t="s">
        <v>13142</v>
      </c>
      <c r="B10727" t="s">
        <v>1807</v>
      </c>
      <c r="C10727" t="s">
        <v>1808</v>
      </c>
      <c r="D10727" t="str">
        <f>HYPERLINK("http://service.sap.com/sap/support/notes/1898790","1898790")</f>
        <v>1898790</v>
      </c>
      <c r="E10727">
        <v>1</v>
      </c>
      <c r="F10727" t="s">
        <v>12181</v>
      </c>
    </row>
    <row r="10728" spans="1:6" x14ac:dyDescent="0.25">
      <c r="A10728" t="s">
        <v>13142</v>
      </c>
      <c r="B10728" t="s">
        <v>1807</v>
      </c>
      <c r="C10728" t="s">
        <v>1808</v>
      </c>
      <c r="D10728" t="str">
        <f>HYPERLINK("http://service.sap.com/sap/support/notes/1899401","1899401")</f>
        <v>1899401</v>
      </c>
      <c r="E10728">
        <v>1</v>
      </c>
      <c r="F10728" t="s">
        <v>12180</v>
      </c>
    </row>
    <row r="10729" spans="1:6" x14ac:dyDescent="0.25">
      <c r="A10729" t="s">
        <v>13142</v>
      </c>
      <c r="B10729" t="s">
        <v>1807</v>
      </c>
      <c r="C10729" t="s">
        <v>1808</v>
      </c>
      <c r="D10729" t="str">
        <f>HYPERLINK("http://service.sap.com/sap/support/notes/1899880","1899880")</f>
        <v>1899880</v>
      </c>
      <c r="E10729">
        <v>2</v>
      </c>
      <c r="F10729" t="s">
        <v>12179</v>
      </c>
    </row>
    <row r="10730" spans="1:6" x14ac:dyDescent="0.25">
      <c r="A10730" t="s">
        <v>13142</v>
      </c>
      <c r="B10730" t="s">
        <v>1807</v>
      </c>
      <c r="C10730" t="s">
        <v>1808</v>
      </c>
      <c r="D10730" t="str">
        <f>HYPERLINK("http://service.sap.com/sap/support/notes/1899971","1899971")</f>
        <v>1899971</v>
      </c>
      <c r="E10730">
        <v>2</v>
      </c>
      <c r="F10730" t="s">
        <v>12178</v>
      </c>
    </row>
    <row r="10731" spans="1:6" x14ac:dyDescent="0.25">
      <c r="A10731" t="s">
        <v>13142</v>
      </c>
      <c r="B10731" t="s">
        <v>1807</v>
      </c>
      <c r="C10731" t="s">
        <v>1808</v>
      </c>
      <c r="D10731" t="str">
        <f>HYPERLINK("http://service.sap.com/sap/support/notes/1900120","1900120")</f>
        <v>1900120</v>
      </c>
      <c r="E10731">
        <v>1</v>
      </c>
      <c r="F10731" t="s">
        <v>12177</v>
      </c>
    </row>
    <row r="10732" spans="1:6" x14ac:dyDescent="0.25">
      <c r="A10732" t="s">
        <v>13142</v>
      </c>
      <c r="B10732" t="s">
        <v>1807</v>
      </c>
      <c r="C10732" t="s">
        <v>1808</v>
      </c>
      <c r="D10732" t="str">
        <f>HYPERLINK("http://service.sap.com/sap/support/notes/1900986","1900986")</f>
        <v>1900986</v>
      </c>
      <c r="E10732">
        <v>1</v>
      </c>
      <c r="F10732" t="s">
        <v>12176</v>
      </c>
    </row>
    <row r="10733" spans="1:6" x14ac:dyDescent="0.25">
      <c r="A10733" t="s">
        <v>13142</v>
      </c>
      <c r="B10733" t="s">
        <v>12172</v>
      </c>
      <c r="C10733" t="s">
        <v>12171</v>
      </c>
      <c r="D10733" t="str">
        <f>HYPERLINK("http://service.sap.com/sap/support/notes/1882275","1882275")</f>
        <v>1882275</v>
      </c>
      <c r="E10733">
        <v>1</v>
      </c>
      <c r="F10733" t="s">
        <v>12175</v>
      </c>
    </row>
    <row r="10734" spans="1:6" x14ac:dyDescent="0.25">
      <c r="A10734" t="s">
        <v>13142</v>
      </c>
      <c r="B10734" t="s">
        <v>12172</v>
      </c>
      <c r="C10734" t="s">
        <v>12171</v>
      </c>
      <c r="D10734" t="str">
        <f>HYPERLINK("http://service.sap.com/sap/support/notes/1893363","1893363")</f>
        <v>1893363</v>
      </c>
      <c r="E10734">
        <v>1</v>
      </c>
      <c r="F10734" t="s">
        <v>12174</v>
      </c>
    </row>
    <row r="10735" spans="1:6" x14ac:dyDescent="0.25">
      <c r="A10735" t="s">
        <v>13142</v>
      </c>
      <c r="B10735" t="s">
        <v>12172</v>
      </c>
      <c r="C10735" t="s">
        <v>12171</v>
      </c>
      <c r="D10735" t="str">
        <f>HYPERLINK("http://service.sap.com/sap/support/notes/1897880","1897880")</f>
        <v>1897880</v>
      </c>
      <c r="E10735">
        <v>1</v>
      </c>
      <c r="F10735" t="s">
        <v>12173</v>
      </c>
    </row>
    <row r="10736" spans="1:6" x14ac:dyDescent="0.25">
      <c r="A10736" t="s">
        <v>13142</v>
      </c>
      <c r="B10736" t="s">
        <v>12172</v>
      </c>
      <c r="C10736" t="s">
        <v>12171</v>
      </c>
      <c r="D10736" t="str">
        <f>HYPERLINK("http://service.sap.com/sap/support/notes/1904546","1904546")</f>
        <v>1904546</v>
      </c>
      <c r="E10736">
        <v>1</v>
      </c>
      <c r="F10736" t="s">
        <v>12170</v>
      </c>
    </row>
    <row r="10737" spans="1:6" x14ac:dyDescent="0.25">
      <c r="A10737" t="s">
        <v>13142</v>
      </c>
      <c r="B10737" t="s">
        <v>1844</v>
      </c>
      <c r="C10737" t="s">
        <v>1845</v>
      </c>
      <c r="D10737" t="str">
        <f>HYPERLINK("http://service.sap.com/sap/support/notes/1882206","1882206")</f>
        <v>1882206</v>
      </c>
      <c r="E10737">
        <v>1</v>
      </c>
      <c r="F10737" t="s">
        <v>12169</v>
      </c>
    </row>
    <row r="10738" spans="1:6" x14ac:dyDescent="0.25">
      <c r="A10738" t="s">
        <v>13142</v>
      </c>
      <c r="B10738" t="s">
        <v>1844</v>
      </c>
      <c r="C10738" t="s">
        <v>1845</v>
      </c>
      <c r="D10738" t="str">
        <f>HYPERLINK("http://service.sap.com/sap/support/notes/1888154","1888154")</f>
        <v>1888154</v>
      </c>
      <c r="E10738">
        <v>1</v>
      </c>
      <c r="F10738" t="s">
        <v>12168</v>
      </c>
    </row>
    <row r="10739" spans="1:6" x14ac:dyDescent="0.25">
      <c r="A10739" t="s">
        <v>13142</v>
      </c>
      <c r="B10739" t="s">
        <v>1850</v>
      </c>
      <c r="C10739" t="s">
        <v>1851</v>
      </c>
      <c r="D10739" t="str">
        <f>HYPERLINK("http://service.sap.com/sap/support/notes/1876156","1876156")</f>
        <v>1876156</v>
      </c>
      <c r="E10739">
        <v>1</v>
      </c>
      <c r="F10739" t="s">
        <v>12167</v>
      </c>
    </row>
    <row r="10740" spans="1:6" x14ac:dyDescent="0.25">
      <c r="A10740" t="s">
        <v>13142</v>
      </c>
      <c r="B10740" t="s">
        <v>1850</v>
      </c>
      <c r="C10740" t="s">
        <v>1851</v>
      </c>
      <c r="D10740" t="str">
        <f>HYPERLINK("http://service.sap.com/sap/support/notes/1878979","1878979")</f>
        <v>1878979</v>
      </c>
      <c r="E10740">
        <v>1</v>
      </c>
      <c r="F10740" t="s">
        <v>12166</v>
      </c>
    </row>
    <row r="10741" spans="1:6" x14ac:dyDescent="0.25">
      <c r="A10741" t="s">
        <v>13142</v>
      </c>
      <c r="B10741" t="s">
        <v>1860</v>
      </c>
      <c r="C10741" t="s">
        <v>1861</v>
      </c>
      <c r="D10741" t="str">
        <f>HYPERLINK("http://service.sap.com/sap/support/notes/1864734","1864734")</f>
        <v>1864734</v>
      </c>
      <c r="E10741">
        <v>1</v>
      </c>
      <c r="F10741" t="s">
        <v>12165</v>
      </c>
    </row>
    <row r="10742" spans="1:6" x14ac:dyDescent="0.25">
      <c r="A10742" t="s">
        <v>13142</v>
      </c>
      <c r="B10742" t="s">
        <v>1860</v>
      </c>
      <c r="C10742" t="s">
        <v>1861</v>
      </c>
      <c r="D10742" t="str">
        <f>HYPERLINK("http://service.sap.com/sap/support/notes/1871337","1871337")</f>
        <v>1871337</v>
      </c>
      <c r="E10742">
        <v>1</v>
      </c>
      <c r="F10742" t="s">
        <v>12164</v>
      </c>
    </row>
    <row r="10743" spans="1:6" x14ac:dyDescent="0.25">
      <c r="A10743" t="s">
        <v>13142</v>
      </c>
      <c r="B10743" t="s">
        <v>1860</v>
      </c>
      <c r="C10743" t="s">
        <v>1861</v>
      </c>
      <c r="D10743" t="str">
        <f>HYPERLINK("http://service.sap.com/sap/support/notes/1879275","1879275")</f>
        <v>1879275</v>
      </c>
      <c r="E10743">
        <v>2</v>
      </c>
      <c r="F10743" t="s">
        <v>12163</v>
      </c>
    </row>
    <row r="10744" spans="1:6" x14ac:dyDescent="0.25">
      <c r="A10744" t="s">
        <v>13142</v>
      </c>
      <c r="B10744" t="s">
        <v>1860</v>
      </c>
      <c r="C10744" t="s">
        <v>1861</v>
      </c>
      <c r="D10744" t="str">
        <f>HYPERLINK("http://service.sap.com/sap/support/notes/1897991","1897991")</f>
        <v>1897991</v>
      </c>
      <c r="E10744">
        <v>1</v>
      </c>
      <c r="F10744" t="s">
        <v>12162</v>
      </c>
    </row>
    <row r="10745" spans="1:6" x14ac:dyDescent="0.25">
      <c r="A10745" t="s">
        <v>13142</v>
      </c>
      <c r="B10745" t="s">
        <v>1870</v>
      </c>
      <c r="C10745" t="s">
        <v>1871</v>
      </c>
      <c r="D10745" t="str">
        <f>HYPERLINK("http://service.sap.com/sap/support/notes/1849022","1849022")</f>
        <v>1849022</v>
      </c>
      <c r="E10745">
        <v>1</v>
      </c>
      <c r="F10745" t="s">
        <v>12161</v>
      </c>
    </row>
    <row r="10746" spans="1:6" x14ac:dyDescent="0.25">
      <c r="A10746" t="s">
        <v>13142</v>
      </c>
      <c r="B10746" t="s">
        <v>1870</v>
      </c>
      <c r="C10746" t="s">
        <v>1871</v>
      </c>
      <c r="D10746" t="str">
        <f>HYPERLINK("http://service.sap.com/sap/support/notes/1866905","1866905")</f>
        <v>1866905</v>
      </c>
      <c r="E10746">
        <v>2</v>
      </c>
      <c r="F10746" t="s">
        <v>12160</v>
      </c>
    </row>
    <row r="10747" spans="1:6" x14ac:dyDescent="0.25">
      <c r="A10747" t="s">
        <v>13142</v>
      </c>
      <c r="B10747" t="s">
        <v>1870</v>
      </c>
      <c r="C10747" t="s">
        <v>1871</v>
      </c>
      <c r="D10747" t="str">
        <f>HYPERLINK("http://service.sap.com/sap/support/notes/1868038","1868038")</f>
        <v>1868038</v>
      </c>
      <c r="E10747">
        <v>2</v>
      </c>
      <c r="F10747" t="s">
        <v>12159</v>
      </c>
    </row>
    <row r="10748" spans="1:6" x14ac:dyDescent="0.25">
      <c r="A10748" t="s">
        <v>13142</v>
      </c>
      <c r="B10748" t="s">
        <v>1870</v>
      </c>
      <c r="C10748" t="s">
        <v>1871</v>
      </c>
      <c r="D10748" t="str">
        <f>HYPERLINK("http://service.sap.com/sap/support/notes/1873471","1873471")</f>
        <v>1873471</v>
      </c>
      <c r="E10748">
        <v>1</v>
      </c>
      <c r="F10748" t="s">
        <v>12158</v>
      </c>
    </row>
    <row r="10749" spans="1:6" x14ac:dyDescent="0.25">
      <c r="A10749" t="s">
        <v>13142</v>
      </c>
      <c r="B10749" t="s">
        <v>1877</v>
      </c>
      <c r="C10749" t="s">
        <v>1878</v>
      </c>
      <c r="D10749" t="str">
        <f>HYPERLINK("http://service.sap.com/sap/support/notes/1866498","1866498")</f>
        <v>1866498</v>
      </c>
      <c r="E10749">
        <v>1</v>
      </c>
    </row>
    <row r="10750" spans="1:6" x14ac:dyDescent="0.25">
      <c r="A10750" t="s">
        <v>13142</v>
      </c>
      <c r="B10750" t="s">
        <v>12157</v>
      </c>
      <c r="C10750" t="s">
        <v>212</v>
      </c>
      <c r="D10750" t="str">
        <f>HYPERLINK("http://service.sap.com/sap/support/notes/1869774","1869774")</f>
        <v>1869774</v>
      </c>
      <c r="E10750">
        <v>1</v>
      </c>
      <c r="F10750" t="s">
        <v>12156</v>
      </c>
    </row>
    <row r="10751" spans="1:6" x14ac:dyDescent="0.25">
      <c r="A10751" t="s">
        <v>13142</v>
      </c>
      <c r="B10751" t="s">
        <v>1882</v>
      </c>
      <c r="C10751" t="s">
        <v>1883</v>
      </c>
    </row>
    <row r="10752" spans="1:6" x14ac:dyDescent="0.25">
      <c r="A10752" t="s">
        <v>13142</v>
      </c>
      <c r="B10752" t="s">
        <v>1890</v>
      </c>
      <c r="C10752" t="s">
        <v>1712</v>
      </c>
      <c r="D10752" t="str">
        <f>HYPERLINK("http://service.sap.com/sap/support/notes/1869881","1869881")</f>
        <v>1869881</v>
      </c>
      <c r="E10752">
        <v>1</v>
      </c>
      <c r="F10752" t="s">
        <v>12155</v>
      </c>
    </row>
    <row r="10753" spans="1:6" x14ac:dyDescent="0.25">
      <c r="A10753" t="s">
        <v>13142</v>
      </c>
      <c r="B10753" t="s">
        <v>1890</v>
      </c>
      <c r="C10753" t="s">
        <v>1712</v>
      </c>
      <c r="D10753" t="str">
        <f>HYPERLINK("http://service.sap.com/sap/support/notes/1872211","1872211")</f>
        <v>1872211</v>
      </c>
      <c r="E10753">
        <v>2</v>
      </c>
      <c r="F10753" t="s">
        <v>12154</v>
      </c>
    </row>
    <row r="10754" spans="1:6" x14ac:dyDescent="0.25">
      <c r="A10754" t="s">
        <v>13142</v>
      </c>
      <c r="B10754" t="s">
        <v>1894</v>
      </c>
      <c r="C10754" t="s">
        <v>151</v>
      </c>
      <c r="D10754" t="str">
        <f>HYPERLINK("http://service.sap.com/sap/support/notes/1874759","1874759")</f>
        <v>1874759</v>
      </c>
      <c r="E10754">
        <v>1</v>
      </c>
      <c r="F10754" t="s">
        <v>12153</v>
      </c>
    </row>
    <row r="10755" spans="1:6" x14ac:dyDescent="0.25">
      <c r="A10755" t="s">
        <v>13142</v>
      </c>
      <c r="B10755" t="s">
        <v>1900</v>
      </c>
      <c r="C10755" t="s">
        <v>1901</v>
      </c>
      <c r="D10755" t="str">
        <f>HYPERLINK("http://service.sap.com/sap/support/notes/1857065","1857065")</f>
        <v>1857065</v>
      </c>
      <c r="E10755">
        <v>4</v>
      </c>
      <c r="F10755" t="s">
        <v>12152</v>
      </c>
    </row>
    <row r="10756" spans="1:6" x14ac:dyDescent="0.25">
      <c r="A10756" t="s">
        <v>13142</v>
      </c>
      <c r="B10756" t="s">
        <v>1900</v>
      </c>
      <c r="C10756" t="s">
        <v>1901</v>
      </c>
      <c r="D10756" t="str">
        <f>HYPERLINK("http://service.sap.com/sap/support/notes/1863922","1863922")</f>
        <v>1863922</v>
      </c>
      <c r="E10756">
        <v>1</v>
      </c>
      <c r="F10756" t="s">
        <v>12151</v>
      </c>
    </row>
    <row r="10757" spans="1:6" x14ac:dyDescent="0.25">
      <c r="A10757" t="s">
        <v>13142</v>
      </c>
      <c r="B10757" t="s">
        <v>1900</v>
      </c>
      <c r="C10757" t="s">
        <v>1901</v>
      </c>
      <c r="D10757" t="str">
        <f>HYPERLINK("http://service.sap.com/sap/support/notes/1867375","1867375")</f>
        <v>1867375</v>
      </c>
      <c r="E10757">
        <v>2</v>
      </c>
      <c r="F10757" t="s">
        <v>12150</v>
      </c>
    </row>
    <row r="10758" spans="1:6" x14ac:dyDescent="0.25">
      <c r="A10758" t="s">
        <v>13142</v>
      </c>
      <c r="B10758" t="s">
        <v>1900</v>
      </c>
      <c r="C10758" t="s">
        <v>1901</v>
      </c>
      <c r="D10758" t="str">
        <f>HYPERLINK("http://service.sap.com/sap/support/notes/1867483","1867483")</f>
        <v>1867483</v>
      </c>
      <c r="E10758">
        <v>7</v>
      </c>
      <c r="F10758" t="s">
        <v>12149</v>
      </c>
    </row>
    <row r="10759" spans="1:6" x14ac:dyDescent="0.25">
      <c r="A10759" t="s">
        <v>13142</v>
      </c>
      <c r="B10759" t="s">
        <v>1900</v>
      </c>
      <c r="C10759" t="s">
        <v>1901</v>
      </c>
      <c r="D10759" t="str">
        <f>HYPERLINK("http://service.sap.com/sap/support/notes/1870541","1870541")</f>
        <v>1870541</v>
      </c>
      <c r="E10759">
        <v>1</v>
      </c>
      <c r="F10759" t="s">
        <v>12148</v>
      </c>
    </row>
    <row r="10760" spans="1:6" x14ac:dyDescent="0.25">
      <c r="A10760" t="s">
        <v>13142</v>
      </c>
      <c r="B10760" t="s">
        <v>1900</v>
      </c>
      <c r="C10760" t="s">
        <v>1901</v>
      </c>
      <c r="D10760" t="str">
        <f>HYPERLINK("http://service.sap.com/sap/support/notes/1887713","1887713")</f>
        <v>1887713</v>
      </c>
      <c r="E10760">
        <v>1</v>
      </c>
      <c r="F10760" t="s">
        <v>12147</v>
      </c>
    </row>
    <row r="10761" spans="1:6" x14ac:dyDescent="0.25">
      <c r="A10761" t="s">
        <v>13142</v>
      </c>
      <c r="B10761" t="s">
        <v>1900</v>
      </c>
      <c r="C10761" t="s">
        <v>1901</v>
      </c>
      <c r="D10761" t="str">
        <f>HYPERLINK("http://service.sap.com/sap/support/notes/1889660","1889660")</f>
        <v>1889660</v>
      </c>
      <c r="E10761">
        <v>2</v>
      </c>
      <c r="F10761" t="s">
        <v>12146</v>
      </c>
    </row>
    <row r="10762" spans="1:6" x14ac:dyDescent="0.25">
      <c r="A10762" t="s">
        <v>13142</v>
      </c>
      <c r="B10762" t="s">
        <v>1900</v>
      </c>
      <c r="C10762" t="s">
        <v>1901</v>
      </c>
      <c r="D10762" t="str">
        <f>HYPERLINK("http://service.sap.com/sap/support/notes/1896592","1896592")</f>
        <v>1896592</v>
      </c>
      <c r="E10762">
        <v>2</v>
      </c>
      <c r="F10762" t="s">
        <v>12145</v>
      </c>
    </row>
    <row r="10763" spans="1:6" x14ac:dyDescent="0.25">
      <c r="A10763" t="s">
        <v>13142</v>
      </c>
      <c r="B10763" t="s">
        <v>1911</v>
      </c>
      <c r="C10763" t="s">
        <v>672</v>
      </c>
      <c r="D10763" t="str">
        <f>HYPERLINK("http://service.sap.com/sap/support/notes/1863932","1863932")</f>
        <v>1863932</v>
      </c>
      <c r="E10763">
        <v>2</v>
      </c>
      <c r="F10763" t="s">
        <v>12144</v>
      </c>
    </row>
    <row r="10764" spans="1:6" x14ac:dyDescent="0.25">
      <c r="A10764" t="s">
        <v>13142</v>
      </c>
      <c r="B10764" t="s">
        <v>7547</v>
      </c>
      <c r="C10764" t="s">
        <v>7548</v>
      </c>
      <c r="D10764" t="str">
        <f>HYPERLINK("http://service.sap.com/sap/support/notes/1885172","1885172")</f>
        <v>1885172</v>
      </c>
      <c r="E10764">
        <v>2</v>
      </c>
      <c r="F10764" t="s">
        <v>12143</v>
      </c>
    </row>
    <row r="10765" spans="1:6" x14ac:dyDescent="0.25">
      <c r="A10765" t="s">
        <v>13142</v>
      </c>
      <c r="B10765" t="s">
        <v>7547</v>
      </c>
      <c r="C10765" t="s">
        <v>7548</v>
      </c>
      <c r="D10765" t="str">
        <f>HYPERLINK("http://service.sap.com/sap/support/notes/1891821","1891821")</f>
        <v>1891821</v>
      </c>
      <c r="E10765">
        <v>1</v>
      </c>
      <c r="F10765" t="s">
        <v>12142</v>
      </c>
    </row>
    <row r="10766" spans="1:6" x14ac:dyDescent="0.25">
      <c r="A10766" t="s">
        <v>13142</v>
      </c>
      <c r="B10766" t="s">
        <v>5198</v>
      </c>
      <c r="C10766" t="s">
        <v>5199</v>
      </c>
      <c r="D10766" t="str">
        <f>HYPERLINK("http://service.sap.com/sap/support/notes/1556726","1556726")</f>
        <v>1556726</v>
      </c>
      <c r="E10766">
        <v>4</v>
      </c>
      <c r="F10766" t="s">
        <v>12141</v>
      </c>
    </row>
    <row r="10767" spans="1:6" x14ac:dyDescent="0.25">
      <c r="A10767" t="s">
        <v>13142</v>
      </c>
      <c r="B10767" t="s">
        <v>5198</v>
      </c>
      <c r="C10767" t="s">
        <v>5199</v>
      </c>
      <c r="D10767" t="str">
        <f>HYPERLINK("http://service.sap.com/sap/support/notes/1871732","1871732")</f>
        <v>1871732</v>
      </c>
      <c r="E10767">
        <v>2</v>
      </c>
      <c r="F10767" t="s">
        <v>12140</v>
      </c>
    </row>
    <row r="10768" spans="1:6" x14ac:dyDescent="0.25">
      <c r="A10768" t="s">
        <v>13142</v>
      </c>
      <c r="B10768" t="s">
        <v>5198</v>
      </c>
      <c r="C10768" t="s">
        <v>5199</v>
      </c>
      <c r="D10768" t="str">
        <f>HYPERLINK("http://service.sap.com/sap/support/notes/1874263","1874263")</f>
        <v>1874263</v>
      </c>
      <c r="E10768">
        <v>2</v>
      </c>
      <c r="F10768" t="s">
        <v>12139</v>
      </c>
    </row>
    <row r="10769" spans="1:6" x14ac:dyDescent="0.25">
      <c r="A10769" t="s">
        <v>13142</v>
      </c>
      <c r="B10769" t="s">
        <v>5198</v>
      </c>
      <c r="C10769" t="s">
        <v>5199</v>
      </c>
      <c r="D10769" t="str">
        <f>HYPERLINK("http://service.sap.com/sap/support/notes/1887458","1887458")</f>
        <v>1887458</v>
      </c>
      <c r="E10769">
        <v>2</v>
      </c>
      <c r="F10769" t="s">
        <v>12138</v>
      </c>
    </row>
    <row r="10770" spans="1:6" x14ac:dyDescent="0.25">
      <c r="A10770" t="s">
        <v>13142</v>
      </c>
      <c r="B10770" t="s">
        <v>5198</v>
      </c>
      <c r="C10770" t="s">
        <v>5199</v>
      </c>
      <c r="D10770" t="str">
        <f>HYPERLINK("http://service.sap.com/sap/support/notes/1887846","1887846")</f>
        <v>1887846</v>
      </c>
      <c r="E10770">
        <v>2</v>
      </c>
      <c r="F10770" t="s">
        <v>12137</v>
      </c>
    </row>
    <row r="10771" spans="1:6" x14ac:dyDescent="0.25">
      <c r="A10771" t="s">
        <v>13142</v>
      </c>
      <c r="B10771" t="s">
        <v>7554</v>
      </c>
      <c r="C10771" t="s">
        <v>12136</v>
      </c>
    </row>
    <row r="10772" spans="1:6" x14ac:dyDescent="0.25">
      <c r="A10772" t="s">
        <v>13142</v>
      </c>
      <c r="B10772" t="s">
        <v>12135</v>
      </c>
      <c r="C10772" t="s">
        <v>12134</v>
      </c>
      <c r="D10772" t="str">
        <f>HYPERLINK("http://service.sap.com/sap/support/notes/1850767","1850767")</f>
        <v>1850767</v>
      </c>
      <c r="E10772">
        <v>1</v>
      </c>
      <c r="F10772" t="s">
        <v>12133</v>
      </c>
    </row>
    <row r="10773" spans="1:6" x14ac:dyDescent="0.25">
      <c r="A10773" t="s">
        <v>13142</v>
      </c>
      <c r="B10773" t="s">
        <v>5201</v>
      </c>
      <c r="C10773" t="s">
        <v>5202</v>
      </c>
      <c r="D10773" t="str">
        <f>HYPERLINK("http://service.sap.com/sap/support/notes/1865828","1865828")</f>
        <v>1865828</v>
      </c>
      <c r="E10773">
        <v>3</v>
      </c>
      <c r="F10773" t="s">
        <v>12132</v>
      </c>
    </row>
    <row r="10774" spans="1:6" x14ac:dyDescent="0.25">
      <c r="A10774" t="s">
        <v>13142</v>
      </c>
      <c r="B10774" t="s">
        <v>1913</v>
      </c>
      <c r="C10774" t="s">
        <v>1914</v>
      </c>
      <c r="D10774" t="str">
        <f>HYPERLINK("http://service.sap.com/sap/support/notes/1801119","1801119")</f>
        <v>1801119</v>
      </c>
      <c r="E10774">
        <v>3</v>
      </c>
      <c r="F10774" t="s">
        <v>12131</v>
      </c>
    </row>
    <row r="10775" spans="1:6" x14ac:dyDescent="0.25">
      <c r="A10775" t="s">
        <v>13142</v>
      </c>
      <c r="B10775" t="s">
        <v>1913</v>
      </c>
      <c r="C10775" t="s">
        <v>1914</v>
      </c>
      <c r="D10775" t="str">
        <f>HYPERLINK("http://service.sap.com/sap/support/notes/1874048","1874048")</f>
        <v>1874048</v>
      </c>
      <c r="E10775">
        <v>1</v>
      </c>
      <c r="F10775" t="s">
        <v>12130</v>
      </c>
    </row>
    <row r="10776" spans="1:6" x14ac:dyDescent="0.25">
      <c r="A10776" t="s">
        <v>13142</v>
      </c>
      <c r="B10776" t="s">
        <v>1913</v>
      </c>
      <c r="C10776" t="s">
        <v>1914</v>
      </c>
      <c r="D10776" t="str">
        <f>HYPERLINK("http://service.sap.com/sap/support/notes/1880919","1880919")</f>
        <v>1880919</v>
      </c>
      <c r="E10776">
        <v>1</v>
      </c>
      <c r="F10776" t="s">
        <v>12129</v>
      </c>
    </row>
    <row r="10777" spans="1:6" x14ac:dyDescent="0.25">
      <c r="A10777" t="s">
        <v>13142</v>
      </c>
      <c r="B10777" t="s">
        <v>1913</v>
      </c>
      <c r="C10777" t="s">
        <v>1914</v>
      </c>
      <c r="D10777" t="str">
        <f>HYPERLINK("http://service.sap.com/sap/support/notes/1881153","1881153")</f>
        <v>1881153</v>
      </c>
      <c r="E10777">
        <v>1</v>
      </c>
      <c r="F10777" t="s">
        <v>12128</v>
      </c>
    </row>
    <row r="10778" spans="1:6" x14ac:dyDescent="0.25">
      <c r="A10778" t="s">
        <v>13142</v>
      </c>
      <c r="B10778" t="s">
        <v>1913</v>
      </c>
      <c r="C10778" t="s">
        <v>1914</v>
      </c>
      <c r="D10778" t="str">
        <f>HYPERLINK("http://service.sap.com/sap/support/notes/1885934","1885934")</f>
        <v>1885934</v>
      </c>
      <c r="E10778">
        <v>1</v>
      </c>
      <c r="F10778" t="s">
        <v>12127</v>
      </c>
    </row>
    <row r="10779" spans="1:6" x14ac:dyDescent="0.25">
      <c r="A10779" t="s">
        <v>13142</v>
      </c>
      <c r="B10779" t="s">
        <v>1913</v>
      </c>
      <c r="C10779" t="s">
        <v>1914</v>
      </c>
      <c r="D10779" t="str">
        <f>HYPERLINK("http://service.sap.com/sap/support/notes/1897843","1897843")</f>
        <v>1897843</v>
      </c>
      <c r="E10779">
        <v>2</v>
      </c>
      <c r="F10779" t="s">
        <v>12126</v>
      </c>
    </row>
    <row r="10780" spans="1:6" x14ac:dyDescent="0.25">
      <c r="A10780" t="s">
        <v>13142</v>
      </c>
      <c r="B10780" t="s">
        <v>1913</v>
      </c>
      <c r="C10780" t="s">
        <v>1914</v>
      </c>
      <c r="D10780" t="str">
        <f>HYPERLINK("http://service.sap.com/sap/support/notes/1899764","1899764")</f>
        <v>1899764</v>
      </c>
      <c r="E10780">
        <v>1</v>
      </c>
      <c r="F10780" t="s">
        <v>12125</v>
      </c>
    </row>
    <row r="10781" spans="1:6" x14ac:dyDescent="0.25">
      <c r="A10781" t="s">
        <v>13142</v>
      </c>
      <c r="B10781" t="s">
        <v>1933</v>
      </c>
      <c r="C10781" t="s">
        <v>5213</v>
      </c>
      <c r="D10781" t="str">
        <f>HYPERLINK("http://service.sap.com/sap/support/notes/1860181","1860181")</f>
        <v>1860181</v>
      </c>
      <c r="E10781">
        <v>1</v>
      </c>
      <c r="F10781" t="s">
        <v>12124</v>
      </c>
    </row>
    <row r="10782" spans="1:6" x14ac:dyDescent="0.25">
      <c r="A10782" t="s">
        <v>13142</v>
      </c>
      <c r="B10782" t="s">
        <v>1933</v>
      </c>
      <c r="C10782" t="s">
        <v>5213</v>
      </c>
      <c r="D10782" t="str">
        <f>HYPERLINK("http://service.sap.com/sap/support/notes/1872043","1872043")</f>
        <v>1872043</v>
      </c>
      <c r="E10782">
        <v>2</v>
      </c>
      <c r="F10782" t="s">
        <v>12123</v>
      </c>
    </row>
    <row r="10783" spans="1:6" x14ac:dyDescent="0.25">
      <c r="A10783" t="s">
        <v>13142</v>
      </c>
      <c r="B10783" t="s">
        <v>1933</v>
      </c>
      <c r="C10783" t="s">
        <v>5213</v>
      </c>
      <c r="D10783" t="str">
        <f>HYPERLINK("http://service.sap.com/sap/support/notes/1879723","1879723")</f>
        <v>1879723</v>
      </c>
      <c r="E10783">
        <v>1</v>
      </c>
      <c r="F10783" t="s">
        <v>12122</v>
      </c>
    </row>
    <row r="10784" spans="1:6" x14ac:dyDescent="0.25">
      <c r="A10784" t="s">
        <v>13142</v>
      </c>
      <c r="B10784" t="s">
        <v>1939</v>
      </c>
      <c r="C10784" t="s">
        <v>29</v>
      </c>
    </row>
    <row r="10785" spans="1:6" x14ac:dyDescent="0.25">
      <c r="A10785" t="s">
        <v>13142</v>
      </c>
      <c r="B10785" t="s">
        <v>1940</v>
      </c>
      <c r="C10785" t="s">
        <v>1941</v>
      </c>
      <c r="D10785" t="str">
        <f>HYPERLINK("http://service.sap.com/sap/support/notes/1892188","1892188")</f>
        <v>1892188</v>
      </c>
      <c r="E10785">
        <v>2</v>
      </c>
    </row>
    <row r="10786" spans="1:6" x14ac:dyDescent="0.25">
      <c r="A10786" t="s">
        <v>13142</v>
      </c>
      <c r="B10786" t="s">
        <v>1945</v>
      </c>
      <c r="C10786" t="s">
        <v>1946</v>
      </c>
      <c r="D10786" t="str">
        <f>HYPERLINK("http://service.sap.com/sap/support/notes/1781333","1781333")</f>
        <v>1781333</v>
      </c>
      <c r="E10786">
        <v>2</v>
      </c>
      <c r="F10786" t="s">
        <v>12121</v>
      </c>
    </row>
    <row r="10787" spans="1:6" x14ac:dyDescent="0.25">
      <c r="A10787" t="s">
        <v>13142</v>
      </c>
      <c r="B10787" t="s">
        <v>1945</v>
      </c>
      <c r="C10787" t="s">
        <v>1946</v>
      </c>
      <c r="D10787" t="str">
        <f>HYPERLINK("http://service.sap.com/sap/support/notes/1873164","1873164")</f>
        <v>1873164</v>
      </c>
      <c r="E10787">
        <v>1</v>
      </c>
      <c r="F10787" t="s">
        <v>12120</v>
      </c>
    </row>
    <row r="10788" spans="1:6" x14ac:dyDescent="0.25">
      <c r="A10788" t="s">
        <v>13142</v>
      </c>
      <c r="B10788" t="s">
        <v>1948</v>
      </c>
      <c r="C10788" t="s">
        <v>1949</v>
      </c>
    </row>
    <row r="10789" spans="1:6" x14ac:dyDescent="0.25">
      <c r="A10789" t="s">
        <v>13142</v>
      </c>
      <c r="B10789" t="s">
        <v>1955</v>
      </c>
      <c r="C10789" t="s">
        <v>1956</v>
      </c>
    </row>
    <row r="10790" spans="1:6" x14ac:dyDescent="0.25">
      <c r="A10790" t="s">
        <v>13142</v>
      </c>
      <c r="B10790" t="s">
        <v>1957</v>
      </c>
      <c r="C10790" t="s">
        <v>1696</v>
      </c>
      <c r="D10790" t="str">
        <f>HYPERLINK("http://service.sap.com/sap/support/notes/1847015","1847015")</f>
        <v>1847015</v>
      </c>
      <c r="E10790">
        <v>1</v>
      </c>
      <c r="F10790" t="s">
        <v>12119</v>
      </c>
    </row>
    <row r="10791" spans="1:6" x14ac:dyDescent="0.25">
      <c r="A10791" t="s">
        <v>13142</v>
      </c>
      <c r="B10791" t="s">
        <v>1969</v>
      </c>
      <c r="C10791" t="s">
        <v>1878</v>
      </c>
      <c r="D10791" t="str">
        <f>HYPERLINK("http://service.sap.com/sap/support/notes/1542358","1542358")</f>
        <v>1542358</v>
      </c>
      <c r="E10791">
        <v>2</v>
      </c>
      <c r="F10791" t="s">
        <v>12118</v>
      </c>
    </row>
    <row r="10792" spans="1:6" x14ac:dyDescent="0.25">
      <c r="A10792" t="s">
        <v>13142</v>
      </c>
      <c r="B10792" t="s">
        <v>1969</v>
      </c>
      <c r="C10792" t="s">
        <v>1878</v>
      </c>
      <c r="D10792" t="str">
        <f>HYPERLINK("http://service.sap.com/sap/support/notes/1849310","1849310")</f>
        <v>1849310</v>
      </c>
      <c r="E10792">
        <v>7</v>
      </c>
      <c r="F10792" t="s">
        <v>12117</v>
      </c>
    </row>
    <row r="10793" spans="1:6" x14ac:dyDescent="0.25">
      <c r="A10793" t="s">
        <v>13142</v>
      </c>
      <c r="B10793" t="s">
        <v>1969</v>
      </c>
      <c r="C10793" t="s">
        <v>1878</v>
      </c>
      <c r="D10793" t="str">
        <f>HYPERLINK("http://service.sap.com/sap/support/notes/1877853","1877853")</f>
        <v>1877853</v>
      </c>
      <c r="E10793">
        <v>2</v>
      </c>
    </row>
    <row r="10794" spans="1:6" x14ac:dyDescent="0.25">
      <c r="A10794" t="s">
        <v>13142</v>
      </c>
      <c r="B10794" t="s">
        <v>1969</v>
      </c>
      <c r="C10794" t="s">
        <v>1878</v>
      </c>
      <c r="D10794" t="str">
        <f>HYPERLINK("http://service.sap.com/sap/support/notes/1882685","1882685")</f>
        <v>1882685</v>
      </c>
      <c r="E10794">
        <v>1</v>
      </c>
      <c r="F10794" t="s">
        <v>12116</v>
      </c>
    </row>
    <row r="10795" spans="1:6" x14ac:dyDescent="0.25">
      <c r="A10795" t="s">
        <v>13142</v>
      </c>
      <c r="B10795" t="s">
        <v>1969</v>
      </c>
      <c r="C10795" t="s">
        <v>1878</v>
      </c>
      <c r="D10795" t="str">
        <f>HYPERLINK("http://service.sap.com/sap/support/notes/1887149","1887149")</f>
        <v>1887149</v>
      </c>
      <c r="E10795">
        <v>2</v>
      </c>
    </row>
    <row r="10796" spans="1:6" x14ac:dyDescent="0.25">
      <c r="A10796" t="s">
        <v>13142</v>
      </c>
      <c r="B10796" t="s">
        <v>1969</v>
      </c>
      <c r="C10796" t="s">
        <v>1878</v>
      </c>
      <c r="D10796" t="str">
        <f>HYPERLINK("http://service.sap.com/sap/support/notes/1889530","1889530")</f>
        <v>1889530</v>
      </c>
      <c r="E10796">
        <v>1</v>
      </c>
    </row>
    <row r="10797" spans="1:6" x14ac:dyDescent="0.25">
      <c r="A10797" t="s">
        <v>13142</v>
      </c>
      <c r="B10797" t="s">
        <v>1969</v>
      </c>
      <c r="C10797" t="s">
        <v>1878</v>
      </c>
      <c r="D10797" t="str">
        <f>HYPERLINK("http://service.sap.com/sap/support/notes/1903156","1903156")</f>
        <v>1903156</v>
      </c>
      <c r="E10797">
        <v>1</v>
      </c>
      <c r="F10797" t="s">
        <v>12115</v>
      </c>
    </row>
    <row r="10798" spans="1:6" x14ac:dyDescent="0.25">
      <c r="A10798" t="s">
        <v>13142</v>
      </c>
      <c r="B10798" t="s">
        <v>1978</v>
      </c>
      <c r="C10798" t="s">
        <v>12114</v>
      </c>
    </row>
    <row r="10799" spans="1:6" x14ac:dyDescent="0.25">
      <c r="A10799" t="s">
        <v>13142</v>
      </c>
      <c r="B10799" t="s">
        <v>1984</v>
      </c>
      <c r="C10799" t="s">
        <v>1985</v>
      </c>
      <c r="D10799" t="str">
        <f>HYPERLINK("http://service.sap.com/sap/support/notes/1889084","1889084")</f>
        <v>1889084</v>
      </c>
      <c r="E10799">
        <v>1</v>
      </c>
      <c r="F10799" t="s">
        <v>12113</v>
      </c>
    </row>
    <row r="10800" spans="1:6" x14ac:dyDescent="0.25">
      <c r="A10800" t="s">
        <v>13142</v>
      </c>
      <c r="B10800" t="s">
        <v>1984</v>
      </c>
      <c r="C10800" t="s">
        <v>1985</v>
      </c>
      <c r="D10800" t="str">
        <f>HYPERLINK("http://service.sap.com/sap/support/notes/1890181","1890181")</f>
        <v>1890181</v>
      </c>
      <c r="E10800">
        <v>2</v>
      </c>
      <c r="F10800" t="s">
        <v>12112</v>
      </c>
    </row>
    <row r="10801" spans="1:6" x14ac:dyDescent="0.25">
      <c r="A10801" t="s">
        <v>13142</v>
      </c>
      <c r="B10801" t="s">
        <v>1988</v>
      </c>
      <c r="C10801" t="s">
        <v>1989</v>
      </c>
    </row>
    <row r="10802" spans="1:6" x14ac:dyDescent="0.25">
      <c r="A10802" t="s">
        <v>13142</v>
      </c>
      <c r="B10802" t="s">
        <v>1990</v>
      </c>
      <c r="C10802" t="s">
        <v>445</v>
      </c>
      <c r="D10802" t="str">
        <f>HYPERLINK("http://service.sap.com/sap/support/notes/1889856","1889856")</f>
        <v>1889856</v>
      </c>
      <c r="E10802">
        <v>1</v>
      </c>
      <c r="F10802" t="s">
        <v>12111</v>
      </c>
    </row>
    <row r="10803" spans="1:6" x14ac:dyDescent="0.25">
      <c r="A10803" t="s">
        <v>13142</v>
      </c>
      <c r="B10803" t="s">
        <v>1990</v>
      </c>
      <c r="C10803" t="s">
        <v>445</v>
      </c>
      <c r="D10803" t="str">
        <f>HYPERLINK("http://service.sap.com/sap/support/notes/1904773","1904773")</f>
        <v>1904773</v>
      </c>
      <c r="E10803">
        <v>2</v>
      </c>
      <c r="F10803" t="s">
        <v>12110</v>
      </c>
    </row>
    <row r="10804" spans="1:6" x14ac:dyDescent="0.25">
      <c r="A10804" t="s">
        <v>13142</v>
      </c>
      <c r="B10804" t="s">
        <v>5252</v>
      </c>
      <c r="C10804" t="s">
        <v>5253</v>
      </c>
      <c r="D10804" t="str">
        <f>HYPERLINK("http://service.sap.com/sap/support/notes/1888669","1888669")</f>
        <v>1888669</v>
      </c>
      <c r="E10804">
        <v>1</v>
      </c>
      <c r="F10804" t="s">
        <v>12109</v>
      </c>
    </row>
    <row r="10805" spans="1:6" x14ac:dyDescent="0.25">
      <c r="A10805" t="s">
        <v>13142</v>
      </c>
      <c r="B10805" t="s">
        <v>1994</v>
      </c>
      <c r="C10805" t="s">
        <v>1995</v>
      </c>
    </row>
    <row r="10806" spans="1:6" x14ac:dyDescent="0.25">
      <c r="A10806" t="s">
        <v>13142</v>
      </c>
      <c r="B10806" t="s">
        <v>1996</v>
      </c>
      <c r="C10806" t="s">
        <v>1997</v>
      </c>
      <c r="D10806" t="str">
        <f>HYPERLINK("http://service.sap.com/sap/support/notes/1682321","1682321")</f>
        <v>1682321</v>
      </c>
      <c r="E10806">
        <v>3</v>
      </c>
      <c r="F10806" t="s">
        <v>12108</v>
      </c>
    </row>
    <row r="10807" spans="1:6" x14ac:dyDescent="0.25">
      <c r="A10807" t="s">
        <v>13142</v>
      </c>
      <c r="B10807" t="s">
        <v>1996</v>
      </c>
      <c r="C10807" t="s">
        <v>1997</v>
      </c>
      <c r="D10807" t="str">
        <f>HYPERLINK("http://service.sap.com/sap/support/notes/1880359","1880359")</f>
        <v>1880359</v>
      </c>
      <c r="E10807">
        <v>1</v>
      </c>
      <c r="F10807" t="s">
        <v>12107</v>
      </c>
    </row>
    <row r="10808" spans="1:6" x14ac:dyDescent="0.25">
      <c r="A10808" t="s">
        <v>13142</v>
      </c>
      <c r="B10808" t="s">
        <v>1996</v>
      </c>
      <c r="C10808" t="s">
        <v>1997</v>
      </c>
      <c r="D10808" t="str">
        <f>HYPERLINK("http://service.sap.com/sap/support/notes/1882743","1882743")</f>
        <v>1882743</v>
      </c>
      <c r="E10808">
        <v>3</v>
      </c>
      <c r="F10808" t="s">
        <v>12106</v>
      </c>
    </row>
    <row r="10809" spans="1:6" x14ac:dyDescent="0.25">
      <c r="A10809" t="s">
        <v>13142</v>
      </c>
      <c r="B10809" t="s">
        <v>2002</v>
      </c>
      <c r="C10809" t="s">
        <v>657</v>
      </c>
    </row>
    <row r="10810" spans="1:6" x14ac:dyDescent="0.25">
      <c r="A10810" t="s">
        <v>13142</v>
      </c>
      <c r="B10810" t="s">
        <v>2003</v>
      </c>
      <c r="C10810" t="s">
        <v>2004</v>
      </c>
      <c r="D10810" t="str">
        <f>HYPERLINK("http://service.sap.com/sap/support/notes/1867018","1867018")</f>
        <v>1867018</v>
      </c>
      <c r="E10810">
        <v>1</v>
      </c>
      <c r="F10810" t="s">
        <v>12105</v>
      </c>
    </row>
    <row r="10811" spans="1:6" x14ac:dyDescent="0.25">
      <c r="A10811" t="s">
        <v>13142</v>
      </c>
      <c r="B10811" t="s">
        <v>2003</v>
      </c>
      <c r="C10811" t="s">
        <v>2004</v>
      </c>
      <c r="D10811" t="str">
        <f>HYPERLINK("http://service.sap.com/sap/support/notes/1867091","1867091")</f>
        <v>1867091</v>
      </c>
      <c r="E10811">
        <v>1</v>
      </c>
      <c r="F10811" t="s">
        <v>12104</v>
      </c>
    </row>
    <row r="10812" spans="1:6" x14ac:dyDescent="0.25">
      <c r="A10812" t="s">
        <v>13142</v>
      </c>
      <c r="B10812" t="s">
        <v>2003</v>
      </c>
      <c r="C10812" t="s">
        <v>2004</v>
      </c>
      <c r="D10812" t="str">
        <f>HYPERLINK("http://service.sap.com/sap/support/notes/1870466","1870466")</f>
        <v>1870466</v>
      </c>
      <c r="E10812">
        <v>2</v>
      </c>
      <c r="F10812" t="s">
        <v>12103</v>
      </c>
    </row>
    <row r="10813" spans="1:6" x14ac:dyDescent="0.25">
      <c r="A10813" t="s">
        <v>13142</v>
      </c>
      <c r="B10813" t="s">
        <v>2003</v>
      </c>
      <c r="C10813" t="s">
        <v>2004</v>
      </c>
      <c r="D10813" t="str">
        <f>HYPERLINK("http://service.sap.com/sap/support/notes/1879942","1879942")</f>
        <v>1879942</v>
      </c>
      <c r="E10813">
        <v>1</v>
      </c>
      <c r="F10813" t="s">
        <v>12102</v>
      </c>
    </row>
    <row r="10814" spans="1:6" x14ac:dyDescent="0.25">
      <c r="A10814" t="s">
        <v>13142</v>
      </c>
      <c r="B10814" t="s">
        <v>2003</v>
      </c>
      <c r="C10814" t="s">
        <v>2004</v>
      </c>
      <c r="D10814" t="str">
        <f>HYPERLINK("http://service.sap.com/sap/support/notes/1880597","1880597")</f>
        <v>1880597</v>
      </c>
      <c r="E10814">
        <v>1</v>
      </c>
      <c r="F10814" t="s">
        <v>12101</v>
      </c>
    </row>
    <row r="10815" spans="1:6" x14ac:dyDescent="0.25">
      <c r="A10815" t="s">
        <v>13142</v>
      </c>
      <c r="B10815" t="s">
        <v>2003</v>
      </c>
      <c r="C10815" t="s">
        <v>2004</v>
      </c>
      <c r="D10815" t="str">
        <f>HYPERLINK("http://service.sap.com/sap/support/notes/1886520","1886520")</f>
        <v>1886520</v>
      </c>
      <c r="E10815">
        <v>1</v>
      </c>
      <c r="F10815" t="s">
        <v>12100</v>
      </c>
    </row>
    <row r="10816" spans="1:6" x14ac:dyDescent="0.25">
      <c r="A10816" t="s">
        <v>13142</v>
      </c>
      <c r="B10816" t="s">
        <v>2003</v>
      </c>
      <c r="C10816" t="s">
        <v>2004</v>
      </c>
      <c r="D10816" t="str">
        <f>HYPERLINK("http://service.sap.com/sap/support/notes/1897517","1897517")</f>
        <v>1897517</v>
      </c>
      <c r="E10816">
        <v>2</v>
      </c>
      <c r="F10816" t="s">
        <v>12099</v>
      </c>
    </row>
    <row r="10817" spans="1:6" x14ac:dyDescent="0.25">
      <c r="A10817" t="s">
        <v>13142</v>
      </c>
      <c r="B10817" t="s">
        <v>2003</v>
      </c>
      <c r="C10817" t="s">
        <v>2004</v>
      </c>
      <c r="D10817" t="str">
        <f>HYPERLINK("http://service.sap.com/sap/support/notes/1900541","1900541")</f>
        <v>1900541</v>
      </c>
      <c r="E10817">
        <v>3</v>
      </c>
      <c r="F10817" t="s">
        <v>12098</v>
      </c>
    </row>
    <row r="10818" spans="1:6" x14ac:dyDescent="0.25">
      <c r="A10818" t="s">
        <v>13142</v>
      </c>
      <c r="B10818" t="s">
        <v>7603</v>
      </c>
      <c r="C10818" t="s">
        <v>7604</v>
      </c>
      <c r="D10818" t="str">
        <f>HYPERLINK("http://service.sap.com/sap/support/notes/1875169","1875169")</f>
        <v>1875169</v>
      </c>
      <c r="E10818">
        <v>1</v>
      </c>
      <c r="F10818" t="s">
        <v>12097</v>
      </c>
    </row>
    <row r="10819" spans="1:6" x14ac:dyDescent="0.25">
      <c r="A10819" t="s">
        <v>13142</v>
      </c>
      <c r="B10819" t="s">
        <v>2011</v>
      </c>
      <c r="C10819" t="s">
        <v>2012</v>
      </c>
      <c r="D10819" t="str">
        <f>HYPERLINK("http://service.sap.com/sap/support/notes/1868089","1868089")</f>
        <v>1868089</v>
      </c>
      <c r="E10819">
        <v>2</v>
      </c>
      <c r="F10819" t="s">
        <v>12096</v>
      </c>
    </row>
    <row r="10820" spans="1:6" x14ac:dyDescent="0.25">
      <c r="A10820" t="s">
        <v>13142</v>
      </c>
      <c r="B10820" t="s">
        <v>2011</v>
      </c>
      <c r="C10820" t="s">
        <v>2012</v>
      </c>
      <c r="D10820" t="str">
        <f>HYPERLINK("http://service.sap.com/sap/support/notes/1869200","1869200")</f>
        <v>1869200</v>
      </c>
      <c r="E10820">
        <v>1</v>
      </c>
      <c r="F10820" t="s">
        <v>12095</v>
      </c>
    </row>
    <row r="10821" spans="1:6" x14ac:dyDescent="0.25">
      <c r="A10821" t="s">
        <v>13142</v>
      </c>
      <c r="B10821" t="s">
        <v>2011</v>
      </c>
      <c r="C10821" t="s">
        <v>2012</v>
      </c>
      <c r="D10821" t="str">
        <f>HYPERLINK("http://service.sap.com/sap/support/notes/1874959","1874959")</f>
        <v>1874959</v>
      </c>
      <c r="E10821">
        <v>3</v>
      </c>
      <c r="F10821" t="s">
        <v>12094</v>
      </c>
    </row>
    <row r="10822" spans="1:6" x14ac:dyDescent="0.25">
      <c r="A10822" t="s">
        <v>13142</v>
      </c>
      <c r="B10822" t="s">
        <v>2011</v>
      </c>
      <c r="C10822" t="s">
        <v>2012</v>
      </c>
      <c r="D10822" t="str">
        <f>HYPERLINK("http://service.sap.com/sap/support/notes/1895335","1895335")</f>
        <v>1895335</v>
      </c>
      <c r="E10822">
        <v>3</v>
      </c>
      <c r="F10822" t="s">
        <v>12093</v>
      </c>
    </row>
    <row r="10823" spans="1:6" x14ac:dyDescent="0.25">
      <c r="A10823" t="s">
        <v>13142</v>
      </c>
      <c r="B10823" t="s">
        <v>2011</v>
      </c>
      <c r="C10823" t="s">
        <v>2012</v>
      </c>
      <c r="D10823" t="str">
        <f>HYPERLINK("http://service.sap.com/sap/support/notes/1896832","1896832")</f>
        <v>1896832</v>
      </c>
      <c r="E10823">
        <v>3</v>
      </c>
      <c r="F10823" t="s">
        <v>12092</v>
      </c>
    </row>
    <row r="10824" spans="1:6" x14ac:dyDescent="0.25">
      <c r="A10824" t="s">
        <v>13142</v>
      </c>
      <c r="B10824" t="s">
        <v>2022</v>
      </c>
      <c r="C10824" t="s">
        <v>2023</v>
      </c>
      <c r="D10824" t="str">
        <f>HYPERLINK("http://service.sap.com/sap/support/notes/1865769","1865769")</f>
        <v>1865769</v>
      </c>
      <c r="E10824">
        <v>1</v>
      </c>
      <c r="F10824" t="s">
        <v>12091</v>
      </c>
    </row>
    <row r="10825" spans="1:6" x14ac:dyDescent="0.25">
      <c r="A10825" t="s">
        <v>13142</v>
      </c>
      <c r="B10825" t="s">
        <v>2022</v>
      </c>
      <c r="C10825" t="s">
        <v>2023</v>
      </c>
      <c r="D10825" t="str">
        <f>HYPERLINK("http://service.sap.com/sap/support/notes/1869564","1869564")</f>
        <v>1869564</v>
      </c>
      <c r="E10825">
        <v>1</v>
      </c>
      <c r="F10825" t="s">
        <v>12090</v>
      </c>
    </row>
    <row r="10826" spans="1:6" x14ac:dyDescent="0.25">
      <c r="A10826" t="s">
        <v>13142</v>
      </c>
      <c r="B10826" t="s">
        <v>2022</v>
      </c>
      <c r="C10826" t="s">
        <v>2023</v>
      </c>
      <c r="D10826" t="str">
        <f>HYPERLINK("http://service.sap.com/sap/support/notes/1879178","1879178")</f>
        <v>1879178</v>
      </c>
      <c r="E10826">
        <v>2</v>
      </c>
      <c r="F10826" t="s">
        <v>12089</v>
      </c>
    </row>
    <row r="10827" spans="1:6" x14ac:dyDescent="0.25">
      <c r="A10827" t="s">
        <v>13142</v>
      </c>
      <c r="B10827" t="s">
        <v>2022</v>
      </c>
      <c r="C10827" t="s">
        <v>2023</v>
      </c>
      <c r="D10827" t="str">
        <f>HYPERLINK("http://service.sap.com/sap/support/notes/1880383","1880383")</f>
        <v>1880383</v>
      </c>
      <c r="E10827">
        <v>2</v>
      </c>
      <c r="F10827" t="s">
        <v>12088</v>
      </c>
    </row>
    <row r="10828" spans="1:6" x14ac:dyDescent="0.25">
      <c r="A10828" t="s">
        <v>13142</v>
      </c>
      <c r="B10828" t="s">
        <v>2022</v>
      </c>
      <c r="C10828" t="s">
        <v>2023</v>
      </c>
      <c r="D10828" t="str">
        <f>HYPERLINK("http://service.sap.com/sap/support/notes/1891626","1891626")</f>
        <v>1891626</v>
      </c>
      <c r="E10828">
        <v>1</v>
      </c>
      <c r="F10828" t="s">
        <v>12087</v>
      </c>
    </row>
    <row r="10829" spans="1:6" x14ac:dyDescent="0.25">
      <c r="A10829" t="s">
        <v>13142</v>
      </c>
      <c r="B10829" t="s">
        <v>2022</v>
      </c>
      <c r="C10829" t="s">
        <v>2023</v>
      </c>
      <c r="D10829" t="str">
        <f>HYPERLINK("http://service.sap.com/sap/support/notes/1896286","1896286")</f>
        <v>1896286</v>
      </c>
      <c r="E10829">
        <v>3</v>
      </c>
      <c r="F10829" t="s">
        <v>12086</v>
      </c>
    </row>
    <row r="10830" spans="1:6" x14ac:dyDescent="0.25">
      <c r="A10830" t="s">
        <v>13142</v>
      </c>
      <c r="B10830" t="s">
        <v>2022</v>
      </c>
      <c r="C10830" t="s">
        <v>2023</v>
      </c>
      <c r="D10830" t="str">
        <f>HYPERLINK("http://service.sap.com/sap/support/notes/1899844","1899844")</f>
        <v>1899844</v>
      </c>
      <c r="E10830">
        <v>5</v>
      </c>
      <c r="F10830" t="s">
        <v>12085</v>
      </c>
    </row>
    <row r="10831" spans="1:6" x14ac:dyDescent="0.25">
      <c r="A10831" t="s">
        <v>13142</v>
      </c>
      <c r="B10831" t="s">
        <v>2031</v>
      </c>
      <c r="C10831" t="s">
        <v>2032</v>
      </c>
      <c r="D10831" t="str">
        <f>HYPERLINK("http://service.sap.com/sap/support/notes/1867519","1867519")</f>
        <v>1867519</v>
      </c>
      <c r="E10831">
        <v>3</v>
      </c>
      <c r="F10831" t="s">
        <v>12084</v>
      </c>
    </row>
    <row r="10832" spans="1:6" x14ac:dyDescent="0.25">
      <c r="A10832" t="s">
        <v>13142</v>
      </c>
      <c r="B10832" t="s">
        <v>2034</v>
      </c>
      <c r="C10832" t="s">
        <v>2035</v>
      </c>
      <c r="D10832" t="str">
        <f>HYPERLINK("http://service.sap.com/sap/support/notes/1866006","1866006")</f>
        <v>1866006</v>
      </c>
      <c r="E10832">
        <v>3</v>
      </c>
      <c r="F10832" t="s">
        <v>12083</v>
      </c>
    </row>
    <row r="10833" spans="1:6" x14ac:dyDescent="0.25">
      <c r="A10833" t="s">
        <v>13142</v>
      </c>
      <c r="B10833" t="s">
        <v>2034</v>
      </c>
      <c r="C10833" t="s">
        <v>2035</v>
      </c>
      <c r="D10833" t="str">
        <f>HYPERLINK("http://service.sap.com/sap/support/notes/1866624","1866624")</f>
        <v>1866624</v>
      </c>
      <c r="E10833">
        <v>1</v>
      </c>
      <c r="F10833" t="s">
        <v>12082</v>
      </c>
    </row>
    <row r="10834" spans="1:6" x14ac:dyDescent="0.25">
      <c r="A10834" t="s">
        <v>13142</v>
      </c>
      <c r="B10834" t="s">
        <v>2034</v>
      </c>
      <c r="C10834" t="s">
        <v>2035</v>
      </c>
      <c r="D10834" t="str">
        <f>HYPERLINK("http://service.sap.com/sap/support/notes/1870409","1870409")</f>
        <v>1870409</v>
      </c>
      <c r="E10834">
        <v>2</v>
      </c>
      <c r="F10834" t="s">
        <v>12081</v>
      </c>
    </row>
    <row r="10835" spans="1:6" x14ac:dyDescent="0.25">
      <c r="A10835" t="s">
        <v>13142</v>
      </c>
      <c r="B10835" t="s">
        <v>2034</v>
      </c>
      <c r="C10835" t="s">
        <v>2035</v>
      </c>
      <c r="D10835" t="str">
        <f>HYPERLINK("http://service.sap.com/sap/support/notes/1877124","1877124")</f>
        <v>1877124</v>
      </c>
      <c r="E10835">
        <v>3</v>
      </c>
      <c r="F10835" t="s">
        <v>12080</v>
      </c>
    </row>
    <row r="10836" spans="1:6" x14ac:dyDescent="0.25">
      <c r="A10836" t="s">
        <v>13142</v>
      </c>
      <c r="B10836" t="s">
        <v>2034</v>
      </c>
      <c r="C10836" t="s">
        <v>2035</v>
      </c>
      <c r="D10836" t="str">
        <f>HYPERLINK("http://service.sap.com/sap/support/notes/1878798","1878798")</f>
        <v>1878798</v>
      </c>
      <c r="E10836">
        <v>1</v>
      </c>
      <c r="F10836" t="s">
        <v>12077</v>
      </c>
    </row>
    <row r="10837" spans="1:6" x14ac:dyDescent="0.25">
      <c r="A10837" t="s">
        <v>13142</v>
      </c>
      <c r="B10837" t="s">
        <v>2034</v>
      </c>
      <c r="C10837" t="s">
        <v>2035</v>
      </c>
      <c r="D10837" t="str">
        <f>HYPERLINK("http://service.sap.com/sap/support/notes/1889967","1889967")</f>
        <v>1889967</v>
      </c>
      <c r="E10837">
        <v>1</v>
      </c>
      <c r="F10837" t="s">
        <v>12079</v>
      </c>
    </row>
    <row r="10838" spans="1:6" x14ac:dyDescent="0.25">
      <c r="A10838" t="s">
        <v>13142</v>
      </c>
      <c r="B10838" t="s">
        <v>2034</v>
      </c>
      <c r="C10838" t="s">
        <v>2035</v>
      </c>
      <c r="D10838" t="str">
        <f>HYPERLINK("http://service.sap.com/sap/support/notes/1890545","1890545")</f>
        <v>1890545</v>
      </c>
      <c r="E10838">
        <v>2</v>
      </c>
      <c r="F10838" t="s">
        <v>12078</v>
      </c>
    </row>
    <row r="10839" spans="1:6" x14ac:dyDescent="0.25">
      <c r="A10839" t="s">
        <v>13142</v>
      </c>
      <c r="B10839" t="s">
        <v>2034</v>
      </c>
      <c r="C10839" t="s">
        <v>2035</v>
      </c>
      <c r="D10839" t="str">
        <f>HYPERLINK("http://service.sap.com/sap/support/notes/1896897","1896897")</f>
        <v>1896897</v>
      </c>
      <c r="E10839">
        <v>2</v>
      </c>
      <c r="F10839" t="s">
        <v>12077</v>
      </c>
    </row>
    <row r="10840" spans="1:6" x14ac:dyDescent="0.25">
      <c r="A10840" t="s">
        <v>13142</v>
      </c>
      <c r="B10840" t="s">
        <v>7640</v>
      </c>
      <c r="C10840" t="s">
        <v>7641</v>
      </c>
      <c r="D10840" t="str">
        <f>HYPERLINK("http://service.sap.com/sap/support/notes/1888453","1888453")</f>
        <v>1888453</v>
      </c>
      <c r="E10840">
        <v>1</v>
      </c>
      <c r="F10840" t="s">
        <v>12076</v>
      </c>
    </row>
    <row r="10841" spans="1:6" x14ac:dyDescent="0.25">
      <c r="A10841" t="s">
        <v>13142</v>
      </c>
      <c r="B10841" t="s">
        <v>2052</v>
      </c>
      <c r="C10841" t="s">
        <v>2053</v>
      </c>
      <c r="D10841" t="str">
        <f>HYPERLINK("http://service.sap.com/sap/support/notes/1858389","1858389")</f>
        <v>1858389</v>
      </c>
      <c r="E10841">
        <v>4</v>
      </c>
      <c r="F10841" t="s">
        <v>12075</v>
      </c>
    </row>
    <row r="10842" spans="1:6" x14ac:dyDescent="0.25">
      <c r="A10842" t="s">
        <v>13142</v>
      </c>
      <c r="B10842" t="s">
        <v>2062</v>
      </c>
      <c r="C10842" t="s">
        <v>2063</v>
      </c>
      <c r="D10842" t="str">
        <f>HYPERLINK("http://service.sap.com/sap/support/notes/1639242","1639242")</f>
        <v>1639242</v>
      </c>
      <c r="E10842">
        <v>3</v>
      </c>
      <c r="F10842" t="s">
        <v>12074</v>
      </c>
    </row>
    <row r="10843" spans="1:6" x14ac:dyDescent="0.25">
      <c r="A10843" t="s">
        <v>13142</v>
      </c>
      <c r="B10843" t="s">
        <v>2062</v>
      </c>
      <c r="C10843" t="s">
        <v>2063</v>
      </c>
      <c r="D10843" t="str">
        <f>HYPERLINK("http://service.sap.com/sap/support/notes/1640731","1640731")</f>
        <v>1640731</v>
      </c>
      <c r="E10843">
        <v>6</v>
      </c>
      <c r="F10843" t="s">
        <v>12073</v>
      </c>
    </row>
    <row r="10844" spans="1:6" x14ac:dyDescent="0.25">
      <c r="A10844" t="s">
        <v>13142</v>
      </c>
      <c r="B10844" t="s">
        <v>2062</v>
      </c>
      <c r="C10844" t="s">
        <v>2063</v>
      </c>
      <c r="D10844" t="str">
        <f>HYPERLINK("http://service.sap.com/sap/support/notes/1868577","1868577")</f>
        <v>1868577</v>
      </c>
      <c r="E10844">
        <v>1</v>
      </c>
      <c r="F10844" t="s">
        <v>12072</v>
      </c>
    </row>
    <row r="10845" spans="1:6" x14ac:dyDescent="0.25">
      <c r="A10845" t="s">
        <v>13142</v>
      </c>
      <c r="B10845" t="s">
        <v>2062</v>
      </c>
      <c r="C10845" t="s">
        <v>2063</v>
      </c>
      <c r="D10845" t="str">
        <f>HYPERLINK("http://service.sap.com/sap/support/notes/1873085","1873085")</f>
        <v>1873085</v>
      </c>
      <c r="E10845">
        <v>3</v>
      </c>
      <c r="F10845" t="s">
        <v>12071</v>
      </c>
    </row>
    <row r="10846" spans="1:6" x14ac:dyDescent="0.25">
      <c r="A10846" t="s">
        <v>13142</v>
      </c>
      <c r="B10846" t="s">
        <v>2062</v>
      </c>
      <c r="C10846" t="s">
        <v>2063</v>
      </c>
      <c r="D10846" t="str">
        <f>HYPERLINK("http://service.sap.com/sap/support/notes/1881274","1881274")</f>
        <v>1881274</v>
      </c>
      <c r="E10846">
        <v>1</v>
      </c>
      <c r="F10846" t="s">
        <v>12070</v>
      </c>
    </row>
    <row r="10847" spans="1:6" x14ac:dyDescent="0.25">
      <c r="A10847" t="s">
        <v>13142</v>
      </c>
      <c r="B10847" t="s">
        <v>2062</v>
      </c>
      <c r="C10847" t="s">
        <v>2063</v>
      </c>
      <c r="D10847" t="str">
        <f>HYPERLINK("http://service.sap.com/sap/support/notes/1882876","1882876")</f>
        <v>1882876</v>
      </c>
      <c r="E10847">
        <v>1</v>
      </c>
      <c r="F10847" t="s">
        <v>12069</v>
      </c>
    </row>
    <row r="10848" spans="1:6" x14ac:dyDescent="0.25">
      <c r="A10848" t="s">
        <v>13142</v>
      </c>
      <c r="B10848" t="s">
        <v>2062</v>
      </c>
      <c r="C10848" t="s">
        <v>2063</v>
      </c>
      <c r="D10848" t="str">
        <f>HYPERLINK("http://service.sap.com/sap/support/notes/1887806","1887806")</f>
        <v>1887806</v>
      </c>
      <c r="E10848">
        <v>1</v>
      </c>
      <c r="F10848" t="s">
        <v>12068</v>
      </c>
    </row>
    <row r="10849" spans="1:6" x14ac:dyDescent="0.25">
      <c r="A10849" t="s">
        <v>13142</v>
      </c>
      <c r="B10849" t="s">
        <v>2062</v>
      </c>
      <c r="C10849" t="s">
        <v>2063</v>
      </c>
      <c r="D10849" t="str">
        <f>HYPERLINK("http://service.sap.com/sap/support/notes/1888763","1888763")</f>
        <v>1888763</v>
      </c>
      <c r="E10849">
        <v>1</v>
      </c>
      <c r="F10849" t="s">
        <v>12067</v>
      </c>
    </row>
    <row r="10850" spans="1:6" x14ac:dyDescent="0.25">
      <c r="A10850" t="s">
        <v>13142</v>
      </c>
      <c r="B10850" t="s">
        <v>2062</v>
      </c>
      <c r="C10850" t="s">
        <v>2063</v>
      </c>
      <c r="D10850" t="str">
        <f>HYPERLINK("http://service.sap.com/sap/support/notes/1890169","1890169")</f>
        <v>1890169</v>
      </c>
      <c r="E10850">
        <v>1</v>
      </c>
      <c r="F10850" t="s">
        <v>12066</v>
      </c>
    </row>
    <row r="10851" spans="1:6" x14ac:dyDescent="0.25">
      <c r="A10851" t="s">
        <v>13142</v>
      </c>
      <c r="B10851" t="s">
        <v>2062</v>
      </c>
      <c r="C10851" t="s">
        <v>2063</v>
      </c>
      <c r="D10851" t="str">
        <f>HYPERLINK("http://service.sap.com/sap/support/notes/1893419","1893419")</f>
        <v>1893419</v>
      </c>
      <c r="E10851">
        <v>2</v>
      </c>
      <c r="F10851" t="s">
        <v>12065</v>
      </c>
    </row>
    <row r="10852" spans="1:6" x14ac:dyDescent="0.25">
      <c r="A10852" t="s">
        <v>13142</v>
      </c>
      <c r="B10852" t="s">
        <v>2062</v>
      </c>
      <c r="C10852" t="s">
        <v>2063</v>
      </c>
      <c r="D10852" t="str">
        <f>HYPERLINK("http://service.sap.com/sap/support/notes/1894055","1894055")</f>
        <v>1894055</v>
      </c>
      <c r="E10852">
        <v>1</v>
      </c>
      <c r="F10852" t="s">
        <v>12064</v>
      </c>
    </row>
    <row r="10853" spans="1:6" x14ac:dyDescent="0.25">
      <c r="A10853" t="s">
        <v>13142</v>
      </c>
      <c r="B10853" t="s">
        <v>2062</v>
      </c>
      <c r="C10853" t="s">
        <v>2063</v>
      </c>
      <c r="D10853" t="str">
        <f>HYPERLINK("http://service.sap.com/sap/support/notes/1896268","1896268")</f>
        <v>1896268</v>
      </c>
      <c r="E10853">
        <v>2</v>
      </c>
      <c r="F10853" t="s">
        <v>12063</v>
      </c>
    </row>
    <row r="10854" spans="1:6" x14ac:dyDescent="0.25">
      <c r="A10854" t="s">
        <v>13142</v>
      </c>
      <c r="B10854" t="s">
        <v>2067</v>
      </c>
      <c r="C10854" t="s">
        <v>2068</v>
      </c>
      <c r="D10854" t="str">
        <f>HYPERLINK("http://service.sap.com/sap/support/notes/1816745","1816745")</f>
        <v>1816745</v>
      </c>
      <c r="E10854">
        <v>7</v>
      </c>
      <c r="F10854" t="s">
        <v>12062</v>
      </c>
    </row>
    <row r="10855" spans="1:6" x14ac:dyDescent="0.25">
      <c r="A10855" t="s">
        <v>13142</v>
      </c>
      <c r="B10855" t="s">
        <v>2067</v>
      </c>
      <c r="C10855" t="s">
        <v>2068</v>
      </c>
      <c r="D10855" t="str">
        <f>HYPERLINK("http://service.sap.com/sap/support/notes/1820729","1820729")</f>
        <v>1820729</v>
      </c>
      <c r="E10855">
        <v>1</v>
      </c>
      <c r="F10855" t="s">
        <v>12061</v>
      </c>
    </row>
    <row r="10856" spans="1:6" x14ac:dyDescent="0.25">
      <c r="A10856" t="s">
        <v>13142</v>
      </c>
      <c r="B10856" t="s">
        <v>2067</v>
      </c>
      <c r="C10856" t="s">
        <v>2068</v>
      </c>
      <c r="D10856" t="str">
        <f>HYPERLINK("http://service.sap.com/sap/support/notes/1833094","1833094")</f>
        <v>1833094</v>
      </c>
      <c r="E10856">
        <v>3</v>
      </c>
      <c r="F10856" t="s">
        <v>12060</v>
      </c>
    </row>
    <row r="10857" spans="1:6" x14ac:dyDescent="0.25">
      <c r="A10857" t="s">
        <v>13142</v>
      </c>
      <c r="B10857" t="s">
        <v>2067</v>
      </c>
      <c r="C10857" t="s">
        <v>2068</v>
      </c>
      <c r="D10857" t="str">
        <f>HYPERLINK("http://service.sap.com/sap/support/notes/1860777","1860777")</f>
        <v>1860777</v>
      </c>
      <c r="E10857">
        <v>1</v>
      </c>
      <c r="F10857" t="s">
        <v>12059</v>
      </c>
    </row>
    <row r="10858" spans="1:6" x14ac:dyDescent="0.25">
      <c r="A10858" t="s">
        <v>13142</v>
      </c>
      <c r="B10858" t="s">
        <v>2067</v>
      </c>
      <c r="C10858" t="s">
        <v>2068</v>
      </c>
      <c r="D10858" t="str">
        <f>HYPERLINK("http://service.sap.com/sap/support/notes/1897881","1897881")</f>
        <v>1897881</v>
      </c>
      <c r="E10858">
        <v>2</v>
      </c>
      <c r="F10858" t="s">
        <v>12058</v>
      </c>
    </row>
    <row r="10859" spans="1:6" x14ac:dyDescent="0.25">
      <c r="A10859" t="s">
        <v>13142</v>
      </c>
      <c r="B10859" t="s">
        <v>2079</v>
      </c>
      <c r="C10859" t="s">
        <v>2080</v>
      </c>
      <c r="D10859" t="str">
        <f>HYPERLINK("http://service.sap.com/sap/support/notes/1837757","1837757")</f>
        <v>1837757</v>
      </c>
      <c r="E10859">
        <v>2</v>
      </c>
      <c r="F10859" t="s">
        <v>12057</v>
      </c>
    </row>
    <row r="10860" spans="1:6" x14ac:dyDescent="0.25">
      <c r="A10860" t="s">
        <v>13142</v>
      </c>
      <c r="B10860" t="s">
        <v>2079</v>
      </c>
      <c r="C10860" t="s">
        <v>2080</v>
      </c>
      <c r="D10860" t="str">
        <f>HYPERLINK("http://service.sap.com/sap/support/notes/1861194","1861194")</f>
        <v>1861194</v>
      </c>
      <c r="E10860">
        <v>2</v>
      </c>
      <c r="F10860" t="s">
        <v>12056</v>
      </c>
    </row>
    <row r="10861" spans="1:6" x14ac:dyDescent="0.25">
      <c r="A10861" t="s">
        <v>13142</v>
      </c>
      <c r="B10861" t="s">
        <v>2079</v>
      </c>
      <c r="C10861" t="s">
        <v>2080</v>
      </c>
      <c r="D10861" t="str">
        <f>HYPERLINK("http://service.sap.com/sap/support/notes/1861196","1861196")</f>
        <v>1861196</v>
      </c>
      <c r="E10861">
        <v>3</v>
      </c>
      <c r="F10861" t="s">
        <v>12055</v>
      </c>
    </row>
    <row r="10862" spans="1:6" x14ac:dyDescent="0.25">
      <c r="A10862" t="s">
        <v>13142</v>
      </c>
      <c r="B10862" t="s">
        <v>2079</v>
      </c>
      <c r="C10862" t="s">
        <v>2080</v>
      </c>
      <c r="D10862" t="str">
        <f>HYPERLINK("http://service.sap.com/sap/support/notes/1898093","1898093")</f>
        <v>1898093</v>
      </c>
      <c r="E10862">
        <v>2</v>
      </c>
      <c r="F10862" t="s">
        <v>12054</v>
      </c>
    </row>
    <row r="10863" spans="1:6" x14ac:dyDescent="0.25">
      <c r="A10863" t="s">
        <v>13142</v>
      </c>
      <c r="B10863" t="s">
        <v>2082</v>
      </c>
      <c r="C10863" t="s">
        <v>2083</v>
      </c>
    </row>
    <row r="10864" spans="1:6" x14ac:dyDescent="0.25">
      <c r="A10864" t="s">
        <v>13142</v>
      </c>
      <c r="B10864" t="s">
        <v>2086</v>
      </c>
      <c r="C10864" t="s">
        <v>2087</v>
      </c>
      <c r="D10864" t="str">
        <f>HYPERLINK("http://service.sap.com/sap/support/notes/1855802","1855802")</f>
        <v>1855802</v>
      </c>
      <c r="E10864">
        <v>1</v>
      </c>
      <c r="F10864" t="s">
        <v>12053</v>
      </c>
    </row>
    <row r="10865" spans="1:6" x14ac:dyDescent="0.25">
      <c r="A10865" t="s">
        <v>13142</v>
      </c>
      <c r="B10865" t="s">
        <v>2090</v>
      </c>
      <c r="C10865" t="s">
        <v>2091</v>
      </c>
      <c r="D10865" t="str">
        <f>HYPERLINK("http://service.sap.com/sap/support/notes/1300882","1300882")</f>
        <v>1300882</v>
      </c>
      <c r="E10865">
        <v>6</v>
      </c>
      <c r="F10865" t="s">
        <v>12052</v>
      </c>
    </row>
    <row r="10866" spans="1:6" x14ac:dyDescent="0.25">
      <c r="A10866" t="s">
        <v>13142</v>
      </c>
      <c r="B10866" t="s">
        <v>2090</v>
      </c>
      <c r="C10866" t="s">
        <v>2091</v>
      </c>
      <c r="D10866" t="str">
        <f>HYPERLINK("http://service.sap.com/sap/support/notes/1873103","1873103")</f>
        <v>1873103</v>
      </c>
      <c r="E10866">
        <v>3</v>
      </c>
      <c r="F10866" t="s">
        <v>12051</v>
      </c>
    </row>
    <row r="10867" spans="1:6" x14ac:dyDescent="0.25">
      <c r="A10867" t="s">
        <v>13142</v>
      </c>
      <c r="B10867" t="s">
        <v>2094</v>
      </c>
      <c r="C10867" t="s">
        <v>9856</v>
      </c>
    </row>
    <row r="10868" spans="1:6" x14ac:dyDescent="0.25">
      <c r="A10868" t="s">
        <v>13142</v>
      </c>
      <c r="B10868" t="s">
        <v>2097</v>
      </c>
      <c r="C10868" t="s">
        <v>2098</v>
      </c>
    </row>
    <row r="10869" spans="1:6" x14ac:dyDescent="0.25">
      <c r="A10869" t="s">
        <v>13142</v>
      </c>
      <c r="B10869" t="s">
        <v>2099</v>
      </c>
      <c r="C10869" t="s">
        <v>2100</v>
      </c>
      <c r="D10869" t="str">
        <f>HYPERLINK("http://service.sap.com/sap/support/notes/1901548","1901548")</f>
        <v>1901548</v>
      </c>
      <c r="E10869">
        <v>1</v>
      </c>
      <c r="F10869" t="s">
        <v>12050</v>
      </c>
    </row>
    <row r="10870" spans="1:6" x14ac:dyDescent="0.25">
      <c r="A10870" t="s">
        <v>13142</v>
      </c>
      <c r="B10870" t="s">
        <v>2102</v>
      </c>
      <c r="C10870" t="s">
        <v>2103</v>
      </c>
    </row>
    <row r="10871" spans="1:6" x14ac:dyDescent="0.25">
      <c r="A10871" t="s">
        <v>13142</v>
      </c>
      <c r="B10871" t="s">
        <v>2104</v>
      </c>
      <c r="C10871" t="s">
        <v>2105</v>
      </c>
      <c r="D10871" t="str">
        <f>HYPERLINK("http://service.sap.com/sap/support/notes/1870610","1870610")</f>
        <v>1870610</v>
      </c>
      <c r="E10871">
        <v>1</v>
      </c>
      <c r="F10871" t="s">
        <v>12049</v>
      </c>
    </row>
    <row r="10872" spans="1:6" x14ac:dyDescent="0.25">
      <c r="A10872" t="s">
        <v>13142</v>
      </c>
      <c r="B10872" t="s">
        <v>2104</v>
      </c>
      <c r="C10872" t="s">
        <v>2105</v>
      </c>
      <c r="D10872" t="str">
        <f>HYPERLINK("http://service.sap.com/sap/support/notes/1884042","1884042")</f>
        <v>1884042</v>
      </c>
      <c r="E10872">
        <v>1</v>
      </c>
      <c r="F10872" t="s">
        <v>12048</v>
      </c>
    </row>
    <row r="10873" spans="1:6" x14ac:dyDescent="0.25">
      <c r="A10873" t="s">
        <v>13142</v>
      </c>
      <c r="B10873" t="s">
        <v>2108</v>
      </c>
      <c r="C10873" t="s">
        <v>5323</v>
      </c>
      <c r="D10873" t="str">
        <f>HYPERLINK("http://service.sap.com/sap/support/notes/1864016","1864016")</f>
        <v>1864016</v>
      </c>
      <c r="E10873">
        <v>1</v>
      </c>
      <c r="F10873" t="s">
        <v>12047</v>
      </c>
    </row>
    <row r="10874" spans="1:6" x14ac:dyDescent="0.25">
      <c r="A10874" t="s">
        <v>13142</v>
      </c>
      <c r="B10874" t="s">
        <v>2110</v>
      </c>
      <c r="C10874" t="s">
        <v>1669</v>
      </c>
      <c r="D10874" t="str">
        <f>HYPERLINK("http://service.sap.com/sap/support/notes/1829692","1829692")</f>
        <v>1829692</v>
      </c>
      <c r="E10874">
        <v>2</v>
      </c>
      <c r="F10874" t="s">
        <v>12046</v>
      </c>
    </row>
    <row r="10875" spans="1:6" x14ac:dyDescent="0.25">
      <c r="A10875" t="s">
        <v>13142</v>
      </c>
      <c r="B10875" t="s">
        <v>2110</v>
      </c>
      <c r="C10875" t="s">
        <v>1669</v>
      </c>
      <c r="D10875" t="str">
        <f>HYPERLINK("http://service.sap.com/sap/support/notes/1833436","1833436")</f>
        <v>1833436</v>
      </c>
      <c r="E10875">
        <v>2</v>
      </c>
      <c r="F10875" t="s">
        <v>12045</v>
      </c>
    </row>
    <row r="10876" spans="1:6" x14ac:dyDescent="0.25">
      <c r="A10876" t="s">
        <v>13142</v>
      </c>
      <c r="B10876" t="s">
        <v>2110</v>
      </c>
      <c r="C10876" t="s">
        <v>1669</v>
      </c>
      <c r="D10876" t="str">
        <f>HYPERLINK("http://service.sap.com/sap/support/notes/1851115","1851115")</f>
        <v>1851115</v>
      </c>
      <c r="E10876">
        <v>1</v>
      </c>
      <c r="F10876" t="s">
        <v>12044</v>
      </c>
    </row>
    <row r="10877" spans="1:6" x14ac:dyDescent="0.25">
      <c r="A10877" t="s">
        <v>13142</v>
      </c>
      <c r="B10877" t="s">
        <v>2110</v>
      </c>
      <c r="C10877" t="s">
        <v>1669</v>
      </c>
      <c r="D10877" t="str">
        <f>HYPERLINK("http://service.sap.com/sap/support/notes/1858800","1858800")</f>
        <v>1858800</v>
      </c>
      <c r="E10877">
        <v>1</v>
      </c>
      <c r="F10877" t="s">
        <v>12043</v>
      </c>
    </row>
    <row r="10878" spans="1:6" x14ac:dyDescent="0.25">
      <c r="A10878" t="s">
        <v>13142</v>
      </c>
      <c r="B10878" t="s">
        <v>2110</v>
      </c>
      <c r="C10878" t="s">
        <v>1669</v>
      </c>
      <c r="D10878" t="str">
        <f>HYPERLINK("http://service.sap.com/sap/support/notes/1862853","1862853")</f>
        <v>1862853</v>
      </c>
      <c r="E10878">
        <v>1</v>
      </c>
      <c r="F10878" t="s">
        <v>12042</v>
      </c>
    </row>
    <row r="10879" spans="1:6" x14ac:dyDescent="0.25">
      <c r="A10879" t="s">
        <v>13142</v>
      </c>
      <c r="B10879" t="s">
        <v>2110</v>
      </c>
      <c r="C10879" t="s">
        <v>1669</v>
      </c>
      <c r="D10879" t="str">
        <f>HYPERLINK("http://service.sap.com/sap/support/notes/1866668","1866668")</f>
        <v>1866668</v>
      </c>
      <c r="E10879">
        <v>2</v>
      </c>
      <c r="F10879" t="s">
        <v>12041</v>
      </c>
    </row>
    <row r="10880" spans="1:6" x14ac:dyDescent="0.25">
      <c r="A10880" t="s">
        <v>13142</v>
      </c>
      <c r="B10880" t="s">
        <v>2110</v>
      </c>
      <c r="C10880" t="s">
        <v>1669</v>
      </c>
      <c r="D10880" t="str">
        <f>HYPERLINK("http://service.sap.com/sap/support/notes/1867982","1867982")</f>
        <v>1867982</v>
      </c>
      <c r="E10880">
        <v>2</v>
      </c>
      <c r="F10880" t="s">
        <v>12040</v>
      </c>
    </row>
    <row r="10881" spans="1:6" x14ac:dyDescent="0.25">
      <c r="A10881" t="s">
        <v>13142</v>
      </c>
      <c r="B10881" t="s">
        <v>2110</v>
      </c>
      <c r="C10881" t="s">
        <v>1669</v>
      </c>
      <c r="D10881" t="str">
        <f>HYPERLINK("http://service.sap.com/sap/support/notes/1870281","1870281")</f>
        <v>1870281</v>
      </c>
      <c r="E10881">
        <v>2</v>
      </c>
      <c r="F10881" t="s">
        <v>12039</v>
      </c>
    </row>
    <row r="10882" spans="1:6" x14ac:dyDescent="0.25">
      <c r="A10882" t="s">
        <v>13142</v>
      </c>
      <c r="B10882" t="s">
        <v>2110</v>
      </c>
      <c r="C10882" t="s">
        <v>1669</v>
      </c>
      <c r="D10882" t="str">
        <f>HYPERLINK("http://service.sap.com/sap/support/notes/1876169","1876169")</f>
        <v>1876169</v>
      </c>
      <c r="E10882">
        <v>2</v>
      </c>
      <c r="F10882" t="s">
        <v>12038</v>
      </c>
    </row>
    <row r="10883" spans="1:6" x14ac:dyDescent="0.25">
      <c r="A10883" t="s">
        <v>13142</v>
      </c>
      <c r="B10883" t="s">
        <v>2110</v>
      </c>
      <c r="C10883" t="s">
        <v>1669</v>
      </c>
      <c r="D10883" t="str">
        <f>HYPERLINK("http://service.sap.com/sap/support/notes/1878428","1878428")</f>
        <v>1878428</v>
      </c>
      <c r="E10883">
        <v>1</v>
      </c>
      <c r="F10883" t="s">
        <v>12037</v>
      </c>
    </row>
    <row r="10884" spans="1:6" x14ac:dyDescent="0.25">
      <c r="A10884" t="s">
        <v>13142</v>
      </c>
      <c r="B10884" t="s">
        <v>2110</v>
      </c>
      <c r="C10884" t="s">
        <v>1669</v>
      </c>
      <c r="D10884" t="str">
        <f>HYPERLINK("http://service.sap.com/sap/support/notes/1880536","1880536")</f>
        <v>1880536</v>
      </c>
      <c r="E10884">
        <v>1</v>
      </c>
      <c r="F10884" t="s">
        <v>12036</v>
      </c>
    </row>
    <row r="10885" spans="1:6" x14ac:dyDescent="0.25">
      <c r="A10885" t="s">
        <v>13142</v>
      </c>
      <c r="B10885" t="s">
        <v>2110</v>
      </c>
      <c r="C10885" t="s">
        <v>1669</v>
      </c>
      <c r="D10885" t="str">
        <f>HYPERLINK("http://service.sap.com/sap/support/notes/1883328","1883328")</f>
        <v>1883328</v>
      </c>
      <c r="E10885">
        <v>1</v>
      </c>
      <c r="F10885" t="s">
        <v>12035</v>
      </c>
    </row>
    <row r="10886" spans="1:6" x14ac:dyDescent="0.25">
      <c r="A10886" t="s">
        <v>13142</v>
      </c>
      <c r="B10886" t="s">
        <v>2140</v>
      </c>
      <c r="C10886" t="s">
        <v>2141</v>
      </c>
      <c r="D10886" t="str">
        <f>HYPERLINK("http://service.sap.com/sap/support/notes/1881094","1881094")</f>
        <v>1881094</v>
      </c>
      <c r="E10886">
        <v>1</v>
      </c>
      <c r="F10886" t="s">
        <v>12034</v>
      </c>
    </row>
    <row r="10887" spans="1:6" x14ac:dyDescent="0.25">
      <c r="A10887" t="s">
        <v>13142</v>
      </c>
      <c r="B10887" t="s">
        <v>2143</v>
      </c>
      <c r="C10887" t="s">
        <v>1673</v>
      </c>
      <c r="D10887" t="str">
        <f>HYPERLINK("http://service.sap.com/sap/support/notes/1863197","1863197")</f>
        <v>1863197</v>
      </c>
      <c r="E10887">
        <v>2</v>
      </c>
      <c r="F10887" t="s">
        <v>12033</v>
      </c>
    </row>
    <row r="10888" spans="1:6" x14ac:dyDescent="0.25">
      <c r="A10888" t="s">
        <v>13142</v>
      </c>
      <c r="B10888" t="s">
        <v>2143</v>
      </c>
      <c r="C10888" t="s">
        <v>1673</v>
      </c>
      <c r="D10888" t="str">
        <f>HYPERLINK("http://service.sap.com/sap/support/notes/1873142","1873142")</f>
        <v>1873142</v>
      </c>
      <c r="E10888">
        <v>4</v>
      </c>
      <c r="F10888" t="s">
        <v>12032</v>
      </c>
    </row>
    <row r="10889" spans="1:6" x14ac:dyDescent="0.25">
      <c r="A10889" t="s">
        <v>13142</v>
      </c>
      <c r="B10889" t="s">
        <v>2143</v>
      </c>
      <c r="C10889" t="s">
        <v>1673</v>
      </c>
      <c r="D10889" t="str">
        <f>HYPERLINK("http://service.sap.com/sap/support/notes/1875447","1875447")</f>
        <v>1875447</v>
      </c>
      <c r="E10889">
        <v>1</v>
      </c>
      <c r="F10889" t="s">
        <v>12031</v>
      </c>
    </row>
    <row r="10890" spans="1:6" x14ac:dyDescent="0.25">
      <c r="A10890" t="s">
        <v>13142</v>
      </c>
      <c r="B10890" t="s">
        <v>2143</v>
      </c>
      <c r="C10890" t="s">
        <v>1673</v>
      </c>
      <c r="D10890" t="str">
        <f>HYPERLINK("http://service.sap.com/sap/support/notes/1884537","1884537")</f>
        <v>1884537</v>
      </c>
      <c r="E10890">
        <v>1</v>
      </c>
      <c r="F10890" t="s">
        <v>12030</v>
      </c>
    </row>
    <row r="10891" spans="1:6" x14ac:dyDescent="0.25">
      <c r="A10891" t="s">
        <v>13142</v>
      </c>
      <c r="B10891" t="s">
        <v>2147</v>
      </c>
      <c r="C10891" t="s">
        <v>2148</v>
      </c>
      <c r="D10891" t="str">
        <f>HYPERLINK("http://service.sap.com/sap/support/notes/1867914","1867914")</f>
        <v>1867914</v>
      </c>
      <c r="E10891">
        <v>1</v>
      </c>
      <c r="F10891" t="s">
        <v>12029</v>
      </c>
    </row>
    <row r="10892" spans="1:6" x14ac:dyDescent="0.25">
      <c r="A10892" t="s">
        <v>13142</v>
      </c>
      <c r="B10892" t="s">
        <v>2147</v>
      </c>
      <c r="C10892" t="s">
        <v>2148</v>
      </c>
      <c r="D10892" t="str">
        <f>HYPERLINK("http://service.sap.com/sap/support/notes/1873618","1873618")</f>
        <v>1873618</v>
      </c>
      <c r="E10892">
        <v>1</v>
      </c>
      <c r="F10892" t="s">
        <v>12028</v>
      </c>
    </row>
    <row r="10893" spans="1:6" x14ac:dyDescent="0.25">
      <c r="A10893" t="s">
        <v>13142</v>
      </c>
      <c r="B10893" t="s">
        <v>2152</v>
      </c>
      <c r="C10893" t="s">
        <v>2153</v>
      </c>
      <c r="D10893" t="str">
        <f>HYPERLINK("http://service.sap.com/sap/support/notes/1879850","1879850")</f>
        <v>1879850</v>
      </c>
      <c r="E10893">
        <v>1</v>
      </c>
      <c r="F10893" t="s">
        <v>12027</v>
      </c>
    </row>
    <row r="10894" spans="1:6" x14ac:dyDescent="0.25">
      <c r="A10894" t="s">
        <v>13142</v>
      </c>
      <c r="B10894" t="s">
        <v>2160</v>
      </c>
      <c r="C10894" t="s">
        <v>2161</v>
      </c>
      <c r="D10894" t="str">
        <f>HYPERLINK("http://service.sap.com/sap/support/notes/1808199","1808199")</f>
        <v>1808199</v>
      </c>
      <c r="E10894">
        <v>2</v>
      </c>
      <c r="F10894" t="s">
        <v>12026</v>
      </c>
    </row>
    <row r="10895" spans="1:6" x14ac:dyDescent="0.25">
      <c r="A10895" t="s">
        <v>13142</v>
      </c>
      <c r="B10895" t="s">
        <v>2160</v>
      </c>
      <c r="C10895" t="s">
        <v>2161</v>
      </c>
      <c r="D10895" t="str">
        <f>HYPERLINK("http://service.sap.com/sap/support/notes/1846001","1846001")</f>
        <v>1846001</v>
      </c>
      <c r="E10895">
        <v>2</v>
      </c>
      <c r="F10895" t="s">
        <v>12025</v>
      </c>
    </row>
    <row r="10896" spans="1:6" x14ac:dyDescent="0.25">
      <c r="A10896" t="s">
        <v>13142</v>
      </c>
      <c r="B10896" t="s">
        <v>2160</v>
      </c>
      <c r="C10896" t="s">
        <v>2161</v>
      </c>
      <c r="D10896" t="str">
        <f>HYPERLINK("http://service.sap.com/sap/support/notes/1869466","1869466")</f>
        <v>1869466</v>
      </c>
      <c r="E10896">
        <v>1</v>
      </c>
      <c r="F10896" t="s">
        <v>12024</v>
      </c>
    </row>
    <row r="10897" spans="1:6" x14ac:dyDescent="0.25">
      <c r="A10897" t="s">
        <v>13142</v>
      </c>
      <c r="B10897" t="s">
        <v>2160</v>
      </c>
      <c r="C10897" t="s">
        <v>2161</v>
      </c>
      <c r="D10897" t="str">
        <f>HYPERLINK("http://service.sap.com/sap/support/notes/1888802","1888802")</f>
        <v>1888802</v>
      </c>
      <c r="E10897">
        <v>3</v>
      </c>
      <c r="F10897" t="s">
        <v>12023</v>
      </c>
    </row>
    <row r="10898" spans="1:6" x14ac:dyDescent="0.25">
      <c r="A10898" t="s">
        <v>13142</v>
      </c>
      <c r="B10898" t="s">
        <v>63</v>
      </c>
      <c r="C10898" t="s">
        <v>2171</v>
      </c>
      <c r="D10898" t="str">
        <f>HYPERLINK("http://service.sap.com/sap/support/notes/1879755","1879755")</f>
        <v>1879755</v>
      </c>
      <c r="E10898">
        <v>1</v>
      </c>
      <c r="F10898" t="s">
        <v>12022</v>
      </c>
    </row>
    <row r="10899" spans="1:6" x14ac:dyDescent="0.25">
      <c r="A10899" t="s">
        <v>13142</v>
      </c>
      <c r="B10899" t="s">
        <v>63</v>
      </c>
      <c r="C10899" t="s">
        <v>2171</v>
      </c>
      <c r="D10899" t="str">
        <f>HYPERLINK("http://service.sap.com/sap/support/notes/1883813","1883813")</f>
        <v>1883813</v>
      </c>
      <c r="E10899">
        <v>1</v>
      </c>
      <c r="F10899" t="s">
        <v>12021</v>
      </c>
    </row>
    <row r="10900" spans="1:6" x14ac:dyDescent="0.25">
      <c r="A10900" t="s">
        <v>13142</v>
      </c>
      <c r="B10900" t="s">
        <v>63</v>
      </c>
      <c r="C10900" t="s">
        <v>2171</v>
      </c>
      <c r="D10900" t="str">
        <f>HYPERLINK("http://service.sap.com/sap/support/notes/1901533","1901533")</f>
        <v>1901533</v>
      </c>
      <c r="E10900">
        <v>1</v>
      </c>
      <c r="F10900" t="s">
        <v>12020</v>
      </c>
    </row>
    <row r="10901" spans="1:6" x14ac:dyDescent="0.25">
      <c r="A10901" t="s">
        <v>13142</v>
      </c>
      <c r="B10901" t="s">
        <v>2184</v>
      </c>
      <c r="C10901" t="s">
        <v>2185</v>
      </c>
      <c r="D10901" t="str">
        <f>HYPERLINK("http://service.sap.com/sap/support/notes/1897884","1897884")</f>
        <v>1897884</v>
      </c>
      <c r="E10901">
        <v>2</v>
      </c>
      <c r="F10901" t="s">
        <v>12019</v>
      </c>
    </row>
    <row r="10902" spans="1:6" x14ac:dyDescent="0.25">
      <c r="A10902" t="s">
        <v>13142</v>
      </c>
      <c r="B10902" t="s">
        <v>2184</v>
      </c>
      <c r="C10902" t="s">
        <v>2185</v>
      </c>
      <c r="D10902" t="str">
        <f>HYPERLINK("http://service.sap.com/sap/support/notes/1900649","1900649")</f>
        <v>1900649</v>
      </c>
      <c r="E10902">
        <v>2</v>
      </c>
      <c r="F10902" t="s">
        <v>12018</v>
      </c>
    </row>
    <row r="10903" spans="1:6" x14ac:dyDescent="0.25">
      <c r="A10903" t="s">
        <v>13142</v>
      </c>
      <c r="B10903" t="s">
        <v>2184</v>
      </c>
      <c r="C10903" t="s">
        <v>2185</v>
      </c>
      <c r="D10903" t="str">
        <f>HYPERLINK("http://service.sap.com/sap/support/notes/1900738","1900738")</f>
        <v>1900738</v>
      </c>
      <c r="E10903">
        <v>1</v>
      </c>
    </row>
    <row r="10904" spans="1:6" x14ac:dyDescent="0.25">
      <c r="A10904" t="s">
        <v>13142</v>
      </c>
      <c r="B10904" t="s">
        <v>7705</v>
      </c>
      <c r="C10904" t="s">
        <v>7706</v>
      </c>
      <c r="D10904" t="str">
        <f>HYPERLINK("http://service.sap.com/sap/support/notes/1865309","1865309")</f>
        <v>1865309</v>
      </c>
      <c r="E10904">
        <v>2</v>
      </c>
      <c r="F10904" t="s">
        <v>12017</v>
      </c>
    </row>
    <row r="10905" spans="1:6" x14ac:dyDescent="0.25">
      <c r="A10905" t="s">
        <v>13142</v>
      </c>
      <c r="B10905" t="s">
        <v>7705</v>
      </c>
      <c r="C10905" t="s">
        <v>7706</v>
      </c>
      <c r="D10905" t="str">
        <f>HYPERLINK("http://service.sap.com/sap/support/notes/1883910","1883910")</f>
        <v>1883910</v>
      </c>
      <c r="E10905">
        <v>1</v>
      </c>
      <c r="F10905" t="s">
        <v>12016</v>
      </c>
    </row>
    <row r="10906" spans="1:6" x14ac:dyDescent="0.25">
      <c r="A10906" t="s">
        <v>13142</v>
      </c>
      <c r="B10906" t="s">
        <v>7705</v>
      </c>
      <c r="C10906" t="s">
        <v>7706</v>
      </c>
      <c r="D10906" t="str">
        <f>HYPERLINK("http://service.sap.com/sap/support/notes/1887116","1887116")</f>
        <v>1887116</v>
      </c>
      <c r="E10906">
        <v>3</v>
      </c>
      <c r="F10906" t="s">
        <v>12015</v>
      </c>
    </row>
    <row r="10907" spans="1:6" x14ac:dyDescent="0.25">
      <c r="A10907" t="s">
        <v>13142</v>
      </c>
      <c r="B10907" t="s">
        <v>7705</v>
      </c>
      <c r="C10907" t="s">
        <v>7706</v>
      </c>
      <c r="D10907" t="str">
        <f>HYPERLINK("http://service.sap.com/sap/support/notes/1895639","1895639")</f>
        <v>1895639</v>
      </c>
      <c r="E10907">
        <v>2</v>
      </c>
      <c r="F10907" t="s">
        <v>12014</v>
      </c>
    </row>
    <row r="10908" spans="1:6" x14ac:dyDescent="0.25">
      <c r="A10908" t="s">
        <v>13142</v>
      </c>
      <c r="B10908" t="s">
        <v>12013</v>
      </c>
      <c r="C10908" t="s">
        <v>12012</v>
      </c>
      <c r="D10908" t="str">
        <f>HYPERLINK("http://service.sap.com/sap/support/notes/1896482","1896482")</f>
        <v>1896482</v>
      </c>
      <c r="E10908">
        <v>1</v>
      </c>
      <c r="F10908" t="s">
        <v>12011</v>
      </c>
    </row>
    <row r="10909" spans="1:6" x14ac:dyDescent="0.25">
      <c r="A10909" t="s">
        <v>13142</v>
      </c>
      <c r="B10909" t="s">
        <v>5359</v>
      </c>
      <c r="C10909" t="s">
        <v>5360</v>
      </c>
      <c r="D10909" t="str">
        <f>HYPERLINK("http://service.sap.com/sap/support/notes/1877638","1877638")</f>
        <v>1877638</v>
      </c>
      <c r="E10909">
        <v>3</v>
      </c>
      <c r="F10909" t="s">
        <v>12010</v>
      </c>
    </row>
    <row r="10910" spans="1:6" x14ac:dyDescent="0.25">
      <c r="A10910" t="s">
        <v>13142</v>
      </c>
      <c r="B10910" t="s">
        <v>5359</v>
      </c>
      <c r="C10910" t="s">
        <v>5360</v>
      </c>
      <c r="D10910" t="str">
        <f>HYPERLINK("http://service.sap.com/sap/support/notes/1891946","1891946")</f>
        <v>1891946</v>
      </c>
      <c r="E10910">
        <v>2</v>
      </c>
      <c r="F10910" t="s">
        <v>12009</v>
      </c>
    </row>
    <row r="10911" spans="1:6" x14ac:dyDescent="0.25">
      <c r="A10911" t="s">
        <v>13142</v>
      </c>
      <c r="B10911" t="s">
        <v>5359</v>
      </c>
      <c r="C10911" t="s">
        <v>5360</v>
      </c>
      <c r="D10911" t="str">
        <f>HYPERLINK("http://service.sap.com/sap/support/notes/1893661","1893661")</f>
        <v>1893661</v>
      </c>
      <c r="E10911">
        <v>3</v>
      </c>
      <c r="F10911" t="s">
        <v>12008</v>
      </c>
    </row>
    <row r="10912" spans="1:6" x14ac:dyDescent="0.25">
      <c r="A10912" t="s">
        <v>13142</v>
      </c>
      <c r="B10912" t="s">
        <v>5359</v>
      </c>
      <c r="C10912" t="s">
        <v>5360</v>
      </c>
      <c r="D10912" t="str">
        <f>HYPERLINK("http://service.sap.com/sap/support/notes/1898968","1898968")</f>
        <v>1898968</v>
      </c>
      <c r="E10912">
        <v>2</v>
      </c>
      <c r="F10912" t="s">
        <v>12007</v>
      </c>
    </row>
    <row r="10913" spans="1:6" x14ac:dyDescent="0.25">
      <c r="A10913" t="s">
        <v>13142</v>
      </c>
      <c r="B10913" t="s">
        <v>12006</v>
      </c>
      <c r="C10913" t="s">
        <v>3038</v>
      </c>
      <c r="D10913" t="str">
        <f>HYPERLINK("http://service.sap.com/sap/support/notes/1882164","1882164")</f>
        <v>1882164</v>
      </c>
      <c r="E10913">
        <v>1</v>
      </c>
    </row>
    <row r="10914" spans="1:6" x14ac:dyDescent="0.25">
      <c r="A10914" t="s">
        <v>13142</v>
      </c>
      <c r="B10914" t="s">
        <v>2193</v>
      </c>
      <c r="C10914" t="s">
        <v>2194</v>
      </c>
      <c r="D10914" t="str">
        <f>HYPERLINK("http://service.sap.com/sap/support/notes/1900642","1900642")</f>
        <v>1900642</v>
      </c>
      <c r="E10914">
        <v>1</v>
      </c>
      <c r="F10914" t="s">
        <v>12005</v>
      </c>
    </row>
    <row r="10915" spans="1:6" x14ac:dyDescent="0.25">
      <c r="A10915" t="s">
        <v>13142</v>
      </c>
      <c r="B10915" t="s">
        <v>5364</v>
      </c>
      <c r="C10915" t="s">
        <v>5365</v>
      </c>
    </row>
    <row r="10916" spans="1:6" x14ac:dyDescent="0.25">
      <c r="A10916" t="s">
        <v>13142</v>
      </c>
      <c r="B10916" t="s">
        <v>5366</v>
      </c>
      <c r="C10916" t="s">
        <v>5367</v>
      </c>
      <c r="D10916" t="str">
        <f>HYPERLINK("http://service.sap.com/sap/support/notes/1877445","1877445")</f>
        <v>1877445</v>
      </c>
      <c r="E10916">
        <v>1</v>
      </c>
      <c r="F10916" t="s">
        <v>12004</v>
      </c>
    </row>
    <row r="10917" spans="1:6" x14ac:dyDescent="0.25">
      <c r="A10917" t="s">
        <v>13142</v>
      </c>
      <c r="B10917" t="s">
        <v>5366</v>
      </c>
      <c r="C10917" t="s">
        <v>5367</v>
      </c>
      <c r="D10917" t="str">
        <f>HYPERLINK("http://service.sap.com/sap/support/notes/1880169","1880169")</f>
        <v>1880169</v>
      </c>
      <c r="E10917">
        <v>1</v>
      </c>
      <c r="F10917" t="s">
        <v>12003</v>
      </c>
    </row>
    <row r="10918" spans="1:6" x14ac:dyDescent="0.25">
      <c r="A10918" t="s">
        <v>13142</v>
      </c>
      <c r="B10918" t="s">
        <v>2203</v>
      </c>
      <c r="C10918" t="s">
        <v>218</v>
      </c>
    </row>
    <row r="10919" spans="1:6" x14ac:dyDescent="0.25">
      <c r="A10919" t="s">
        <v>13142</v>
      </c>
      <c r="B10919" t="s">
        <v>2204</v>
      </c>
      <c r="C10919" t="s">
        <v>2205</v>
      </c>
    </row>
    <row r="10920" spans="1:6" x14ac:dyDescent="0.25">
      <c r="A10920" t="s">
        <v>13142</v>
      </c>
      <c r="B10920" t="s">
        <v>2206</v>
      </c>
      <c r="C10920" t="s">
        <v>2207</v>
      </c>
      <c r="D10920" t="str">
        <f>HYPERLINK("http://service.sap.com/sap/support/notes/1878800","1878800")</f>
        <v>1878800</v>
      </c>
      <c r="E10920">
        <v>1</v>
      </c>
    </row>
    <row r="10921" spans="1:6" x14ac:dyDescent="0.25">
      <c r="A10921" t="s">
        <v>13142</v>
      </c>
      <c r="B10921" t="s">
        <v>2206</v>
      </c>
      <c r="C10921" t="s">
        <v>2207</v>
      </c>
      <c r="D10921" t="str">
        <f>HYPERLINK("http://service.sap.com/sap/support/notes/1884849","1884849")</f>
        <v>1884849</v>
      </c>
      <c r="E10921">
        <v>1</v>
      </c>
      <c r="F10921" t="s">
        <v>12002</v>
      </c>
    </row>
    <row r="10922" spans="1:6" x14ac:dyDescent="0.25">
      <c r="A10922" t="s">
        <v>13142</v>
      </c>
      <c r="B10922" t="s">
        <v>2209</v>
      </c>
      <c r="C10922" t="s">
        <v>1635</v>
      </c>
    </row>
    <row r="10923" spans="1:6" x14ac:dyDescent="0.25">
      <c r="A10923" t="s">
        <v>13142</v>
      </c>
      <c r="B10923" t="s">
        <v>2210</v>
      </c>
      <c r="C10923" t="s">
        <v>151</v>
      </c>
      <c r="D10923" t="str">
        <f>HYPERLINK("http://service.sap.com/sap/support/notes/1868005","1868005")</f>
        <v>1868005</v>
      </c>
      <c r="E10923">
        <v>2</v>
      </c>
      <c r="F10923" t="s">
        <v>12001</v>
      </c>
    </row>
    <row r="10924" spans="1:6" x14ac:dyDescent="0.25">
      <c r="A10924" t="s">
        <v>13142</v>
      </c>
      <c r="B10924" t="s">
        <v>2214</v>
      </c>
      <c r="C10924" t="s">
        <v>2215</v>
      </c>
      <c r="D10924" t="str">
        <f>HYPERLINK("http://service.sap.com/sap/support/notes/1893959","1893959")</f>
        <v>1893959</v>
      </c>
      <c r="E10924">
        <v>1</v>
      </c>
      <c r="F10924" t="s">
        <v>12000</v>
      </c>
    </row>
    <row r="10925" spans="1:6" x14ac:dyDescent="0.25">
      <c r="A10925" t="s">
        <v>13142</v>
      </c>
      <c r="B10925" t="s">
        <v>2217</v>
      </c>
      <c r="C10925" t="s">
        <v>2218</v>
      </c>
      <c r="D10925" t="str">
        <f>HYPERLINK("http://service.sap.com/sap/support/notes/1787774","1787774")</f>
        <v>1787774</v>
      </c>
      <c r="E10925">
        <v>2</v>
      </c>
      <c r="F10925" t="s">
        <v>11999</v>
      </c>
    </row>
    <row r="10926" spans="1:6" x14ac:dyDescent="0.25">
      <c r="A10926" t="s">
        <v>13142</v>
      </c>
      <c r="B10926" t="s">
        <v>2217</v>
      </c>
      <c r="C10926" t="s">
        <v>2218</v>
      </c>
      <c r="D10926" t="str">
        <f>HYPERLINK("http://service.sap.com/sap/support/notes/1832126","1832126")</f>
        <v>1832126</v>
      </c>
      <c r="E10926">
        <v>3</v>
      </c>
      <c r="F10926" t="s">
        <v>11998</v>
      </c>
    </row>
    <row r="10927" spans="1:6" x14ac:dyDescent="0.25">
      <c r="A10927" t="s">
        <v>13142</v>
      </c>
      <c r="B10927" t="s">
        <v>2222</v>
      </c>
      <c r="C10927" t="s">
        <v>2223</v>
      </c>
      <c r="D10927" t="str">
        <f>HYPERLINK("http://service.sap.com/sap/support/notes/1785839","1785839")</f>
        <v>1785839</v>
      </c>
      <c r="E10927">
        <v>2</v>
      </c>
      <c r="F10927" t="s">
        <v>11997</v>
      </c>
    </row>
    <row r="10928" spans="1:6" x14ac:dyDescent="0.25">
      <c r="A10928" t="s">
        <v>13142</v>
      </c>
      <c r="B10928" t="s">
        <v>2222</v>
      </c>
      <c r="C10928" t="s">
        <v>2223</v>
      </c>
      <c r="D10928" t="str">
        <f>HYPERLINK("http://service.sap.com/sap/support/notes/1889678","1889678")</f>
        <v>1889678</v>
      </c>
      <c r="E10928">
        <v>2</v>
      </c>
      <c r="F10928" t="s">
        <v>11996</v>
      </c>
    </row>
    <row r="10929" spans="1:6" x14ac:dyDescent="0.25">
      <c r="A10929" t="s">
        <v>13142</v>
      </c>
      <c r="B10929" t="s">
        <v>2222</v>
      </c>
      <c r="C10929" t="s">
        <v>2223</v>
      </c>
      <c r="D10929" t="str">
        <f>HYPERLINK("http://service.sap.com/sap/support/notes/1895914","1895914")</f>
        <v>1895914</v>
      </c>
      <c r="E10929">
        <v>1</v>
      </c>
      <c r="F10929" t="s">
        <v>11995</v>
      </c>
    </row>
    <row r="10930" spans="1:6" x14ac:dyDescent="0.25">
      <c r="A10930" t="s">
        <v>13142</v>
      </c>
      <c r="B10930" t="s">
        <v>2222</v>
      </c>
      <c r="C10930" t="s">
        <v>2223</v>
      </c>
      <c r="D10930" t="str">
        <f>HYPERLINK("http://service.sap.com/sap/support/notes/1897374","1897374")</f>
        <v>1897374</v>
      </c>
      <c r="E10930">
        <v>2</v>
      </c>
      <c r="F10930" t="s">
        <v>11994</v>
      </c>
    </row>
    <row r="10931" spans="1:6" x14ac:dyDescent="0.25">
      <c r="A10931" t="s">
        <v>13142</v>
      </c>
      <c r="B10931" t="s">
        <v>7728</v>
      </c>
      <c r="C10931" t="s">
        <v>7729</v>
      </c>
      <c r="D10931" t="str">
        <f>HYPERLINK("http://service.sap.com/sap/support/notes/1819523","1819523")</f>
        <v>1819523</v>
      </c>
      <c r="E10931">
        <v>1</v>
      </c>
      <c r="F10931" t="s">
        <v>11993</v>
      </c>
    </row>
    <row r="10932" spans="1:6" x14ac:dyDescent="0.25">
      <c r="A10932" t="s">
        <v>13142</v>
      </c>
      <c r="B10932" t="s">
        <v>2226</v>
      </c>
      <c r="C10932" t="s">
        <v>2227</v>
      </c>
      <c r="D10932" t="str">
        <f>HYPERLINK("http://service.sap.com/sap/support/notes/1769078","1769078")</f>
        <v>1769078</v>
      </c>
      <c r="E10932">
        <v>1</v>
      </c>
      <c r="F10932" t="s">
        <v>11992</v>
      </c>
    </row>
    <row r="10933" spans="1:6" x14ac:dyDescent="0.25">
      <c r="A10933" t="s">
        <v>13142</v>
      </c>
      <c r="B10933" t="s">
        <v>2226</v>
      </c>
      <c r="C10933" t="s">
        <v>2227</v>
      </c>
      <c r="D10933" t="str">
        <f>HYPERLINK("http://service.sap.com/sap/support/notes/1873131","1873131")</f>
        <v>1873131</v>
      </c>
      <c r="E10933">
        <v>3</v>
      </c>
      <c r="F10933" t="s">
        <v>5378</v>
      </c>
    </row>
    <row r="10934" spans="1:6" x14ac:dyDescent="0.25">
      <c r="A10934" t="s">
        <v>13142</v>
      </c>
      <c r="B10934" t="s">
        <v>2226</v>
      </c>
      <c r="C10934" t="s">
        <v>2227</v>
      </c>
      <c r="D10934" t="str">
        <f>HYPERLINK("http://service.sap.com/sap/support/notes/1873173","1873173")</f>
        <v>1873173</v>
      </c>
      <c r="E10934">
        <v>1</v>
      </c>
      <c r="F10934" t="s">
        <v>11991</v>
      </c>
    </row>
    <row r="10935" spans="1:6" x14ac:dyDescent="0.25">
      <c r="A10935" t="s">
        <v>13142</v>
      </c>
      <c r="B10935" t="s">
        <v>2226</v>
      </c>
      <c r="C10935" t="s">
        <v>2227</v>
      </c>
      <c r="D10935" t="str">
        <f>HYPERLINK("http://service.sap.com/sap/support/notes/1888884","1888884")</f>
        <v>1888884</v>
      </c>
      <c r="E10935">
        <v>1</v>
      </c>
      <c r="F10935" t="s">
        <v>11990</v>
      </c>
    </row>
    <row r="10936" spans="1:6" x14ac:dyDescent="0.25">
      <c r="A10936" t="s">
        <v>13142</v>
      </c>
      <c r="B10936" t="s">
        <v>5381</v>
      </c>
      <c r="C10936" t="s">
        <v>5382</v>
      </c>
      <c r="D10936" t="str">
        <f>HYPERLINK("http://service.sap.com/sap/support/notes/1884620","1884620")</f>
        <v>1884620</v>
      </c>
      <c r="E10936">
        <v>2</v>
      </c>
      <c r="F10936" t="s">
        <v>11989</v>
      </c>
    </row>
    <row r="10937" spans="1:6" x14ac:dyDescent="0.25">
      <c r="A10937" t="s">
        <v>13142</v>
      </c>
      <c r="B10937" t="s">
        <v>2232</v>
      </c>
      <c r="C10937" t="s">
        <v>2233</v>
      </c>
      <c r="D10937" t="str">
        <f>HYPERLINK("http://service.sap.com/sap/support/notes/1887715","1887715")</f>
        <v>1887715</v>
      </c>
      <c r="E10937">
        <v>3</v>
      </c>
      <c r="F10937" t="s">
        <v>11988</v>
      </c>
    </row>
    <row r="10938" spans="1:6" x14ac:dyDescent="0.25">
      <c r="A10938" t="s">
        <v>13142</v>
      </c>
      <c r="B10938" t="s">
        <v>2235</v>
      </c>
      <c r="C10938" t="s">
        <v>2236</v>
      </c>
      <c r="D10938" t="str">
        <f>HYPERLINK("http://service.sap.com/sap/support/notes/1764744","1764744")</f>
        <v>1764744</v>
      </c>
      <c r="E10938">
        <v>1</v>
      </c>
      <c r="F10938" t="s">
        <v>11987</v>
      </c>
    </row>
    <row r="10939" spans="1:6" x14ac:dyDescent="0.25">
      <c r="A10939" t="s">
        <v>13142</v>
      </c>
      <c r="B10939" t="s">
        <v>2235</v>
      </c>
      <c r="C10939" t="s">
        <v>2236</v>
      </c>
      <c r="D10939" t="str">
        <f>HYPERLINK("http://service.sap.com/sap/support/notes/1788574","1788574")</f>
        <v>1788574</v>
      </c>
      <c r="E10939">
        <v>1</v>
      </c>
      <c r="F10939" t="s">
        <v>11986</v>
      </c>
    </row>
    <row r="10940" spans="1:6" x14ac:dyDescent="0.25">
      <c r="A10940" t="s">
        <v>13142</v>
      </c>
      <c r="B10940" t="s">
        <v>2235</v>
      </c>
      <c r="C10940" t="s">
        <v>2236</v>
      </c>
      <c r="D10940" t="str">
        <f>HYPERLINK("http://service.sap.com/sap/support/notes/1802645","1802645")</f>
        <v>1802645</v>
      </c>
      <c r="E10940">
        <v>1</v>
      </c>
      <c r="F10940" t="s">
        <v>11985</v>
      </c>
    </row>
    <row r="10941" spans="1:6" x14ac:dyDescent="0.25">
      <c r="A10941" t="s">
        <v>13142</v>
      </c>
      <c r="B10941" t="s">
        <v>2235</v>
      </c>
      <c r="C10941" t="s">
        <v>2236</v>
      </c>
      <c r="D10941" t="str">
        <f>HYPERLINK("http://service.sap.com/sap/support/notes/1847045","1847045")</f>
        <v>1847045</v>
      </c>
      <c r="E10941">
        <v>2</v>
      </c>
      <c r="F10941" t="s">
        <v>11984</v>
      </c>
    </row>
    <row r="10942" spans="1:6" x14ac:dyDescent="0.25">
      <c r="A10942" t="s">
        <v>13142</v>
      </c>
      <c r="B10942" t="s">
        <v>2243</v>
      </c>
      <c r="C10942" t="s">
        <v>2244</v>
      </c>
      <c r="D10942" t="str">
        <f>HYPERLINK("http://service.sap.com/sap/support/notes/1870531","1870531")</f>
        <v>1870531</v>
      </c>
      <c r="E10942">
        <v>1</v>
      </c>
      <c r="F10942" t="s">
        <v>11983</v>
      </c>
    </row>
    <row r="10943" spans="1:6" x14ac:dyDescent="0.25">
      <c r="A10943" t="s">
        <v>13142</v>
      </c>
      <c r="B10943" t="s">
        <v>2243</v>
      </c>
      <c r="C10943" t="s">
        <v>2244</v>
      </c>
      <c r="D10943" t="str">
        <f>HYPERLINK("http://service.sap.com/sap/support/notes/1870532","1870532")</f>
        <v>1870532</v>
      </c>
      <c r="E10943">
        <v>1</v>
      </c>
      <c r="F10943" t="s">
        <v>11982</v>
      </c>
    </row>
    <row r="10944" spans="1:6" x14ac:dyDescent="0.25">
      <c r="A10944" t="s">
        <v>13142</v>
      </c>
      <c r="B10944" t="s">
        <v>2243</v>
      </c>
      <c r="C10944" t="s">
        <v>2244</v>
      </c>
      <c r="D10944" t="str">
        <f>HYPERLINK("http://service.sap.com/sap/support/notes/1876411","1876411")</f>
        <v>1876411</v>
      </c>
      <c r="E10944">
        <v>1</v>
      </c>
      <c r="F10944" t="s">
        <v>11981</v>
      </c>
    </row>
    <row r="10945" spans="1:6" x14ac:dyDescent="0.25">
      <c r="A10945" t="s">
        <v>13142</v>
      </c>
      <c r="B10945" t="s">
        <v>2243</v>
      </c>
      <c r="C10945" t="s">
        <v>2244</v>
      </c>
      <c r="D10945" t="str">
        <f>HYPERLINK("http://service.sap.com/sap/support/notes/1878062","1878062")</f>
        <v>1878062</v>
      </c>
      <c r="E10945">
        <v>2</v>
      </c>
      <c r="F10945" t="s">
        <v>11980</v>
      </c>
    </row>
    <row r="10946" spans="1:6" x14ac:dyDescent="0.25">
      <c r="A10946" t="s">
        <v>13142</v>
      </c>
      <c r="B10946" t="s">
        <v>2243</v>
      </c>
      <c r="C10946" t="s">
        <v>2244</v>
      </c>
      <c r="D10946" t="str">
        <f>HYPERLINK("http://service.sap.com/sap/support/notes/1881246","1881246")</f>
        <v>1881246</v>
      </c>
      <c r="E10946">
        <v>2</v>
      </c>
      <c r="F10946" t="s">
        <v>11979</v>
      </c>
    </row>
    <row r="10947" spans="1:6" x14ac:dyDescent="0.25">
      <c r="A10947" t="s">
        <v>13142</v>
      </c>
      <c r="B10947" t="s">
        <v>2243</v>
      </c>
      <c r="C10947" t="s">
        <v>2244</v>
      </c>
      <c r="D10947" t="str">
        <f>HYPERLINK("http://service.sap.com/sap/support/notes/1895376","1895376")</f>
        <v>1895376</v>
      </c>
      <c r="E10947">
        <v>1</v>
      </c>
      <c r="F10947" t="s">
        <v>11978</v>
      </c>
    </row>
    <row r="10948" spans="1:6" x14ac:dyDescent="0.25">
      <c r="A10948" t="s">
        <v>13142</v>
      </c>
      <c r="B10948" t="s">
        <v>2248</v>
      </c>
      <c r="C10948" t="s">
        <v>2249</v>
      </c>
      <c r="D10948" t="str">
        <f>HYPERLINK("http://service.sap.com/sap/support/notes/1868370","1868370")</f>
        <v>1868370</v>
      </c>
      <c r="E10948">
        <v>2</v>
      </c>
      <c r="F10948" t="s">
        <v>11977</v>
      </c>
    </row>
    <row r="10949" spans="1:6" x14ac:dyDescent="0.25">
      <c r="A10949" t="s">
        <v>13142</v>
      </c>
      <c r="B10949" t="s">
        <v>2251</v>
      </c>
      <c r="C10949" t="s">
        <v>2252</v>
      </c>
      <c r="D10949" t="str">
        <f>HYPERLINK("http://service.sap.com/sap/support/notes/1870278","1870278")</f>
        <v>1870278</v>
      </c>
      <c r="E10949">
        <v>1</v>
      </c>
      <c r="F10949" t="s">
        <v>11976</v>
      </c>
    </row>
    <row r="10950" spans="1:6" x14ac:dyDescent="0.25">
      <c r="A10950" t="s">
        <v>13142</v>
      </c>
      <c r="B10950" t="s">
        <v>2258</v>
      </c>
      <c r="C10950" t="s">
        <v>2259</v>
      </c>
    </row>
    <row r="10951" spans="1:6" x14ac:dyDescent="0.25">
      <c r="A10951" t="s">
        <v>13142</v>
      </c>
      <c r="B10951" t="s">
        <v>11974</v>
      </c>
      <c r="C10951" t="s">
        <v>11973</v>
      </c>
      <c r="D10951" t="str">
        <f>HYPERLINK("http://service.sap.com/sap/support/notes/1898031","1898031")</f>
        <v>1898031</v>
      </c>
      <c r="E10951">
        <v>3</v>
      </c>
      <c r="F10951" t="s">
        <v>11975</v>
      </c>
    </row>
    <row r="10952" spans="1:6" x14ac:dyDescent="0.25">
      <c r="A10952" t="s">
        <v>13142</v>
      </c>
      <c r="B10952" t="s">
        <v>11974</v>
      </c>
      <c r="C10952" t="s">
        <v>11973</v>
      </c>
      <c r="D10952" t="str">
        <f>HYPERLINK("http://service.sap.com/sap/support/notes/1899716","1899716")</f>
        <v>1899716</v>
      </c>
      <c r="E10952">
        <v>1</v>
      </c>
      <c r="F10952" t="s">
        <v>11972</v>
      </c>
    </row>
    <row r="10953" spans="1:6" x14ac:dyDescent="0.25">
      <c r="A10953" t="s">
        <v>13142</v>
      </c>
      <c r="B10953" t="s">
        <v>2263</v>
      </c>
      <c r="C10953" t="s">
        <v>1537</v>
      </c>
      <c r="D10953" t="str">
        <f>HYPERLINK("http://service.sap.com/sap/support/notes/1878909","1878909")</f>
        <v>1878909</v>
      </c>
      <c r="E10953">
        <v>4</v>
      </c>
      <c r="F10953" t="s">
        <v>11971</v>
      </c>
    </row>
    <row r="10954" spans="1:6" x14ac:dyDescent="0.25">
      <c r="A10954" t="s">
        <v>13142</v>
      </c>
      <c r="B10954" t="s">
        <v>2264</v>
      </c>
      <c r="C10954" t="s">
        <v>2265</v>
      </c>
      <c r="D10954" t="str">
        <f>HYPERLINK("http://service.sap.com/sap/support/notes/1884105","1884105")</f>
        <v>1884105</v>
      </c>
      <c r="E10954">
        <v>1</v>
      </c>
      <c r="F10954" t="s">
        <v>11970</v>
      </c>
    </row>
    <row r="10955" spans="1:6" x14ac:dyDescent="0.25">
      <c r="A10955" t="s">
        <v>13142</v>
      </c>
      <c r="B10955" t="s">
        <v>2264</v>
      </c>
      <c r="C10955" t="s">
        <v>2265</v>
      </c>
      <c r="D10955" t="str">
        <f>HYPERLINK("http://service.sap.com/sap/support/notes/1885731","1885731")</f>
        <v>1885731</v>
      </c>
      <c r="E10955">
        <v>2</v>
      </c>
      <c r="F10955" t="s">
        <v>11969</v>
      </c>
    </row>
    <row r="10956" spans="1:6" x14ac:dyDescent="0.25">
      <c r="A10956" t="s">
        <v>13142</v>
      </c>
      <c r="B10956" t="s">
        <v>2264</v>
      </c>
      <c r="C10956" t="s">
        <v>2265</v>
      </c>
      <c r="D10956" t="str">
        <f>HYPERLINK("http://service.sap.com/sap/support/notes/1893687","1893687")</f>
        <v>1893687</v>
      </c>
      <c r="E10956">
        <v>1</v>
      </c>
      <c r="F10956" t="s">
        <v>11968</v>
      </c>
    </row>
    <row r="10957" spans="1:6" x14ac:dyDescent="0.25">
      <c r="A10957" t="s">
        <v>13142</v>
      </c>
      <c r="B10957" t="s">
        <v>2270</v>
      </c>
      <c r="C10957" t="s">
        <v>2265</v>
      </c>
      <c r="D10957" t="str">
        <f>HYPERLINK("http://service.sap.com/sap/support/notes/1896239","1896239")</f>
        <v>1896239</v>
      </c>
      <c r="E10957">
        <v>1</v>
      </c>
      <c r="F10957" t="s">
        <v>11967</v>
      </c>
    </row>
    <row r="10958" spans="1:6" x14ac:dyDescent="0.25">
      <c r="A10958" t="s">
        <v>13142</v>
      </c>
      <c r="B10958" t="s">
        <v>2276</v>
      </c>
      <c r="C10958" t="s">
        <v>2277</v>
      </c>
      <c r="D10958" t="str">
        <f>HYPERLINK("http://service.sap.com/sap/support/notes/1850197","1850197")</f>
        <v>1850197</v>
      </c>
      <c r="E10958">
        <v>5</v>
      </c>
      <c r="F10958" t="s">
        <v>11966</v>
      </c>
    </row>
    <row r="10959" spans="1:6" x14ac:dyDescent="0.25">
      <c r="A10959" t="s">
        <v>13142</v>
      </c>
      <c r="B10959" t="s">
        <v>2279</v>
      </c>
      <c r="C10959" t="s">
        <v>2280</v>
      </c>
    </row>
    <row r="10960" spans="1:6" x14ac:dyDescent="0.25">
      <c r="A10960" t="s">
        <v>13142</v>
      </c>
      <c r="B10960" t="s">
        <v>2288</v>
      </c>
      <c r="C10960" t="s">
        <v>2289</v>
      </c>
      <c r="D10960" t="str">
        <f>HYPERLINK("http://service.sap.com/sap/support/notes/1874789","1874789")</f>
        <v>1874789</v>
      </c>
      <c r="E10960">
        <v>2</v>
      </c>
      <c r="F10960" t="s">
        <v>11965</v>
      </c>
    </row>
    <row r="10961" spans="1:6" x14ac:dyDescent="0.25">
      <c r="A10961" t="s">
        <v>13142</v>
      </c>
      <c r="B10961" t="s">
        <v>2292</v>
      </c>
      <c r="C10961" t="s">
        <v>2293</v>
      </c>
    </row>
    <row r="10962" spans="1:6" x14ac:dyDescent="0.25">
      <c r="A10962" t="s">
        <v>13142</v>
      </c>
      <c r="B10962" t="s">
        <v>5415</v>
      </c>
      <c r="C10962" t="s">
        <v>2293</v>
      </c>
      <c r="D10962" t="str">
        <f>HYPERLINK("http://service.sap.com/sap/support/notes/1864656","1864656")</f>
        <v>1864656</v>
      </c>
      <c r="E10962">
        <v>1</v>
      </c>
      <c r="F10962" t="s">
        <v>11964</v>
      </c>
    </row>
    <row r="10963" spans="1:6" x14ac:dyDescent="0.25">
      <c r="A10963" t="s">
        <v>13142</v>
      </c>
      <c r="B10963" t="s">
        <v>5415</v>
      </c>
      <c r="C10963" t="s">
        <v>2293</v>
      </c>
      <c r="D10963" t="str">
        <f>HYPERLINK("http://service.sap.com/sap/support/notes/1881065","1881065")</f>
        <v>1881065</v>
      </c>
      <c r="E10963">
        <v>1</v>
      </c>
      <c r="F10963" t="s">
        <v>11963</v>
      </c>
    </row>
    <row r="10964" spans="1:6" x14ac:dyDescent="0.25">
      <c r="A10964" t="s">
        <v>13142</v>
      </c>
      <c r="B10964" t="s">
        <v>5415</v>
      </c>
      <c r="C10964" t="s">
        <v>2293</v>
      </c>
      <c r="D10964" t="str">
        <f>HYPERLINK("http://service.sap.com/sap/support/notes/1892067","1892067")</f>
        <v>1892067</v>
      </c>
      <c r="E10964">
        <v>2</v>
      </c>
      <c r="F10964" t="s">
        <v>11962</v>
      </c>
    </row>
    <row r="10965" spans="1:6" x14ac:dyDescent="0.25">
      <c r="A10965" t="s">
        <v>13142</v>
      </c>
      <c r="B10965" t="s">
        <v>2297</v>
      </c>
      <c r="C10965" t="s">
        <v>7770</v>
      </c>
      <c r="D10965" t="str">
        <f>HYPERLINK("http://service.sap.com/sap/support/notes/1885648","1885648")</f>
        <v>1885648</v>
      </c>
      <c r="E10965">
        <v>2</v>
      </c>
      <c r="F10965" t="s">
        <v>11961</v>
      </c>
    </row>
    <row r="10966" spans="1:6" x14ac:dyDescent="0.25">
      <c r="A10966" t="s">
        <v>13142</v>
      </c>
      <c r="B10966" t="s">
        <v>2299</v>
      </c>
      <c r="C10966" t="s">
        <v>2300</v>
      </c>
      <c r="D10966" t="str">
        <f>HYPERLINK("http://service.sap.com/sap/support/notes/1806096","1806096")</f>
        <v>1806096</v>
      </c>
      <c r="E10966">
        <v>2</v>
      </c>
      <c r="F10966" t="s">
        <v>11960</v>
      </c>
    </row>
    <row r="10967" spans="1:6" x14ac:dyDescent="0.25">
      <c r="A10967" t="s">
        <v>13142</v>
      </c>
      <c r="B10967" t="s">
        <v>2299</v>
      </c>
      <c r="C10967" t="s">
        <v>2300</v>
      </c>
      <c r="D10967" t="str">
        <f>HYPERLINK("http://service.sap.com/sap/support/notes/1892282","1892282")</f>
        <v>1892282</v>
      </c>
      <c r="E10967">
        <v>2</v>
      </c>
      <c r="F10967" t="s">
        <v>11959</v>
      </c>
    </row>
    <row r="10968" spans="1:6" x14ac:dyDescent="0.25">
      <c r="A10968" t="s">
        <v>13142</v>
      </c>
      <c r="B10968" t="s">
        <v>2299</v>
      </c>
      <c r="C10968" t="s">
        <v>2300</v>
      </c>
      <c r="D10968" t="str">
        <f>HYPERLINK("http://service.sap.com/sap/support/notes/1903213","1903213")</f>
        <v>1903213</v>
      </c>
      <c r="E10968">
        <v>1</v>
      </c>
      <c r="F10968" t="s">
        <v>11958</v>
      </c>
    </row>
    <row r="10969" spans="1:6" x14ac:dyDescent="0.25">
      <c r="A10969" t="s">
        <v>13142</v>
      </c>
      <c r="B10969" t="s">
        <v>2305</v>
      </c>
      <c r="C10969" t="s">
        <v>2306</v>
      </c>
      <c r="D10969" t="str">
        <f>HYPERLINK("http://service.sap.com/sap/support/notes/1857233","1857233")</f>
        <v>1857233</v>
      </c>
      <c r="E10969">
        <v>1</v>
      </c>
      <c r="F10969" t="s">
        <v>11957</v>
      </c>
    </row>
    <row r="10970" spans="1:6" x14ac:dyDescent="0.25">
      <c r="A10970" t="s">
        <v>13142</v>
      </c>
      <c r="B10970" t="s">
        <v>2305</v>
      </c>
      <c r="C10970" t="s">
        <v>2306</v>
      </c>
      <c r="D10970" t="str">
        <f>HYPERLINK("http://service.sap.com/sap/support/notes/1872482","1872482")</f>
        <v>1872482</v>
      </c>
      <c r="E10970">
        <v>1</v>
      </c>
      <c r="F10970" t="s">
        <v>11956</v>
      </c>
    </row>
    <row r="10971" spans="1:6" x14ac:dyDescent="0.25">
      <c r="A10971" t="s">
        <v>13142</v>
      </c>
      <c r="B10971" t="s">
        <v>2305</v>
      </c>
      <c r="C10971" t="s">
        <v>2306</v>
      </c>
      <c r="D10971" t="str">
        <f>HYPERLINK("http://service.sap.com/sap/support/notes/1876930","1876930")</f>
        <v>1876930</v>
      </c>
      <c r="E10971">
        <v>2</v>
      </c>
      <c r="F10971" t="s">
        <v>11955</v>
      </c>
    </row>
    <row r="10972" spans="1:6" x14ac:dyDescent="0.25">
      <c r="A10972" t="s">
        <v>13142</v>
      </c>
      <c r="B10972" t="s">
        <v>2305</v>
      </c>
      <c r="C10972" t="s">
        <v>2306</v>
      </c>
      <c r="D10972" t="str">
        <f>HYPERLINK("http://service.sap.com/sap/support/notes/1890793","1890793")</f>
        <v>1890793</v>
      </c>
      <c r="E10972">
        <v>1</v>
      </c>
      <c r="F10972" t="s">
        <v>11954</v>
      </c>
    </row>
    <row r="10973" spans="1:6" x14ac:dyDescent="0.25">
      <c r="A10973" t="s">
        <v>13142</v>
      </c>
      <c r="B10973" t="s">
        <v>9942</v>
      </c>
      <c r="C10973" t="s">
        <v>824</v>
      </c>
    </row>
    <row r="10974" spans="1:6" x14ac:dyDescent="0.25">
      <c r="A10974" t="s">
        <v>13142</v>
      </c>
      <c r="B10974" t="s">
        <v>9943</v>
      </c>
      <c r="C10974" t="s">
        <v>9944</v>
      </c>
      <c r="D10974" t="str">
        <f>HYPERLINK("http://service.sap.com/sap/support/notes/1876176","1876176")</f>
        <v>1876176</v>
      </c>
      <c r="E10974">
        <v>1</v>
      </c>
      <c r="F10974" t="s">
        <v>11953</v>
      </c>
    </row>
    <row r="10975" spans="1:6" x14ac:dyDescent="0.25">
      <c r="A10975" t="s">
        <v>13142</v>
      </c>
      <c r="B10975" t="s">
        <v>2320</v>
      </c>
      <c r="C10975" t="s">
        <v>2321</v>
      </c>
    </row>
    <row r="10976" spans="1:6" x14ac:dyDescent="0.25">
      <c r="A10976" t="s">
        <v>13142</v>
      </c>
      <c r="B10976" t="s">
        <v>2327</v>
      </c>
      <c r="C10976" t="s">
        <v>151</v>
      </c>
    </row>
    <row r="10977" spans="1:6" x14ac:dyDescent="0.25">
      <c r="A10977" t="s">
        <v>13142</v>
      </c>
      <c r="B10977" t="s">
        <v>11952</v>
      </c>
      <c r="C10977" t="s">
        <v>11951</v>
      </c>
      <c r="D10977" t="str">
        <f>HYPERLINK("http://service.sap.com/sap/support/notes/1885401","1885401")</f>
        <v>1885401</v>
      </c>
      <c r="E10977">
        <v>1</v>
      </c>
      <c r="F10977" t="s">
        <v>11950</v>
      </c>
    </row>
    <row r="10978" spans="1:6" x14ac:dyDescent="0.25">
      <c r="A10978" t="s">
        <v>13142</v>
      </c>
      <c r="B10978" t="s">
        <v>5433</v>
      </c>
      <c r="C10978" t="s">
        <v>5434</v>
      </c>
      <c r="D10978" t="str">
        <f>HYPERLINK("http://service.sap.com/sap/support/notes/1881623","1881623")</f>
        <v>1881623</v>
      </c>
      <c r="E10978">
        <v>2</v>
      </c>
      <c r="F10978" t="s">
        <v>11949</v>
      </c>
    </row>
    <row r="10979" spans="1:6" x14ac:dyDescent="0.25">
      <c r="A10979" t="s">
        <v>13142</v>
      </c>
      <c r="B10979" t="s">
        <v>5439</v>
      </c>
      <c r="C10979" t="s">
        <v>2233</v>
      </c>
      <c r="D10979" t="str">
        <f>HYPERLINK("http://service.sap.com/sap/support/notes/1347267","1347267")</f>
        <v>1347267</v>
      </c>
      <c r="E10979">
        <v>7</v>
      </c>
      <c r="F10979" t="s">
        <v>11948</v>
      </c>
    </row>
    <row r="10980" spans="1:6" x14ac:dyDescent="0.25">
      <c r="A10980" t="s">
        <v>13142</v>
      </c>
      <c r="B10980" t="s">
        <v>2331</v>
      </c>
      <c r="C10980" t="s">
        <v>1784</v>
      </c>
    </row>
    <row r="10981" spans="1:6" x14ac:dyDescent="0.25">
      <c r="A10981" t="s">
        <v>13142</v>
      </c>
      <c r="B10981" t="s">
        <v>2332</v>
      </c>
      <c r="C10981" t="s">
        <v>2333</v>
      </c>
      <c r="D10981" t="str">
        <f>HYPERLINK("http://service.sap.com/sap/support/notes/1860343","1860343")</f>
        <v>1860343</v>
      </c>
      <c r="E10981">
        <v>4</v>
      </c>
      <c r="F10981" t="s">
        <v>11947</v>
      </c>
    </row>
    <row r="10982" spans="1:6" x14ac:dyDescent="0.25">
      <c r="A10982" t="s">
        <v>13142</v>
      </c>
      <c r="B10982" t="s">
        <v>2340</v>
      </c>
      <c r="C10982" t="s">
        <v>5445</v>
      </c>
    </row>
    <row r="10983" spans="1:6" x14ac:dyDescent="0.25">
      <c r="A10983" t="s">
        <v>13142</v>
      </c>
      <c r="B10983" t="s">
        <v>5446</v>
      </c>
      <c r="C10983" t="s">
        <v>5447</v>
      </c>
      <c r="D10983" t="str">
        <f>HYPERLINK("http://service.sap.com/sap/support/notes/1868246","1868246")</f>
        <v>1868246</v>
      </c>
      <c r="E10983">
        <v>2</v>
      </c>
      <c r="F10983" t="s">
        <v>11946</v>
      </c>
    </row>
    <row r="10984" spans="1:6" x14ac:dyDescent="0.25">
      <c r="A10984" t="s">
        <v>13142</v>
      </c>
      <c r="B10984" t="s">
        <v>2358</v>
      </c>
      <c r="C10984" t="s">
        <v>2359</v>
      </c>
      <c r="D10984" t="str">
        <f>HYPERLINK("http://service.sap.com/sap/support/notes/1821500","1821500")</f>
        <v>1821500</v>
      </c>
      <c r="E10984">
        <v>4</v>
      </c>
      <c r="F10984" t="s">
        <v>11945</v>
      </c>
    </row>
    <row r="10985" spans="1:6" x14ac:dyDescent="0.25">
      <c r="A10985" t="s">
        <v>13142</v>
      </c>
      <c r="B10985" t="s">
        <v>2358</v>
      </c>
      <c r="C10985" t="s">
        <v>2359</v>
      </c>
      <c r="D10985" t="str">
        <f>HYPERLINK("http://service.sap.com/sap/support/notes/1859458","1859458")</f>
        <v>1859458</v>
      </c>
      <c r="E10985">
        <v>2</v>
      </c>
      <c r="F10985" t="s">
        <v>11944</v>
      </c>
    </row>
    <row r="10986" spans="1:6" x14ac:dyDescent="0.25">
      <c r="A10986" t="s">
        <v>13142</v>
      </c>
      <c r="B10986" t="s">
        <v>2358</v>
      </c>
      <c r="C10986" t="s">
        <v>2359</v>
      </c>
      <c r="D10986" t="str">
        <f>HYPERLINK("http://service.sap.com/sap/support/notes/1869660","1869660")</f>
        <v>1869660</v>
      </c>
      <c r="E10986">
        <v>1</v>
      </c>
      <c r="F10986" t="s">
        <v>11943</v>
      </c>
    </row>
    <row r="10987" spans="1:6" x14ac:dyDescent="0.25">
      <c r="A10987" t="s">
        <v>13142</v>
      </c>
      <c r="B10987" t="s">
        <v>2358</v>
      </c>
      <c r="C10987" t="s">
        <v>2359</v>
      </c>
      <c r="D10987" t="str">
        <f>HYPERLINK("http://service.sap.com/sap/support/notes/1873181","1873181")</f>
        <v>1873181</v>
      </c>
      <c r="E10987">
        <v>1</v>
      </c>
      <c r="F10987" t="s">
        <v>11942</v>
      </c>
    </row>
    <row r="10988" spans="1:6" x14ac:dyDescent="0.25">
      <c r="A10988" t="s">
        <v>13142</v>
      </c>
      <c r="B10988" t="s">
        <v>2358</v>
      </c>
      <c r="C10988" t="s">
        <v>2359</v>
      </c>
      <c r="D10988" t="str">
        <f>HYPERLINK("http://service.sap.com/sap/support/notes/1878009","1878009")</f>
        <v>1878009</v>
      </c>
      <c r="E10988">
        <v>1</v>
      </c>
      <c r="F10988" t="s">
        <v>11941</v>
      </c>
    </row>
    <row r="10989" spans="1:6" x14ac:dyDescent="0.25">
      <c r="A10989" t="s">
        <v>13142</v>
      </c>
      <c r="B10989" t="s">
        <v>2358</v>
      </c>
      <c r="C10989" t="s">
        <v>2359</v>
      </c>
      <c r="D10989" t="str">
        <f>HYPERLINK("http://service.sap.com/sap/support/notes/1878208","1878208")</f>
        <v>1878208</v>
      </c>
      <c r="E10989">
        <v>2</v>
      </c>
      <c r="F10989" t="s">
        <v>11940</v>
      </c>
    </row>
    <row r="10990" spans="1:6" x14ac:dyDescent="0.25">
      <c r="A10990" t="s">
        <v>13142</v>
      </c>
      <c r="B10990" t="s">
        <v>2358</v>
      </c>
      <c r="C10990" t="s">
        <v>2359</v>
      </c>
      <c r="D10990" t="str">
        <f>HYPERLINK("http://service.sap.com/sap/support/notes/1889726","1889726")</f>
        <v>1889726</v>
      </c>
      <c r="E10990">
        <v>1</v>
      </c>
      <c r="F10990" t="s">
        <v>11939</v>
      </c>
    </row>
    <row r="10991" spans="1:6" x14ac:dyDescent="0.25">
      <c r="A10991" t="s">
        <v>13142</v>
      </c>
      <c r="B10991" t="s">
        <v>2358</v>
      </c>
      <c r="C10991" t="s">
        <v>2359</v>
      </c>
      <c r="D10991" t="str">
        <f>HYPERLINK("http://service.sap.com/sap/support/notes/1891538","1891538")</f>
        <v>1891538</v>
      </c>
      <c r="E10991">
        <v>1</v>
      </c>
      <c r="F10991" t="s">
        <v>11938</v>
      </c>
    </row>
    <row r="10992" spans="1:6" x14ac:dyDescent="0.25">
      <c r="A10992" t="s">
        <v>13142</v>
      </c>
      <c r="B10992" t="s">
        <v>2358</v>
      </c>
      <c r="C10992" t="s">
        <v>2359</v>
      </c>
      <c r="D10992" t="str">
        <f>HYPERLINK("http://service.sap.com/sap/support/notes/1894833","1894833")</f>
        <v>1894833</v>
      </c>
      <c r="E10992">
        <v>1</v>
      </c>
      <c r="F10992" t="s">
        <v>11937</v>
      </c>
    </row>
    <row r="10993" spans="1:6" x14ac:dyDescent="0.25">
      <c r="A10993" t="s">
        <v>13142</v>
      </c>
      <c r="B10993" t="s">
        <v>2358</v>
      </c>
      <c r="C10993" t="s">
        <v>2359</v>
      </c>
      <c r="D10993" t="str">
        <f>HYPERLINK("http://service.sap.com/sap/support/notes/1896201","1896201")</f>
        <v>1896201</v>
      </c>
      <c r="E10993">
        <v>2</v>
      </c>
      <c r="F10993" t="s">
        <v>11936</v>
      </c>
    </row>
    <row r="10994" spans="1:6" x14ac:dyDescent="0.25">
      <c r="A10994" t="s">
        <v>13142</v>
      </c>
      <c r="B10994" t="s">
        <v>7815</v>
      </c>
      <c r="C10994" t="s">
        <v>7816</v>
      </c>
      <c r="D10994" t="str">
        <f>HYPERLINK("http://service.sap.com/sap/support/notes/1882501","1882501")</f>
        <v>1882501</v>
      </c>
      <c r="E10994">
        <v>2</v>
      </c>
      <c r="F10994" t="s">
        <v>11935</v>
      </c>
    </row>
    <row r="10995" spans="1:6" x14ac:dyDescent="0.25">
      <c r="A10995" t="s">
        <v>13142</v>
      </c>
      <c r="B10995" t="s">
        <v>7815</v>
      </c>
      <c r="C10995" t="s">
        <v>7816</v>
      </c>
      <c r="D10995" t="str">
        <f>HYPERLINK("http://service.sap.com/sap/support/notes/1885665","1885665")</f>
        <v>1885665</v>
      </c>
      <c r="E10995">
        <v>1</v>
      </c>
      <c r="F10995" t="s">
        <v>11934</v>
      </c>
    </row>
    <row r="10996" spans="1:6" x14ac:dyDescent="0.25">
      <c r="A10996" t="s">
        <v>13142</v>
      </c>
      <c r="B10996" t="s">
        <v>5457</v>
      </c>
      <c r="C10996" t="s">
        <v>2321</v>
      </c>
      <c r="D10996" t="str">
        <f>HYPERLINK("http://service.sap.com/sap/support/notes/1874018","1874018")</f>
        <v>1874018</v>
      </c>
      <c r="E10996">
        <v>1</v>
      </c>
      <c r="F10996" t="s">
        <v>11933</v>
      </c>
    </row>
    <row r="10997" spans="1:6" x14ac:dyDescent="0.25">
      <c r="A10997" t="s">
        <v>13142</v>
      </c>
      <c r="B10997" t="s">
        <v>2375</v>
      </c>
      <c r="C10997" t="s">
        <v>2376</v>
      </c>
      <c r="D10997" t="str">
        <f>HYPERLINK("http://service.sap.com/sap/support/notes/1853807","1853807")</f>
        <v>1853807</v>
      </c>
      <c r="E10997">
        <v>2</v>
      </c>
      <c r="F10997" t="s">
        <v>11932</v>
      </c>
    </row>
    <row r="10998" spans="1:6" x14ac:dyDescent="0.25">
      <c r="A10998" t="s">
        <v>13142</v>
      </c>
      <c r="B10998" t="s">
        <v>2375</v>
      </c>
      <c r="C10998" t="s">
        <v>2376</v>
      </c>
      <c r="D10998" t="str">
        <f>HYPERLINK("http://service.sap.com/sap/support/notes/1874132","1874132")</f>
        <v>1874132</v>
      </c>
      <c r="E10998">
        <v>2</v>
      </c>
      <c r="F10998" t="s">
        <v>11931</v>
      </c>
    </row>
    <row r="10999" spans="1:6" x14ac:dyDescent="0.25">
      <c r="A10999" t="s">
        <v>13142</v>
      </c>
      <c r="B10999" t="s">
        <v>2375</v>
      </c>
      <c r="C10999" t="s">
        <v>2376</v>
      </c>
      <c r="D10999" t="str">
        <f>HYPERLINK("http://service.sap.com/sap/support/notes/1902019","1902019")</f>
        <v>1902019</v>
      </c>
      <c r="E10999">
        <v>1</v>
      </c>
      <c r="F10999" t="s">
        <v>11930</v>
      </c>
    </row>
    <row r="11000" spans="1:6" x14ac:dyDescent="0.25">
      <c r="A11000" t="s">
        <v>13142</v>
      </c>
      <c r="B11000" t="s">
        <v>2383</v>
      </c>
      <c r="C11000" t="s">
        <v>1638</v>
      </c>
    </row>
    <row r="11001" spans="1:6" x14ac:dyDescent="0.25">
      <c r="A11001" t="s">
        <v>13142</v>
      </c>
      <c r="B11001" t="s">
        <v>2384</v>
      </c>
      <c r="C11001" t="s">
        <v>2385</v>
      </c>
    </row>
    <row r="11002" spans="1:6" x14ac:dyDescent="0.25">
      <c r="A11002" t="s">
        <v>13142</v>
      </c>
      <c r="B11002" t="s">
        <v>2386</v>
      </c>
      <c r="C11002" t="s">
        <v>2387</v>
      </c>
      <c r="D11002" t="str">
        <f>HYPERLINK("http://service.sap.com/sap/support/notes/1878227","1878227")</f>
        <v>1878227</v>
      </c>
      <c r="E11002">
        <v>4</v>
      </c>
      <c r="F11002" t="s">
        <v>11929</v>
      </c>
    </row>
    <row r="11003" spans="1:6" x14ac:dyDescent="0.25">
      <c r="A11003" t="s">
        <v>13142</v>
      </c>
      <c r="B11003" t="s">
        <v>2397</v>
      </c>
      <c r="C11003" t="s">
        <v>151</v>
      </c>
    </row>
    <row r="11004" spans="1:6" x14ac:dyDescent="0.25">
      <c r="A11004" t="s">
        <v>13142</v>
      </c>
      <c r="B11004" t="s">
        <v>2399</v>
      </c>
      <c r="C11004" t="s">
        <v>2400</v>
      </c>
      <c r="D11004" t="str">
        <f>HYPERLINK("http://service.sap.com/sap/support/notes/1856322","1856322")</f>
        <v>1856322</v>
      </c>
      <c r="E11004">
        <v>3</v>
      </c>
      <c r="F11004" t="s">
        <v>11928</v>
      </c>
    </row>
    <row r="11005" spans="1:6" x14ac:dyDescent="0.25">
      <c r="A11005" t="s">
        <v>13142</v>
      </c>
      <c r="B11005" t="s">
        <v>2405</v>
      </c>
      <c r="C11005" t="s">
        <v>978</v>
      </c>
      <c r="D11005" t="str">
        <f>HYPERLINK("http://service.sap.com/sap/support/notes/1795775","1795775")</f>
        <v>1795775</v>
      </c>
      <c r="E11005">
        <v>9</v>
      </c>
      <c r="F11005" t="s">
        <v>11927</v>
      </c>
    </row>
    <row r="11006" spans="1:6" x14ac:dyDescent="0.25">
      <c r="A11006" t="s">
        <v>13142</v>
      </c>
      <c r="B11006" t="s">
        <v>2405</v>
      </c>
      <c r="C11006" t="s">
        <v>978</v>
      </c>
      <c r="D11006" t="str">
        <f>HYPERLINK("http://service.sap.com/sap/support/notes/1869156","1869156")</f>
        <v>1869156</v>
      </c>
      <c r="E11006">
        <v>2</v>
      </c>
      <c r="F11006" t="s">
        <v>11926</v>
      </c>
    </row>
    <row r="11007" spans="1:6" x14ac:dyDescent="0.25">
      <c r="A11007" t="s">
        <v>13142</v>
      </c>
      <c r="B11007" t="s">
        <v>2405</v>
      </c>
      <c r="C11007" t="s">
        <v>978</v>
      </c>
      <c r="D11007" t="str">
        <f>HYPERLINK("http://service.sap.com/sap/support/notes/1870893","1870893")</f>
        <v>1870893</v>
      </c>
      <c r="E11007">
        <v>3</v>
      </c>
      <c r="F11007" t="s">
        <v>11925</v>
      </c>
    </row>
    <row r="11008" spans="1:6" x14ac:dyDescent="0.25">
      <c r="A11008" t="s">
        <v>13142</v>
      </c>
      <c r="B11008" t="s">
        <v>2405</v>
      </c>
      <c r="C11008" t="s">
        <v>978</v>
      </c>
      <c r="D11008" t="str">
        <f>HYPERLINK("http://service.sap.com/sap/support/notes/1881643","1881643")</f>
        <v>1881643</v>
      </c>
      <c r="E11008">
        <v>1</v>
      </c>
      <c r="F11008" t="s">
        <v>11924</v>
      </c>
    </row>
    <row r="11009" spans="1:6" x14ac:dyDescent="0.25">
      <c r="A11009" t="s">
        <v>13142</v>
      </c>
      <c r="B11009" t="s">
        <v>2405</v>
      </c>
      <c r="C11009" t="s">
        <v>978</v>
      </c>
      <c r="D11009" t="str">
        <f>HYPERLINK("http://service.sap.com/sap/support/notes/1884706","1884706")</f>
        <v>1884706</v>
      </c>
      <c r="E11009">
        <v>1</v>
      </c>
      <c r="F11009" t="s">
        <v>11923</v>
      </c>
    </row>
    <row r="11010" spans="1:6" x14ac:dyDescent="0.25">
      <c r="A11010" t="s">
        <v>13142</v>
      </c>
      <c r="B11010" t="s">
        <v>2405</v>
      </c>
      <c r="C11010" t="s">
        <v>978</v>
      </c>
      <c r="D11010" t="str">
        <f>HYPERLINK("http://service.sap.com/sap/support/notes/1895698","1895698")</f>
        <v>1895698</v>
      </c>
      <c r="E11010">
        <v>1</v>
      </c>
      <c r="F11010" t="s">
        <v>11922</v>
      </c>
    </row>
    <row r="11011" spans="1:6" x14ac:dyDescent="0.25">
      <c r="A11011" t="s">
        <v>13142</v>
      </c>
      <c r="B11011" t="s">
        <v>9972</v>
      </c>
      <c r="C11011" t="s">
        <v>9973</v>
      </c>
      <c r="D11011" t="str">
        <f>HYPERLINK("http://service.sap.com/sap/support/notes/1859414","1859414")</f>
        <v>1859414</v>
      </c>
      <c r="E11011">
        <v>2</v>
      </c>
      <c r="F11011" t="s">
        <v>11921</v>
      </c>
    </row>
    <row r="11012" spans="1:6" x14ac:dyDescent="0.25">
      <c r="A11012" t="s">
        <v>13142</v>
      </c>
      <c r="B11012" t="s">
        <v>2409</v>
      </c>
      <c r="C11012" t="s">
        <v>2410</v>
      </c>
      <c r="D11012" t="str">
        <f>HYPERLINK("http://service.sap.com/sap/support/notes/1832578","1832578")</f>
        <v>1832578</v>
      </c>
      <c r="E11012">
        <v>3</v>
      </c>
      <c r="F11012" t="s">
        <v>11920</v>
      </c>
    </row>
    <row r="11013" spans="1:6" x14ac:dyDescent="0.25">
      <c r="A11013" t="s">
        <v>13142</v>
      </c>
      <c r="B11013" t="s">
        <v>2409</v>
      </c>
      <c r="C11013" t="s">
        <v>2410</v>
      </c>
      <c r="D11013" t="str">
        <f>HYPERLINK("http://service.sap.com/sap/support/notes/1879636","1879636")</f>
        <v>1879636</v>
      </c>
      <c r="E11013">
        <v>3</v>
      </c>
      <c r="F11013" t="s">
        <v>11919</v>
      </c>
    </row>
    <row r="11014" spans="1:6" x14ac:dyDescent="0.25">
      <c r="A11014" t="s">
        <v>13142</v>
      </c>
      <c r="B11014" t="s">
        <v>2414</v>
      </c>
      <c r="C11014" t="s">
        <v>2415</v>
      </c>
      <c r="D11014" t="str">
        <f>HYPERLINK("http://service.sap.com/sap/support/notes/1640371","1640371")</f>
        <v>1640371</v>
      </c>
      <c r="E11014">
        <v>3</v>
      </c>
      <c r="F11014" t="s">
        <v>11918</v>
      </c>
    </row>
    <row r="11015" spans="1:6" x14ac:dyDescent="0.25">
      <c r="A11015" t="s">
        <v>13142</v>
      </c>
      <c r="B11015" t="s">
        <v>2414</v>
      </c>
      <c r="C11015" t="s">
        <v>2415</v>
      </c>
      <c r="D11015" t="str">
        <f>HYPERLINK("http://service.sap.com/sap/support/notes/1768759","1768759")</f>
        <v>1768759</v>
      </c>
      <c r="E11015">
        <v>9</v>
      </c>
      <c r="F11015" t="s">
        <v>11917</v>
      </c>
    </row>
    <row r="11016" spans="1:6" x14ac:dyDescent="0.25">
      <c r="A11016" t="s">
        <v>13142</v>
      </c>
      <c r="B11016" t="s">
        <v>2414</v>
      </c>
      <c r="C11016" t="s">
        <v>2415</v>
      </c>
      <c r="D11016" t="str">
        <f>HYPERLINK("http://service.sap.com/sap/support/notes/1831850","1831850")</f>
        <v>1831850</v>
      </c>
      <c r="E11016">
        <v>3</v>
      </c>
      <c r="F11016" t="s">
        <v>11916</v>
      </c>
    </row>
    <row r="11017" spans="1:6" x14ac:dyDescent="0.25">
      <c r="A11017" t="s">
        <v>13142</v>
      </c>
      <c r="B11017" t="s">
        <v>2418</v>
      </c>
      <c r="C11017" t="s">
        <v>2419</v>
      </c>
      <c r="D11017" t="str">
        <f>HYPERLINK("http://service.sap.com/sap/support/notes/1775466","1775466")</f>
        <v>1775466</v>
      </c>
      <c r="E11017">
        <v>6</v>
      </c>
      <c r="F11017" t="s">
        <v>11915</v>
      </c>
    </row>
    <row r="11018" spans="1:6" x14ac:dyDescent="0.25">
      <c r="A11018" t="s">
        <v>13142</v>
      </c>
      <c r="B11018" t="s">
        <v>2418</v>
      </c>
      <c r="C11018" t="s">
        <v>2419</v>
      </c>
      <c r="D11018" t="str">
        <f>HYPERLINK("http://service.sap.com/sap/support/notes/1859171","1859171")</f>
        <v>1859171</v>
      </c>
      <c r="E11018">
        <v>4</v>
      </c>
      <c r="F11018" t="s">
        <v>11914</v>
      </c>
    </row>
    <row r="11019" spans="1:6" x14ac:dyDescent="0.25">
      <c r="A11019" t="s">
        <v>13142</v>
      </c>
      <c r="B11019" t="s">
        <v>2418</v>
      </c>
      <c r="C11019" t="s">
        <v>2419</v>
      </c>
      <c r="D11019" t="str">
        <f>HYPERLINK("http://service.sap.com/sap/support/notes/1872763","1872763")</f>
        <v>1872763</v>
      </c>
      <c r="E11019">
        <v>1</v>
      </c>
      <c r="F11019" t="s">
        <v>11913</v>
      </c>
    </row>
    <row r="11020" spans="1:6" x14ac:dyDescent="0.25">
      <c r="A11020" t="s">
        <v>13142</v>
      </c>
      <c r="B11020" t="s">
        <v>2421</v>
      </c>
      <c r="C11020" t="s">
        <v>2422</v>
      </c>
      <c r="D11020" t="str">
        <f>HYPERLINK("http://service.sap.com/sap/support/notes/1866020","1866020")</f>
        <v>1866020</v>
      </c>
      <c r="E11020">
        <v>1</v>
      </c>
      <c r="F11020" t="s">
        <v>11912</v>
      </c>
    </row>
    <row r="11021" spans="1:6" x14ac:dyDescent="0.25">
      <c r="A11021" t="s">
        <v>13142</v>
      </c>
      <c r="B11021" t="s">
        <v>2424</v>
      </c>
      <c r="C11021" t="s">
        <v>2425</v>
      </c>
      <c r="D11021" t="str">
        <f>HYPERLINK("http://service.sap.com/sap/support/notes/1889487","1889487")</f>
        <v>1889487</v>
      </c>
      <c r="E11021">
        <v>1</v>
      </c>
      <c r="F11021" t="s">
        <v>11911</v>
      </c>
    </row>
    <row r="11022" spans="1:6" x14ac:dyDescent="0.25">
      <c r="A11022" t="s">
        <v>13142</v>
      </c>
      <c r="B11022" t="s">
        <v>2424</v>
      </c>
      <c r="C11022" t="s">
        <v>2425</v>
      </c>
      <c r="D11022" t="str">
        <f>HYPERLINK("http://service.sap.com/sap/support/notes/1893269","1893269")</f>
        <v>1893269</v>
      </c>
      <c r="E11022">
        <v>1</v>
      </c>
      <c r="F11022" t="s">
        <v>11910</v>
      </c>
    </row>
    <row r="11023" spans="1:6" x14ac:dyDescent="0.25">
      <c r="A11023" t="s">
        <v>13142</v>
      </c>
      <c r="B11023" t="s">
        <v>2434</v>
      </c>
      <c r="C11023" t="s">
        <v>2435</v>
      </c>
      <c r="D11023" t="str">
        <f>HYPERLINK("http://service.sap.com/sap/support/notes/1872951","1872951")</f>
        <v>1872951</v>
      </c>
      <c r="E11023">
        <v>2</v>
      </c>
      <c r="F11023" t="s">
        <v>11909</v>
      </c>
    </row>
    <row r="11024" spans="1:6" x14ac:dyDescent="0.25">
      <c r="A11024" t="s">
        <v>13142</v>
      </c>
      <c r="B11024" t="s">
        <v>2434</v>
      </c>
      <c r="C11024" t="s">
        <v>2435</v>
      </c>
      <c r="D11024" t="str">
        <f>HYPERLINK("http://service.sap.com/sap/support/notes/1886964","1886964")</f>
        <v>1886964</v>
      </c>
      <c r="E11024">
        <v>1</v>
      </c>
      <c r="F11024" t="s">
        <v>11908</v>
      </c>
    </row>
    <row r="11025" spans="1:6" x14ac:dyDescent="0.25">
      <c r="A11025" t="s">
        <v>13142</v>
      </c>
      <c r="B11025" t="s">
        <v>2434</v>
      </c>
      <c r="C11025" t="s">
        <v>2435</v>
      </c>
      <c r="D11025" t="str">
        <f>HYPERLINK("http://service.sap.com/sap/support/notes/1887407","1887407")</f>
        <v>1887407</v>
      </c>
      <c r="E11025">
        <v>4</v>
      </c>
      <c r="F11025" t="s">
        <v>11907</v>
      </c>
    </row>
    <row r="11026" spans="1:6" x14ac:dyDescent="0.25">
      <c r="A11026" t="s">
        <v>13142</v>
      </c>
      <c r="B11026" t="s">
        <v>9994</v>
      </c>
      <c r="C11026" t="s">
        <v>9995</v>
      </c>
      <c r="D11026" t="str">
        <f>HYPERLINK("http://service.sap.com/sap/support/notes/1752939","1752939")</f>
        <v>1752939</v>
      </c>
      <c r="E11026">
        <v>3</v>
      </c>
      <c r="F11026" t="s">
        <v>11906</v>
      </c>
    </row>
    <row r="11027" spans="1:6" x14ac:dyDescent="0.25">
      <c r="A11027" t="s">
        <v>13142</v>
      </c>
      <c r="B11027" t="s">
        <v>2439</v>
      </c>
      <c r="C11027" t="s">
        <v>1743</v>
      </c>
      <c r="D11027" t="str">
        <f>HYPERLINK("http://service.sap.com/sap/support/notes/1794141","1794141")</f>
        <v>1794141</v>
      </c>
      <c r="E11027">
        <v>9</v>
      </c>
      <c r="F11027" t="s">
        <v>11905</v>
      </c>
    </row>
    <row r="11028" spans="1:6" x14ac:dyDescent="0.25">
      <c r="A11028" t="s">
        <v>13142</v>
      </c>
      <c r="B11028" t="s">
        <v>2439</v>
      </c>
      <c r="C11028" t="s">
        <v>1743</v>
      </c>
      <c r="D11028" t="str">
        <f>HYPERLINK("http://service.sap.com/sap/support/notes/1838691","1838691")</f>
        <v>1838691</v>
      </c>
      <c r="E11028">
        <v>3</v>
      </c>
      <c r="F11028" t="s">
        <v>11904</v>
      </c>
    </row>
    <row r="11029" spans="1:6" x14ac:dyDescent="0.25">
      <c r="A11029" t="s">
        <v>13142</v>
      </c>
      <c r="B11029" t="s">
        <v>2439</v>
      </c>
      <c r="C11029" t="s">
        <v>1743</v>
      </c>
      <c r="D11029" t="str">
        <f>HYPERLINK("http://service.sap.com/sap/support/notes/1842672","1842672")</f>
        <v>1842672</v>
      </c>
      <c r="E11029">
        <v>2</v>
      </c>
      <c r="F11029" t="s">
        <v>11903</v>
      </c>
    </row>
    <row r="11030" spans="1:6" x14ac:dyDescent="0.25">
      <c r="A11030" t="s">
        <v>13142</v>
      </c>
      <c r="B11030" t="s">
        <v>2439</v>
      </c>
      <c r="C11030" t="s">
        <v>1743</v>
      </c>
      <c r="D11030" t="str">
        <f>HYPERLINK("http://service.sap.com/sap/support/notes/1848306","1848306")</f>
        <v>1848306</v>
      </c>
      <c r="E11030">
        <v>5</v>
      </c>
      <c r="F11030" t="s">
        <v>11902</v>
      </c>
    </row>
    <row r="11031" spans="1:6" x14ac:dyDescent="0.25">
      <c r="A11031" t="s">
        <v>13142</v>
      </c>
      <c r="B11031" t="s">
        <v>2439</v>
      </c>
      <c r="C11031" t="s">
        <v>1743</v>
      </c>
      <c r="D11031" t="str">
        <f>HYPERLINK("http://service.sap.com/sap/support/notes/1855714","1855714")</f>
        <v>1855714</v>
      </c>
      <c r="E11031">
        <v>1</v>
      </c>
      <c r="F11031" t="s">
        <v>11901</v>
      </c>
    </row>
    <row r="11032" spans="1:6" x14ac:dyDescent="0.25">
      <c r="A11032" t="s">
        <v>13142</v>
      </c>
      <c r="B11032" t="s">
        <v>2439</v>
      </c>
      <c r="C11032" t="s">
        <v>1743</v>
      </c>
      <c r="D11032" t="str">
        <f>HYPERLINK("http://service.sap.com/sap/support/notes/1856249","1856249")</f>
        <v>1856249</v>
      </c>
      <c r="E11032">
        <v>2</v>
      </c>
      <c r="F11032" t="s">
        <v>11900</v>
      </c>
    </row>
    <row r="11033" spans="1:6" x14ac:dyDescent="0.25">
      <c r="A11033" t="s">
        <v>13142</v>
      </c>
      <c r="B11033" t="s">
        <v>2439</v>
      </c>
      <c r="C11033" t="s">
        <v>1743</v>
      </c>
      <c r="D11033" t="str">
        <f>HYPERLINK("http://service.sap.com/sap/support/notes/1862215","1862215")</f>
        <v>1862215</v>
      </c>
      <c r="E11033">
        <v>1</v>
      </c>
      <c r="F11033" t="s">
        <v>7860</v>
      </c>
    </row>
    <row r="11034" spans="1:6" x14ac:dyDescent="0.25">
      <c r="A11034" t="s">
        <v>13142</v>
      </c>
      <c r="B11034" t="s">
        <v>2439</v>
      </c>
      <c r="C11034" t="s">
        <v>1743</v>
      </c>
      <c r="D11034" t="str">
        <f>HYPERLINK("http://service.sap.com/sap/support/notes/1864827","1864827")</f>
        <v>1864827</v>
      </c>
      <c r="E11034">
        <v>3</v>
      </c>
      <c r="F11034" t="s">
        <v>11899</v>
      </c>
    </row>
    <row r="11035" spans="1:6" x14ac:dyDescent="0.25">
      <c r="A11035" t="s">
        <v>13142</v>
      </c>
      <c r="B11035" t="s">
        <v>2439</v>
      </c>
      <c r="C11035" t="s">
        <v>1743</v>
      </c>
      <c r="D11035" t="str">
        <f>HYPERLINK("http://service.sap.com/sap/support/notes/1868072","1868072")</f>
        <v>1868072</v>
      </c>
      <c r="E11035">
        <v>3</v>
      </c>
      <c r="F11035" t="s">
        <v>11898</v>
      </c>
    </row>
    <row r="11036" spans="1:6" x14ac:dyDescent="0.25">
      <c r="A11036" t="s">
        <v>13142</v>
      </c>
      <c r="B11036" t="s">
        <v>2439</v>
      </c>
      <c r="C11036" t="s">
        <v>1743</v>
      </c>
      <c r="D11036" t="str">
        <f>HYPERLINK("http://service.sap.com/sap/support/notes/1872685","1872685")</f>
        <v>1872685</v>
      </c>
      <c r="E11036">
        <v>1</v>
      </c>
      <c r="F11036" t="s">
        <v>11897</v>
      </c>
    </row>
    <row r="11037" spans="1:6" x14ac:dyDescent="0.25">
      <c r="A11037" t="s">
        <v>13142</v>
      </c>
      <c r="B11037" t="s">
        <v>2439</v>
      </c>
      <c r="C11037" t="s">
        <v>1743</v>
      </c>
      <c r="D11037" t="str">
        <f>HYPERLINK("http://service.sap.com/sap/support/notes/1876273","1876273")</f>
        <v>1876273</v>
      </c>
      <c r="E11037">
        <v>2</v>
      </c>
      <c r="F11037" t="s">
        <v>11896</v>
      </c>
    </row>
    <row r="11038" spans="1:6" x14ac:dyDescent="0.25">
      <c r="A11038" t="s">
        <v>13142</v>
      </c>
      <c r="B11038" t="s">
        <v>2439</v>
      </c>
      <c r="C11038" t="s">
        <v>1743</v>
      </c>
      <c r="D11038" t="str">
        <f>HYPERLINK("http://service.sap.com/sap/support/notes/1876657","1876657")</f>
        <v>1876657</v>
      </c>
      <c r="E11038">
        <v>2</v>
      </c>
      <c r="F11038" t="s">
        <v>11895</v>
      </c>
    </row>
    <row r="11039" spans="1:6" x14ac:dyDescent="0.25">
      <c r="A11039" t="s">
        <v>13142</v>
      </c>
      <c r="B11039" t="s">
        <v>2439</v>
      </c>
      <c r="C11039" t="s">
        <v>1743</v>
      </c>
      <c r="D11039" t="str">
        <f>HYPERLINK("http://service.sap.com/sap/support/notes/1879583","1879583")</f>
        <v>1879583</v>
      </c>
      <c r="E11039">
        <v>1</v>
      </c>
      <c r="F11039" t="s">
        <v>11894</v>
      </c>
    </row>
    <row r="11040" spans="1:6" x14ac:dyDescent="0.25">
      <c r="A11040" t="s">
        <v>13142</v>
      </c>
      <c r="B11040" t="s">
        <v>2439</v>
      </c>
      <c r="C11040" t="s">
        <v>1743</v>
      </c>
      <c r="D11040" t="str">
        <f>HYPERLINK("http://service.sap.com/sap/support/notes/1883652","1883652")</f>
        <v>1883652</v>
      </c>
      <c r="E11040">
        <v>3</v>
      </c>
      <c r="F11040" t="s">
        <v>11893</v>
      </c>
    </row>
    <row r="11041" spans="1:6" x14ac:dyDescent="0.25">
      <c r="A11041" t="s">
        <v>13142</v>
      </c>
      <c r="B11041" t="s">
        <v>2439</v>
      </c>
      <c r="C11041" t="s">
        <v>1743</v>
      </c>
      <c r="D11041" t="str">
        <f>HYPERLINK("http://service.sap.com/sap/support/notes/1883830","1883830")</f>
        <v>1883830</v>
      </c>
      <c r="E11041">
        <v>1</v>
      </c>
      <c r="F11041" t="s">
        <v>11892</v>
      </c>
    </row>
    <row r="11042" spans="1:6" x14ac:dyDescent="0.25">
      <c r="A11042" t="s">
        <v>13142</v>
      </c>
      <c r="B11042" t="s">
        <v>2439</v>
      </c>
      <c r="C11042" t="s">
        <v>1743</v>
      </c>
      <c r="D11042" t="str">
        <f>HYPERLINK("http://service.sap.com/sap/support/notes/1884311","1884311")</f>
        <v>1884311</v>
      </c>
      <c r="E11042">
        <v>1</v>
      </c>
      <c r="F11042" t="s">
        <v>11891</v>
      </c>
    </row>
    <row r="11043" spans="1:6" x14ac:dyDescent="0.25">
      <c r="A11043" t="s">
        <v>13142</v>
      </c>
      <c r="B11043" t="s">
        <v>2439</v>
      </c>
      <c r="C11043" t="s">
        <v>1743</v>
      </c>
      <c r="D11043" t="str">
        <f>HYPERLINK("http://service.sap.com/sap/support/notes/1885875","1885875")</f>
        <v>1885875</v>
      </c>
      <c r="E11043">
        <v>2</v>
      </c>
      <c r="F11043" t="s">
        <v>11890</v>
      </c>
    </row>
    <row r="11044" spans="1:6" x14ac:dyDescent="0.25">
      <c r="A11044" t="s">
        <v>13142</v>
      </c>
      <c r="B11044" t="s">
        <v>2439</v>
      </c>
      <c r="C11044" t="s">
        <v>1743</v>
      </c>
      <c r="D11044" t="str">
        <f>HYPERLINK("http://service.sap.com/sap/support/notes/1886330","1886330")</f>
        <v>1886330</v>
      </c>
      <c r="E11044">
        <v>4</v>
      </c>
      <c r="F11044" t="s">
        <v>11889</v>
      </c>
    </row>
    <row r="11045" spans="1:6" x14ac:dyDescent="0.25">
      <c r="A11045" t="s">
        <v>13142</v>
      </c>
      <c r="B11045" t="s">
        <v>2439</v>
      </c>
      <c r="C11045" t="s">
        <v>1743</v>
      </c>
      <c r="D11045" t="str">
        <f>HYPERLINK("http://service.sap.com/sap/support/notes/1887408","1887408")</f>
        <v>1887408</v>
      </c>
      <c r="E11045">
        <v>2</v>
      </c>
      <c r="F11045" t="s">
        <v>11888</v>
      </c>
    </row>
    <row r="11046" spans="1:6" x14ac:dyDescent="0.25">
      <c r="A11046" t="s">
        <v>13142</v>
      </c>
      <c r="B11046" t="s">
        <v>2439</v>
      </c>
      <c r="C11046" t="s">
        <v>1743</v>
      </c>
      <c r="D11046" t="str">
        <f>HYPERLINK("http://service.sap.com/sap/support/notes/1892849","1892849")</f>
        <v>1892849</v>
      </c>
      <c r="E11046">
        <v>7</v>
      </c>
      <c r="F11046" t="s">
        <v>11887</v>
      </c>
    </row>
    <row r="11047" spans="1:6" x14ac:dyDescent="0.25">
      <c r="A11047" t="s">
        <v>13142</v>
      </c>
      <c r="B11047" t="s">
        <v>2452</v>
      </c>
      <c r="C11047" t="s">
        <v>2453</v>
      </c>
      <c r="D11047" t="str">
        <f>HYPERLINK("http://service.sap.com/sap/support/notes/1879995","1879995")</f>
        <v>1879995</v>
      </c>
      <c r="E11047">
        <v>1</v>
      </c>
      <c r="F11047" t="s">
        <v>11886</v>
      </c>
    </row>
    <row r="11048" spans="1:6" x14ac:dyDescent="0.25">
      <c r="A11048" t="s">
        <v>13142</v>
      </c>
      <c r="B11048" t="s">
        <v>2460</v>
      </c>
      <c r="C11048" t="s">
        <v>2461</v>
      </c>
      <c r="D11048" t="str">
        <f>HYPERLINK("http://service.sap.com/sap/support/notes/1731602","1731602")</f>
        <v>1731602</v>
      </c>
      <c r="E11048">
        <v>4</v>
      </c>
      <c r="F11048" t="s">
        <v>11885</v>
      </c>
    </row>
    <row r="11049" spans="1:6" x14ac:dyDescent="0.25">
      <c r="A11049" t="s">
        <v>13142</v>
      </c>
      <c r="B11049" t="s">
        <v>2460</v>
      </c>
      <c r="C11049" t="s">
        <v>2461</v>
      </c>
      <c r="D11049" t="str">
        <f>HYPERLINK("http://service.sap.com/sap/support/notes/1745514","1745514")</f>
        <v>1745514</v>
      </c>
      <c r="E11049">
        <v>4</v>
      </c>
      <c r="F11049" t="s">
        <v>11884</v>
      </c>
    </row>
    <row r="11050" spans="1:6" x14ac:dyDescent="0.25">
      <c r="A11050" t="s">
        <v>13142</v>
      </c>
      <c r="B11050" t="s">
        <v>2460</v>
      </c>
      <c r="C11050" t="s">
        <v>2461</v>
      </c>
      <c r="D11050" t="str">
        <f>HYPERLINK("http://service.sap.com/sap/support/notes/1822017","1822017")</f>
        <v>1822017</v>
      </c>
      <c r="E11050">
        <v>1</v>
      </c>
      <c r="F11050" t="s">
        <v>11883</v>
      </c>
    </row>
    <row r="11051" spans="1:6" x14ac:dyDescent="0.25">
      <c r="A11051" t="s">
        <v>13142</v>
      </c>
      <c r="B11051" t="s">
        <v>2460</v>
      </c>
      <c r="C11051" t="s">
        <v>2461</v>
      </c>
      <c r="D11051" t="str">
        <f>HYPERLINK("http://service.sap.com/sap/support/notes/1871959","1871959")</f>
        <v>1871959</v>
      </c>
      <c r="E11051">
        <v>1</v>
      </c>
      <c r="F11051" t="s">
        <v>11882</v>
      </c>
    </row>
    <row r="11052" spans="1:6" x14ac:dyDescent="0.25">
      <c r="A11052" t="s">
        <v>13142</v>
      </c>
      <c r="B11052" t="s">
        <v>2460</v>
      </c>
      <c r="C11052" t="s">
        <v>2461</v>
      </c>
      <c r="D11052" t="str">
        <f>HYPERLINK("http://service.sap.com/sap/support/notes/1881279","1881279")</f>
        <v>1881279</v>
      </c>
      <c r="E11052">
        <v>1</v>
      </c>
      <c r="F11052" t="s">
        <v>11881</v>
      </c>
    </row>
    <row r="11053" spans="1:6" x14ac:dyDescent="0.25">
      <c r="A11053" t="s">
        <v>13142</v>
      </c>
      <c r="B11053" t="s">
        <v>2460</v>
      </c>
      <c r="C11053" t="s">
        <v>2461</v>
      </c>
      <c r="D11053" t="str">
        <f>HYPERLINK("http://service.sap.com/sap/support/notes/1897015","1897015")</f>
        <v>1897015</v>
      </c>
      <c r="E11053">
        <v>2</v>
      </c>
      <c r="F11053" t="s">
        <v>11880</v>
      </c>
    </row>
    <row r="11054" spans="1:6" x14ac:dyDescent="0.25">
      <c r="A11054" t="s">
        <v>13142</v>
      </c>
      <c r="B11054" t="s">
        <v>2460</v>
      </c>
      <c r="C11054" t="s">
        <v>2461</v>
      </c>
      <c r="D11054" t="str">
        <f>HYPERLINK("http://service.sap.com/sap/support/notes/1901784","1901784")</f>
        <v>1901784</v>
      </c>
      <c r="E11054">
        <v>1</v>
      </c>
      <c r="F11054" t="s">
        <v>11879</v>
      </c>
    </row>
    <row r="11055" spans="1:6" x14ac:dyDescent="0.25">
      <c r="A11055" t="s">
        <v>13142</v>
      </c>
      <c r="B11055" t="s">
        <v>7868</v>
      </c>
      <c r="C11055" t="s">
        <v>7869</v>
      </c>
      <c r="D11055" t="str">
        <f>HYPERLINK("http://service.sap.com/sap/support/notes/1468447","1468447")</f>
        <v>1468447</v>
      </c>
      <c r="E11055">
        <v>9</v>
      </c>
      <c r="F11055" t="s">
        <v>11878</v>
      </c>
    </row>
    <row r="11056" spans="1:6" x14ac:dyDescent="0.25">
      <c r="A11056" t="s">
        <v>13142</v>
      </c>
      <c r="B11056" t="s">
        <v>7868</v>
      </c>
      <c r="C11056" t="s">
        <v>7869</v>
      </c>
      <c r="D11056" t="str">
        <f>HYPERLINK("http://service.sap.com/sap/support/notes/1862002","1862002")</f>
        <v>1862002</v>
      </c>
      <c r="E11056">
        <v>4</v>
      </c>
      <c r="F11056" t="s">
        <v>11877</v>
      </c>
    </row>
    <row r="11057" spans="1:6" x14ac:dyDescent="0.25">
      <c r="A11057" t="s">
        <v>13142</v>
      </c>
      <c r="B11057" t="s">
        <v>2469</v>
      </c>
      <c r="C11057" t="s">
        <v>2470</v>
      </c>
      <c r="D11057" t="str">
        <f>HYPERLINK("http://service.sap.com/sap/support/notes/1857823","1857823")</f>
        <v>1857823</v>
      </c>
      <c r="E11057">
        <v>2</v>
      </c>
      <c r="F11057" t="s">
        <v>11876</v>
      </c>
    </row>
    <row r="11058" spans="1:6" x14ac:dyDescent="0.25">
      <c r="A11058" t="s">
        <v>13142</v>
      </c>
      <c r="B11058" t="s">
        <v>2472</v>
      </c>
      <c r="C11058" t="s">
        <v>2473</v>
      </c>
      <c r="D11058" t="str">
        <f>HYPERLINK("http://service.sap.com/sap/support/notes/1888645","1888645")</f>
        <v>1888645</v>
      </c>
      <c r="E11058">
        <v>1</v>
      </c>
      <c r="F11058" t="s">
        <v>11875</v>
      </c>
    </row>
    <row r="11059" spans="1:6" x14ac:dyDescent="0.25">
      <c r="A11059" t="s">
        <v>13142</v>
      </c>
      <c r="B11059" t="s">
        <v>2476</v>
      </c>
      <c r="C11059" t="s">
        <v>2477</v>
      </c>
      <c r="D11059" t="str">
        <f>HYPERLINK("http://service.sap.com/sap/support/notes/1876863","1876863")</f>
        <v>1876863</v>
      </c>
      <c r="E11059">
        <v>1</v>
      </c>
      <c r="F11059" t="s">
        <v>10021</v>
      </c>
    </row>
    <row r="11060" spans="1:6" x14ac:dyDescent="0.25">
      <c r="A11060" t="s">
        <v>13142</v>
      </c>
      <c r="B11060" t="s">
        <v>2476</v>
      </c>
      <c r="C11060" t="s">
        <v>2477</v>
      </c>
      <c r="D11060" t="str">
        <f>HYPERLINK("http://service.sap.com/sap/support/notes/1880390","1880390")</f>
        <v>1880390</v>
      </c>
      <c r="E11060">
        <v>2</v>
      </c>
      <c r="F11060" t="s">
        <v>11874</v>
      </c>
    </row>
    <row r="11061" spans="1:6" x14ac:dyDescent="0.25">
      <c r="A11061" t="s">
        <v>13142</v>
      </c>
      <c r="B11061" t="s">
        <v>2476</v>
      </c>
      <c r="C11061" t="s">
        <v>2477</v>
      </c>
      <c r="D11061" t="str">
        <f>HYPERLINK("http://service.sap.com/sap/support/notes/1885738","1885738")</f>
        <v>1885738</v>
      </c>
      <c r="E11061">
        <v>1</v>
      </c>
      <c r="F11061" t="s">
        <v>11873</v>
      </c>
    </row>
    <row r="11062" spans="1:6" x14ac:dyDescent="0.25">
      <c r="A11062" t="s">
        <v>13142</v>
      </c>
      <c r="B11062" t="s">
        <v>2480</v>
      </c>
      <c r="C11062" t="s">
        <v>2481</v>
      </c>
      <c r="D11062" t="str">
        <f>HYPERLINK("http://service.sap.com/sap/support/notes/1847342","1847342")</f>
        <v>1847342</v>
      </c>
      <c r="E11062">
        <v>2</v>
      </c>
      <c r="F11062" t="s">
        <v>11872</v>
      </c>
    </row>
    <row r="11063" spans="1:6" x14ac:dyDescent="0.25">
      <c r="A11063" t="s">
        <v>13142</v>
      </c>
      <c r="B11063" t="s">
        <v>2480</v>
      </c>
      <c r="C11063" t="s">
        <v>2481</v>
      </c>
      <c r="D11063" t="str">
        <f>HYPERLINK("http://service.sap.com/sap/support/notes/1848187","1848187")</f>
        <v>1848187</v>
      </c>
      <c r="E11063">
        <v>2</v>
      </c>
      <c r="F11063" t="s">
        <v>11871</v>
      </c>
    </row>
    <row r="11064" spans="1:6" x14ac:dyDescent="0.25">
      <c r="A11064" t="s">
        <v>13142</v>
      </c>
      <c r="B11064" t="s">
        <v>2483</v>
      </c>
      <c r="C11064" t="s">
        <v>2277</v>
      </c>
      <c r="D11064" t="str">
        <f>HYPERLINK("http://service.sap.com/sap/support/notes/1826454","1826454")</f>
        <v>1826454</v>
      </c>
      <c r="E11064">
        <v>2</v>
      </c>
      <c r="F11064" t="s">
        <v>11870</v>
      </c>
    </row>
    <row r="11065" spans="1:6" x14ac:dyDescent="0.25">
      <c r="A11065" t="s">
        <v>13142</v>
      </c>
      <c r="B11065" t="s">
        <v>2483</v>
      </c>
      <c r="C11065" t="s">
        <v>2277</v>
      </c>
      <c r="D11065" t="str">
        <f>HYPERLINK("http://service.sap.com/sap/support/notes/1840790","1840790")</f>
        <v>1840790</v>
      </c>
      <c r="E11065">
        <v>2</v>
      </c>
      <c r="F11065" t="s">
        <v>11869</v>
      </c>
    </row>
    <row r="11066" spans="1:6" x14ac:dyDescent="0.25">
      <c r="A11066" t="s">
        <v>13142</v>
      </c>
      <c r="B11066" t="s">
        <v>2483</v>
      </c>
      <c r="C11066" t="s">
        <v>2277</v>
      </c>
      <c r="D11066" t="str">
        <f>HYPERLINK("http://service.sap.com/sap/support/notes/1851720","1851720")</f>
        <v>1851720</v>
      </c>
      <c r="E11066">
        <v>3</v>
      </c>
      <c r="F11066" t="s">
        <v>11868</v>
      </c>
    </row>
    <row r="11067" spans="1:6" x14ac:dyDescent="0.25">
      <c r="A11067" t="s">
        <v>13142</v>
      </c>
      <c r="B11067" t="s">
        <v>2483</v>
      </c>
      <c r="C11067" t="s">
        <v>2277</v>
      </c>
      <c r="D11067" t="str">
        <f>HYPERLINK("http://service.sap.com/sap/support/notes/1869484","1869484")</f>
        <v>1869484</v>
      </c>
      <c r="E11067">
        <v>2</v>
      </c>
      <c r="F11067" t="s">
        <v>11867</v>
      </c>
    </row>
    <row r="11068" spans="1:6" x14ac:dyDescent="0.25">
      <c r="A11068" t="s">
        <v>13142</v>
      </c>
      <c r="B11068" t="s">
        <v>2483</v>
      </c>
      <c r="C11068" t="s">
        <v>2277</v>
      </c>
      <c r="D11068" t="str">
        <f>HYPERLINK("http://service.sap.com/sap/support/notes/1880840","1880840")</f>
        <v>1880840</v>
      </c>
      <c r="E11068">
        <v>3</v>
      </c>
      <c r="F11068" t="s">
        <v>11866</v>
      </c>
    </row>
    <row r="11069" spans="1:6" x14ac:dyDescent="0.25">
      <c r="A11069" t="s">
        <v>13142</v>
      </c>
      <c r="B11069" t="s">
        <v>2483</v>
      </c>
      <c r="C11069" t="s">
        <v>2277</v>
      </c>
      <c r="D11069" t="str">
        <f>HYPERLINK("http://service.sap.com/sap/support/notes/1884851","1884851")</f>
        <v>1884851</v>
      </c>
      <c r="E11069">
        <v>1</v>
      </c>
      <c r="F11069" t="s">
        <v>11865</v>
      </c>
    </row>
    <row r="11070" spans="1:6" x14ac:dyDescent="0.25">
      <c r="A11070" t="s">
        <v>13142</v>
      </c>
      <c r="B11070" t="s">
        <v>2486</v>
      </c>
      <c r="C11070" t="s">
        <v>2487</v>
      </c>
      <c r="D11070" t="str">
        <f>HYPERLINK("http://service.sap.com/sap/support/notes/1811616","1811616")</f>
        <v>1811616</v>
      </c>
      <c r="E11070">
        <v>2</v>
      </c>
      <c r="F11070" t="s">
        <v>11864</v>
      </c>
    </row>
    <row r="11071" spans="1:6" x14ac:dyDescent="0.25">
      <c r="A11071" t="s">
        <v>13142</v>
      </c>
      <c r="B11071" t="s">
        <v>2486</v>
      </c>
      <c r="C11071" t="s">
        <v>2487</v>
      </c>
      <c r="D11071" t="str">
        <f>HYPERLINK("http://service.sap.com/sap/support/notes/1869093","1869093")</f>
        <v>1869093</v>
      </c>
      <c r="E11071">
        <v>3</v>
      </c>
      <c r="F11071" t="s">
        <v>11863</v>
      </c>
    </row>
    <row r="11072" spans="1:6" x14ac:dyDescent="0.25">
      <c r="A11072" t="s">
        <v>13142</v>
      </c>
      <c r="B11072" t="s">
        <v>2486</v>
      </c>
      <c r="C11072" t="s">
        <v>2487</v>
      </c>
      <c r="D11072" t="str">
        <f>HYPERLINK("http://service.sap.com/sap/support/notes/1882279","1882279")</f>
        <v>1882279</v>
      </c>
      <c r="E11072">
        <v>1</v>
      </c>
      <c r="F11072" t="s">
        <v>11862</v>
      </c>
    </row>
    <row r="11073" spans="1:6" x14ac:dyDescent="0.25">
      <c r="A11073" t="s">
        <v>13142</v>
      </c>
      <c r="B11073" t="s">
        <v>2486</v>
      </c>
      <c r="C11073" t="s">
        <v>2487</v>
      </c>
      <c r="D11073" t="str">
        <f>HYPERLINK("http://service.sap.com/sap/support/notes/1884007","1884007")</f>
        <v>1884007</v>
      </c>
      <c r="E11073">
        <v>2</v>
      </c>
      <c r="F11073" t="s">
        <v>11861</v>
      </c>
    </row>
    <row r="11074" spans="1:6" x14ac:dyDescent="0.25">
      <c r="A11074" t="s">
        <v>13142</v>
      </c>
      <c r="B11074" t="s">
        <v>7891</v>
      </c>
      <c r="C11074" t="s">
        <v>7892</v>
      </c>
      <c r="D11074" t="str">
        <f>HYPERLINK("http://service.sap.com/sap/support/notes/1885572","1885572")</f>
        <v>1885572</v>
      </c>
      <c r="E11074">
        <v>1</v>
      </c>
      <c r="F11074" t="s">
        <v>11860</v>
      </c>
    </row>
    <row r="11075" spans="1:6" x14ac:dyDescent="0.25">
      <c r="A11075" t="s">
        <v>13142</v>
      </c>
      <c r="B11075" t="s">
        <v>7893</v>
      </c>
      <c r="C11075" t="s">
        <v>7894</v>
      </c>
      <c r="D11075" t="str">
        <f>HYPERLINK("http://service.sap.com/sap/support/notes/1845288","1845288")</f>
        <v>1845288</v>
      </c>
      <c r="E11075">
        <v>9</v>
      </c>
      <c r="F11075" t="s">
        <v>11859</v>
      </c>
    </row>
    <row r="11076" spans="1:6" x14ac:dyDescent="0.25">
      <c r="A11076" t="s">
        <v>13142</v>
      </c>
      <c r="B11076" t="s">
        <v>7893</v>
      </c>
      <c r="C11076" t="s">
        <v>7894</v>
      </c>
      <c r="D11076" t="str">
        <f>HYPERLINK("http://service.sap.com/sap/support/notes/1864351","1864351")</f>
        <v>1864351</v>
      </c>
      <c r="E11076">
        <v>2</v>
      </c>
      <c r="F11076" t="s">
        <v>11858</v>
      </c>
    </row>
    <row r="11077" spans="1:6" x14ac:dyDescent="0.25">
      <c r="A11077" t="s">
        <v>13142</v>
      </c>
      <c r="B11077" t="s">
        <v>7893</v>
      </c>
      <c r="C11077" t="s">
        <v>7894</v>
      </c>
      <c r="D11077" t="str">
        <f>HYPERLINK("http://service.sap.com/sap/support/notes/1866221","1866221")</f>
        <v>1866221</v>
      </c>
      <c r="E11077">
        <v>2</v>
      </c>
      <c r="F11077" t="s">
        <v>11857</v>
      </c>
    </row>
    <row r="11078" spans="1:6" x14ac:dyDescent="0.25">
      <c r="A11078" t="s">
        <v>13142</v>
      </c>
      <c r="B11078" t="s">
        <v>7893</v>
      </c>
      <c r="C11078" t="s">
        <v>7894</v>
      </c>
      <c r="D11078" t="str">
        <f>HYPERLINK("http://service.sap.com/sap/support/notes/1895206","1895206")</f>
        <v>1895206</v>
      </c>
      <c r="E11078">
        <v>4</v>
      </c>
      <c r="F11078" t="s">
        <v>11856</v>
      </c>
    </row>
    <row r="11079" spans="1:6" x14ac:dyDescent="0.25">
      <c r="A11079" t="s">
        <v>13142</v>
      </c>
      <c r="B11079" t="s">
        <v>10035</v>
      </c>
      <c r="C11079" t="s">
        <v>10036</v>
      </c>
      <c r="D11079" t="str">
        <f>HYPERLINK("http://service.sap.com/sap/support/notes/1864495","1864495")</f>
        <v>1864495</v>
      </c>
      <c r="E11079">
        <v>3</v>
      </c>
      <c r="F11079" t="s">
        <v>11855</v>
      </c>
    </row>
    <row r="11080" spans="1:6" x14ac:dyDescent="0.25">
      <c r="A11080" t="s">
        <v>13142</v>
      </c>
      <c r="B11080" t="s">
        <v>2493</v>
      </c>
      <c r="C11080" t="s">
        <v>2494</v>
      </c>
      <c r="D11080" t="str">
        <f>HYPERLINK("http://service.sap.com/sap/support/notes/1814134","1814134")</f>
        <v>1814134</v>
      </c>
      <c r="E11080">
        <v>2</v>
      </c>
      <c r="F11080" t="s">
        <v>11854</v>
      </c>
    </row>
    <row r="11081" spans="1:6" x14ac:dyDescent="0.25">
      <c r="A11081" t="s">
        <v>13142</v>
      </c>
      <c r="B11081" t="s">
        <v>2493</v>
      </c>
      <c r="C11081" t="s">
        <v>2494</v>
      </c>
      <c r="D11081" t="str">
        <f>HYPERLINK("http://service.sap.com/sap/support/notes/1867433","1867433")</f>
        <v>1867433</v>
      </c>
      <c r="E11081">
        <v>1</v>
      </c>
      <c r="F11081" t="s">
        <v>11853</v>
      </c>
    </row>
    <row r="11082" spans="1:6" x14ac:dyDescent="0.25">
      <c r="A11082" t="s">
        <v>13142</v>
      </c>
      <c r="B11082" t="s">
        <v>2500</v>
      </c>
      <c r="C11082" t="s">
        <v>2501</v>
      </c>
      <c r="D11082" t="str">
        <f>HYPERLINK("http://service.sap.com/sap/support/notes/1823897","1823897")</f>
        <v>1823897</v>
      </c>
      <c r="E11082">
        <v>2</v>
      </c>
      <c r="F11082" t="s">
        <v>11852</v>
      </c>
    </row>
    <row r="11083" spans="1:6" x14ac:dyDescent="0.25">
      <c r="A11083" t="s">
        <v>13142</v>
      </c>
      <c r="B11083" t="s">
        <v>2500</v>
      </c>
      <c r="C11083" t="s">
        <v>2501</v>
      </c>
      <c r="D11083" t="str">
        <f>HYPERLINK("http://service.sap.com/sap/support/notes/1830544","1830544")</f>
        <v>1830544</v>
      </c>
      <c r="E11083">
        <v>3</v>
      </c>
      <c r="F11083" t="s">
        <v>11851</v>
      </c>
    </row>
    <row r="11084" spans="1:6" x14ac:dyDescent="0.25">
      <c r="A11084" t="s">
        <v>13142</v>
      </c>
      <c r="B11084" t="s">
        <v>2500</v>
      </c>
      <c r="C11084" t="s">
        <v>2501</v>
      </c>
      <c r="D11084" t="str">
        <f>HYPERLINK("http://service.sap.com/sap/support/notes/1857748","1857748")</f>
        <v>1857748</v>
      </c>
      <c r="E11084">
        <v>4</v>
      </c>
      <c r="F11084" t="s">
        <v>11850</v>
      </c>
    </row>
    <row r="11085" spans="1:6" x14ac:dyDescent="0.25">
      <c r="A11085" t="s">
        <v>13142</v>
      </c>
      <c r="B11085" t="s">
        <v>2500</v>
      </c>
      <c r="C11085" t="s">
        <v>2501</v>
      </c>
      <c r="D11085" t="str">
        <f>HYPERLINK("http://service.sap.com/sap/support/notes/1859295","1859295")</f>
        <v>1859295</v>
      </c>
      <c r="E11085">
        <v>2</v>
      </c>
      <c r="F11085" t="s">
        <v>11849</v>
      </c>
    </row>
    <row r="11086" spans="1:6" x14ac:dyDescent="0.25">
      <c r="A11086" t="s">
        <v>13142</v>
      </c>
      <c r="B11086" t="s">
        <v>2500</v>
      </c>
      <c r="C11086" t="s">
        <v>2501</v>
      </c>
      <c r="D11086" t="str">
        <f>HYPERLINK("http://service.sap.com/sap/support/notes/1878100","1878100")</f>
        <v>1878100</v>
      </c>
      <c r="E11086">
        <v>3</v>
      </c>
      <c r="F11086" t="s">
        <v>11848</v>
      </c>
    </row>
    <row r="11087" spans="1:6" x14ac:dyDescent="0.25">
      <c r="A11087" t="s">
        <v>13142</v>
      </c>
      <c r="B11087" t="s">
        <v>2500</v>
      </c>
      <c r="C11087" t="s">
        <v>2501</v>
      </c>
      <c r="D11087" t="str">
        <f>HYPERLINK("http://service.sap.com/sap/support/notes/1878972","1878972")</f>
        <v>1878972</v>
      </c>
      <c r="E11087">
        <v>3</v>
      </c>
      <c r="F11087" t="s">
        <v>11847</v>
      </c>
    </row>
    <row r="11088" spans="1:6" x14ac:dyDescent="0.25">
      <c r="A11088" t="s">
        <v>13142</v>
      </c>
      <c r="B11088" t="s">
        <v>2500</v>
      </c>
      <c r="C11088" t="s">
        <v>2501</v>
      </c>
      <c r="D11088" t="str">
        <f>HYPERLINK("http://service.sap.com/sap/support/notes/1892441","1892441")</f>
        <v>1892441</v>
      </c>
      <c r="E11088">
        <v>5</v>
      </c>
      <c r="F11088" t="s">
        <v>11846</v>
      </c>
    </row>
    <row r="11089" spans="1:6" x14ac:dyDescent="0.25">
      <c r="A11089" t="s">
        <v>13142</v>
      </c>
      <c r="B11089" t="s">
        <v>2511</v>
      </c>
      <c r="C11089" t="s">
        <v>2512</v>
      </c>
      <c r="D11089" t="str">
        <f>HYPERLINK("http://service.sap.com/sap/support/notes/1871762","1871762")</f>
        <v>1871762</v>
      </c>
      <c r="E11089">
        <v>1</v>
      </c>
      <c r="F11089" t="s">
        <v>11845</v>
      </c>
    </row>
    <row r="11090" spans="1:6" x14ac:dyDescent="0.25">
      <c r="A11090" t="s">
        <v>13142</v>
      </c>
      <c r="B11090" t="s">
        <v>2518</v>
      </c>
      <c r="C11090" t="s">
        <v>2519</v>
      </c>
      <c r="D11090" t="str">
        <f>HYPERLINK("http://service.sap.com/sap/support/notes/1863571","1863571")</f>
        <v>1863571</v>
      </c>
      <c r="E11090">
        <v>2</v>
      </c>
      <c r="F11090" t="s">
        <v>11844</v>
      </c>
    </row>
    <row r="11091" spans="1:6" x14ac:dyDescent="0.25">
      <c r="A11091" t="s">
        <v>13142</v>
      </c>
      <c r="B11091" t="s">
        <v>2518</v>
      </c>
      <c r="C11091" t="s">
        <v>2519</v>
      </c>
      <c r="D11091" t="str">
        <f>HYPERLINK("http://service.sap.com/sap/support/notes/1864234","1864234")</f>
        <v>1864234</v>
      </c>
      <c r="E11091">
        <v>2</v>
      </c>
      <c r="F11091" t="s">
        <v>11843</v>
      </c>
    </row>
    <row r="11092" spans="1:6" x14ac:dyDescent="0.25">
      <c r="A11092" t="s">
        <v>13142</v>
      </c>
      <c r="B11092" t="s">
        <v>2518</v>
      </c>
      <c r="C11092" t="s">
        <v>2519</v>
      </c>
      <c r="D11092" t="str">
        <f>HYPERLINK("http://service.sap.com/sap/support/notes/1866215","1866215")</f>
        <v>1866215</v>
      </c>
      <c r="E11092">
        <v>2</v>
      </c>
      <c r="F11092" t="s">
        <v>11842</v>
      </c>
    </row>
    <row r="11093" spans="1:6" x14ac:dyDescent="0.25">
      <c r="A11093" t="s">
        <v>13142</v>
      </c>
      <c r="B11093" t="s">
        <v>2518</v>
      </c>
      <c r="C11093" t="s">
        <v>2519</v>
      </c>
      <c r="D11093" t="str">
        <f>HYPERLINK("http://service.sap.com/sap/support/notes/1870606","1870606")</f>
        <v>1870606</v>
      </c>
      <c r="E11093">
        <v>3</v>
      </c>
      <c r="F11093" t="s">
        <v>11841</v>
      </c>
    </row>
    <row r="11094" spans="1:6" x14ac:dyDescent="0.25">
      <c r="A11094" t="s">
        <v>13142</v>
      </c>
      <c r="B11094" t="s">
        <v>2518</v>
      </c>
      <c r="C11094" t="s">
        <v>2519</v>
      </c>
      <c r="D11094" t="str">
        <f>HYPERLINK("http://service.sap.com/sap/support/notes/1881319","1881319")</f>
        <v>1881319</v>
      </c>
      <c r="E11094">
        <v>1</v>
      </c>
      <c r="F11094" t="s">
        <v>11840</v>
      </c>
    </row>
    <row r="11095" spans="1:6" x14ac:dyDescent="0.25">
      <c r="A11095" t="s">
        <v>13142</v>
      </c>
      <c r="B11095" t="s">
        <v>2518</v>
      </c>
      <c r="C11095" t="s">
        <v>2519</v>
      </c>
      <c r="D11095" t="str">
        <f>HYPERLINK("http://service.sap.com/sap/support/notes/1884364","1884364")</f>
        <v>1884364</v>
      </c>
      <c r="E11095">
        <v>2</v>
      </c>
      <c r="F11095" t="s">
        <v>11839</v>
      </c>
    </row>
    <row r="11096" spans="1:6" x14ac:dyDescent="0.25">
      <c r="A11096" t="s">
        <v>13142</v>
      </c>
      <c r="B11096" t="s">
        <v>2518</v>
      </c>
      <c r="C11096" t="s">
        <v>2519</v>
      </c>
      <c r="D11096" t="str">
        <f>HYPERLINK("http://service.sap.com/sap/support/notes/1890715","1890715")</f>
        <v>1890715</v>
      </c>
      <c r="E11096">
        <v>4</v>
      </c>
      <c r="F11096" t="s">
        <v>11838</v>
      </c>
    </row>
    <row r="11097" spans="1:6" x14ac:dyDescent="0.25">
      <c r="A11097" t="s">
        <v>13142</v>
      </c>
      <c r="B11097" t="s">
        <v>2524</v>
      </c>
      <c r="C11097" t="s">
        <v>2525</v>
      </c>
      <c r="D11097" t="str">
        <f>HYPERLINK("http://service.sap.com/sap/support/notes/1801996","1801996")</f>
        <v>1801996</v>
      </c>
      <c r="E11097">
        <v>3</v>
      </c>
      <c r="F11097" t="s">
        <v>11837</v>
      </c>
    </row>
    <row r="11098" spans="1:6" x14ac:dyDescent="0.25">
      <c r="A11098" t="s">
        <v>13142</v>
      </c>
      <c r="B11098" t="s">
        <v>2524</v>
      </c>
      <c r="C11098" t="s">
        <v>2525</v>
      </c>
      <c r="D11098" t="str">
        <f>HYPERLINK("http://service.sap.com/sap/support/notes/1810729","1810729")</f>
        <v>1810729</v>
      </c>
      <c r="E11098">
        <v>4</v>
      </c>
      <c r="F11098" t="s">
        <v>11836</v>
      </c>
    </row>
    <row r="11099" spans="1:6" x14ac:dyDescent="0.25">
      <c r="A11099" t="s">
        <v>13142</v>
      </c>
      <c r="B11099" t="s">
        <v>2524</v>
      </c>
      <c r="C11099" t="s">
        <v>2525</v>
      </c>
      <c r="D11099" t="str">
        <f>HYPERLINK("http://service.sap.com/sap/support/notes/1831232","1831232")</f>
        <v>1831232</v>
      </c>
      <c r="E11099">
        <v>3</v>
      </c>
      <c r="F11099" t="s">
        <v>11835</v>
      </c>
    </row>
    <row r="11100" spans="1:6" x14ac:dyDescent="0.25">
      <c r="A11100" t="s">
        <v>13142</v>
      </c>
      <c r="B11100" t="s">
        <v>2524</v>
      </c>
      <c r="C11100" t="s">
        <v>2525</v>
      </c>
      <c r="D11100" t="str">
        <f>HYPERLINK("http://service.sap.com/sap/support/notes/1832998","1832998")</f>
        <v>1832998</v>
      </c>
      <c r="E11100">
        <v>2</v>
      </c>
      <c r="F11100" t="s">
        <v>11834</v>
      </c>
    </row>
    <row r="11101" spans="1:6" x14ac:dyDescent="0.25">
      <c r="A11101" t="s">
        <v>13142</v>
      </c>
      <c r="B11101" t="s">
        <v>2524</v>
      </c>
      <c r="C11101" t="s">
        <v>2525</v>
      </c>
      <c r="D11101" t="str">
        <f>HYPERLINK("http://service.sap.com/sap/support/notes/1838294","1838294")</f>
        <v>1838294</v>
      </c>
      <c r="E11101">
        <v>2</v>
      </c>
      <c r="F11101" t="s">
        <v>11833</v>
      </c>
    </row>
    <row r="11102" spans="1:6" x14ac:dyDescent="0.25">
      <c r="A11102" t="s">
        <v>13142</v>
      </c>
      <c r="B11102" t="s">
        <v>2524</v>
      </c>
      <c r="C11102" t="s">
        <v>2525</v>
      </c>
      <c r="D11102" t="str">
        <f>HYPERLINK("http://service.sap.com/sap/support/notes/1842090","1842090")</f>
        <v>1842090</v>
      </c>
      <c r="E11102">
        <v>2</v>
      </c>
      <c r="F11102" t="s">
        <v>11832</v>
      </c>
    </row>
    <row r="11103" spans="1:6" x14ac:dyDescent="0.25">
      <c r="A11103" t="s">
        <v>13142</v>
      </c>
      <c r="B11103" t="s">
        <v>2524</v>
      </c>
      <c r="C11103" t="s">
        <v>2525</v>
      </c>
      <c r="D11103" t="str">
        <f>HYPERLINK("http://service.sap.com/sap/support/notes/1861573","1861573")</f>
        <v>1861573</v>
      </c>
      <c r="E11103">
        <v>1</v>
      </c>
      <c r="F11103" t="s">
        <v>11831</v>
      </c>
    </row>
    <row r="11104" spans="1:6" x14ac:dyDescent="0.25">
      <c r="A11104" t="s">
        <v>13142</v>
      </c>
      <c r="B11104" t="s">
        <v>2524</v>
      </c>
      <c r="C11104" t="s">
        <v>2525</v>
      </c>
      <c r="D11104" t="str">
        <f>HYPERLINK("http://service.sap.com/sap/support/notes/1863324","1863324")</f>
        <v>1863324</v>
      </c>
      <c r="E11104">
        <v>1</v>
      </c>
      <c r="F11104" t="s">
        <v>11830</v>
      </c>
    </row>
    <row r="11105" spans="1:6" x14ac:dyDescent="0.25">
      <c r="A11105" t="s">
        <v>13142</v>
      </c>
      <c r="B11105" t="s">
        <v>2524</v>
      </c>
      <c r="C11105" t="s">
        <v>2525</v>
      </c>
      <c r="D11105" t="str">
        <f>HYPERLINK("http://service.sap.com/sap/support/notes/1869791","1869791")</f>
        <v>1869791</v>
      </c>
      <c r="E11105">
        <v>3</v>
      </c>
      <c r="F11105" t="s">
        <v>11829</v>
      </c>
    </row>
    <row r="11106" spans="1:6" x14ac:dyDescent="0.25">
      <c r="A11106" t="s">
        <v>13142</v>
      </c>
      <c r="B11106" t="s">
        <v>2524</v>
      </c>
      <c r="C11106" t="s">
        <v>2525</v>
      </c>
      <c r="D11106" t="str">
        <f>HYPERLINK("http://service.sap.com/sap/support/notes/1870229","1870229")</f>
        <v>1870229</v>
      </c>
      <c r="E11106">
        <v>1</v>
      </c>
      <c r="F11106" t="s">
        <v>11828</v>
      </c>
    </row>
    <row r="11107" spans="1:6" x14ac:dyDescent="0.25">
      <c r="A11107" t="s">
        <v>13142</v>
      </c>
      <c r="B11107" t="s">
        <v>2524</v>
      </c>
      <c r="C11107" t="s">
        <v>2525</v>
      </c>
      <c r="D11107" t="str">
        <f>HYPERLINK("http://service.sap.com/sap/support/notes/1870776","1870776")</f>
        <v>1870776</v>
      </c>
      <c r="E11107">
        <v>2</v>
      </c>
      <c r="F11107" t="s">
        <v>11827</v>
      </c>
    </row>
    <row r="11108" spans="1:6" x14ac:dyDescent="0.25">
      <c r="A11108" t="s">
        <v>13142</v>
      </c>
      <c r="B11108" t="s">
        <v>2524</v>
      </c>
      <c r="C11108" t="s">
        <v>2525</v>
      </c>
      <c r="D11108" t="str">
        <f>HYPERLINK("http://service.sap.com/sap/support/notes/1872713","1872713")</f>
        <v>1872713</v>
      </c>
      <c r="E11108">
        <v>2</v>
      </c>
      <c r="F11108" t="s">
        <v>11826</v>
      </c>
    </row>
    <row r="11109" spans="1:6" x14ac:dyDescent="0.25">
      <c r="A11109" t="s">
        <v>13142</v>
      </c>
      <c r="B11109" t="s">
        <v>2524</v>
      </c>
      <c r="C11109" t="s">
        <v>2525</v>
      </c>
      <c r="D11109" t="str">
        <f>HYPERLINK("http://service.sap.com/sap/support/notes/1876565","1876565")</f>
        <v>1876565</v>
      </c>
      <c r="E11109">
        <v>1</v>
      </c>
      <c r="F11109" t="s">
        <v>11825</v>
      </c>
    </row>
    <row r="11110" spans="1:6" x14ac:dyDescent="0.25">
      <c r="A11110" t="s">
        <v>13142</v>
      </c>
      <c r="B11110" t="s">
        <v>2524</v>
      </c>
      <c r="C11110" t="s">
        <v>2525</v>
      </c>
      <c r="D11110" t="str">
        <f>HYPERLINK("http://service.sap.com/sap/support/notes/1878897","1878897")</f>
        <v>1878897</v>
      </c>
      <c r="E11110">
        <v>1</v>
      </c>
      <c r="F11110" t="s">
        <v>11824</v>
      </c>
    </row>
    <row r="11111" spans="1:6" x14ac:dyDescent="0.25">
      <c r="A11111" t="s">
        <v>13142</v>
      </c>
      <c r="B11111" t="s">
        <v>2524</v>
      </c>
      <c r="C11111" t="s">
        <v>2525</v>
      </c>
      <c r="D11111" t="str">
        <f>HYPERLINK("http://service.sap.com/sap/support/notes/1883650","1883650")</f>
        <v>1883650</v>
      </c>
      <c r="E11111">
        <v>2</v>
      </c>
      <c r="F11111" t="s">
        <v>11823</v>
      </c>
    </row>
    <row r="11112" spans="1:6" x14ac:dyDescent="0.25">
      <c r="A11112" t="s">
        <v>13142</v>
      </c>
      <c r="B11112" t="s">
        <v>2524</v>
      </c>
      <c r="C11112" t="s">
        <v>2525</v>
      </c>
      <c r="D11112" t="str">
        <f>HYPERLINK("http://service.sap.com/sap/support/notes/1887410","1887410")</f>
        <v>1887410</v>
      </c>
      <c r="E11112">
        <v>2</v>
      </c>
      <c r="F11112" t="s">
        <v>11822</v>
      </c>
    </row>
    <row r="11113" spans="1:6" x14ac:dyDescent="0.25">
      <c r="A11113" t="s">
        <v>13142</v>
      </c>
      <c r="B11113" t="s">
        <v>2545</v>
      </c>
      <c r="C11113" t="s">
        <v>2546</v>
      </c>
      <c r="D11113" t="str">
        <f>HYPERLINK("http://service.sap.com/sap/support/notes/1600243","1600243")</f>
        <v>1600243</v>
      </c>
      <c r="E11113">
        <v>9</v>
      </c>
      <c r="F11113" t="s">
        <v>11821</v>
      </c>
    </row>
    <row r="11114" spans="1:6" x14ac:dyDescent="0.25">
      <c r="A11114" t="s">
        <v>13142</v>
      </c>
      <c r="B11114" t="s">
        <v>2545</v>
      </c>
      <c r="C11114" t="s">
        <v>2546</v>
      </c>
      <c r="D11114" t="str">
        <f>HYPERLINK("http://service.sap.com/sap/support/notes/1847010","1847010")</f>
        <v>1847010</v>
      </c>
      <c r="E11114">
        <v>2</v>
      </c>
      <c r="F11114" t="s">
        <v>11820</v>
      </c>
    </row>
    <row r="11115" spans="1:6" x14ac:dyDescent="0.25">
      <c r="A11115" t="s">
        <v>13142</v>
      </c>
      <c r="B11115" t="s">
        <v>2545</v>
      </c>
      <c r="C11115" t="s">
        <v>2546</v>
      </c>
      <c r="D11115" t="str">
        <f>HYPERLINK("http://service.sap.com/sap/support/notes/1848640","1848640")</f>
        <v>1848640</v>
      </c>
      <c r="E11115">
        <v>2</v>
      </c>
      <c r="F11115" t="s">
        <v>11819</v>
      </c>
    </row>
    <row r="11116" spans="1:6" x14ac:dyDescent="0.25">
      <c r="A11116" t="s">
        <v>13142</v>
      </c>
      <c r="B11116" t="s">
        <v>2545</v>
      </c>
      <c r="C11116" t="s">
        <v>2546</v>
      </c>
      <c r="D11116" t="str">
        <f>HYPERLINK("http://service.sap.com/sap/support/notes/1863087","1863087")</f>
        <v>1863087</v>
      </c>
      <c r="E11116">
        <v>1</v>
      </c>
      <c r="F11116" t="s">
        <v>11818</v>
      </c>
    </row>
    <row r="11117" spans="1:6" x14ac:dyDescent="0.25">
      <c r="A11117" t="s">
        <v>13142</v>
      </c>
      <c r="B11117" t="s">
        <v>2545</v>
      </c>
      <c r="C11117" t="s">
        <v>2546</v>
      </c>
      <c r="D11117" t="str">
        <f>HYPERLINK("http://service.sap.com/sap/support/notes/1873693","1873693")</f>
        <v>1873693</v>
      </c>
      <c r="E11117">
        <v>3</v>
      </c>
      <c r="F11117" t="s">
        <v>11817</v>
      </c>
    </row>
    <row r="11118" spans="1:6" x14ac:dyDescent="0.25">
      <c r="A11118" t="s">
        <v>13142</v>
      </c>
      <c r="B11118" t="s">
        <v>2545</v>
      </c>
      <c r="C11118" t="s">
        <v>2546</v>
      </c>
      <c r="D11118" t="str">
        <f>HYPERLINK("http://service.sap.com/sap/support/notes/1880515","1880515")</f>
        <v>1880515</v>
      </c>
      <c r="E11118">
        <v>2</v>
      </c>
      <c r="F11118" t="s">
        <v>11816</v>
      </c>
    </row>
    <row r="11119" spans="1:6" x14ac:dyDescent="0.25">
      <c r="A11119" t="s">
        <v>13142</v>
      </c>
      <c r="B11119" t="s">
        <v>2553</v>
      </c>
      <c r="C11119" t="s">
        <v>5542</v>
      </c>
      <c r="D11119" t="str">
        <f>HYPERLINK("http://service.sap.com/sap/support/notes/1781942","1781942")</f>
        <v>1781942</v>
      </c>
      <c r="E11119">
        <v>7</v>
      </c>
      <c r="F11119" t="s">
        <v>11815</v>
      </c>
    </row>
    <row r="11120" spans="1:6" x14ac:dyDescent="0.25">
      <c r="A11120" t="s">
        <v>13142</v>
      </c>
      <c r="B11120" t="s">
        <v>2553</v>
      </c>
      <c r="C11120" t="s">
        <v>5542</v>
      </c>
      <c r="D11120" t="str">
        <f>HYPERLINK("http://service.sap.com/sap/support/notes/1871265","1871265")</f>
        <v>1871265</v>
      </c>
      <c r="E11120">
        <v>7</v>
      </c>
      <c r="F11120" t="s">
        <v>11814</v>
      </c>
    </row>
    <row r="11121" spans="1:6" x14ac:dyDescent="0.25">
      <c r="A11121" t="s">
        <v>13142</v>
      </c>
      <c r="B11121" t="s">
        <v>2555</v>
      </c>
      <c r="C11121" t="s">
        <v>2556</v>
      </c>
      <c r="D11121" t="str">
        <f>HYPERLINK("http://service.sap.com/sap/support/notes/1862578","1862578")</f>
        <v>1862578</v>
      </c>
      <c r="E11121">
        <v>3</v>
      </c>
      <c r="F11121" t="s">
        <v>11813</v>
      </c>
    </row>
    <row r="11122" spans="1:6" x14ac:dyDescent="0.25">
      <c r="A11122" t="s">
        <v>13142</v>
      </c>
      <c r="B11122" t="s">
        <v>2555</v>
      </c>
      <c r="C11122" t="s">
        <v>2556</v>
      </c>
      <c r="D11122" t="str">
        <f>HYPERLINK("http://service.sap.com/sap/support/notes/1873865","1873865")</f>
        <v>1873865</v>
      </c>
      <c r="E11122">
        <v>2</v>
      </c>
      <c r="F11122" t="s">
        <v>11812</v>
      </c>
    </row>
    <row r="11123" spans="1:6" x14ac:dyDescent="0.25">
      <c r="A11123" t="s">
        <v>13142</v>
      </c>
      <c r="B11123" t="s">
        <v>5547</v>
      </c>
      <c r="C11123" t="s">
        <v>3286</v>
      </c>
      <c r="D11123" t="str">
        <f>HYPERLINK("http://service.sap.com/sap/support/notes/1895673","1895673")</f>
        <v>1895673</v>
      </c>
      <c r="E11123">
        <v>3</v>
      </c>
      <c r="F11123" t="s">
        <v>11811</v>
      </c>
    </row>
    <row r="11124" spans="1:6" x14ac:dyDescent="0.25">
      <c r="A11124" t="s">
        <v>13142</v>
      </c>
      <c r="B11124" t="s">
        <v>2573</v>
      </c>
      <c r="C11124" t="s">
        <v>2574</v>
      </c>
      <c r="D11124" t="str">
        <f>HYPERLINK("http://service.sap.com/sap/support/notes/1868436","1868436")</f>
        <v>1868436</v>
      </c>
      <c r="E11124">
        <v>4</v>
      </c>
      <c r="F11124" t="s">
        <v>11810</v>
      </c>
    </row>
    <row r="11125" spans="1:6" x14ac:dyDescent="0.25">
      <c r="A11125" t="s">
        <v>13142</v>
      </c>
      <c r="B11125" t="s">
        <v>2573</v>
      </c>
      <c r="C11125" t="s">
        <v>2574</v>
      </c>
      <c r="D11125" t="str">
        <f>HYPERLINK("http://service.sap.com/sap/support/notes/1879085","1879085")</f>
        <v>1879085</v>
      </c>
      <c r="E11125">
        <v>3</v>
      </c>
      <c r="F11125" t="s">
        <v>11809</v>
      </c>
    </row>
    <row r="11126" spans="1:6" x14ac:dyDescent="0.25">
      <c r="A11126" t="s">
        <v>13142</v>
      </c>
      <c r="B11126" t="s">
        <v>2573</v>
      </c>
      <c r="C11126" t="s">
        <v>2574</v>
      </c>
      <c r="D11126" t="str">
        <f>HYPERLINK("http://service.sap.com/sap/support/notes/1890055","1890055")</f>
        <v>1890055</v>
      </c>
      <c r="E11126">
        <v>3</v>
      </c>
      <c r="F11126" t="s">
        <v>5551</v>
      </c>
    </row>
    <row r="11127" spans="1:6" x14ac:dyDescent="0.25">
      <c r="A11127" t="s">
        <v>13142</v>
      </c>
      <c r="B11127" t="s">
        <v>2573</v>
      </c>
      <c r="C11127" t="s">
        <v>2574</v>
      </c>
      <c r="D11127" t="str">
        <f>HYPERLINK("http://service.sap.com/sap/support/notes/1890748","1890748")</f>
        <v>1890748</v>
      </c>
      <c r="E11127">
        <v>1</v>
      </c>
      <c r="F11127" t="s">
        <v>11808</v>
      </c>
    </row>
    <row r="11128" spans="1:6" x14ac:dyDescent="0.25">
      <c r="A11128" t="s">
        <v>13142</v>
      </c>
      <c r="B11128" t="s">
        <v>2573</v>
      </c>
      <c r="C11128" t="s">
        <v>2574</v>
      </c>
      <c r="D11128" t="str">
        <f>HYPERLINK("http://service.sap.com/sap/support/notes/1890926","1890926")</f>
        <v>1890926</v>
      </c>
      <c r="E11128">
        <v>3</v>
      </c>
      <c r="F11128" t="s">
        <v>11807</v>
      </c>
    </row>
    <row r="11129" spans="1:6" x14ac:dyDescent="0.25">
      <c r="A11129" t="s">
        <v>13142</v>
      </c>
      <c r="B11129" t="s">
        <v>2573</v>
      </c>
      <c r="C11129" t="s">
        <v>2574</v>
      </c>
      <c r="D11129" t="str">
        <f>HYPERLINK("http://service.sap.com/sap/support/notes/1891347","1891347")</f>
        <v>1891347</v>
      </c>
      <c r="E11129">
        <v>3</v>
      </c>
      <c r="F11129" t="s">
        <v>11806</v>
      </c>
    </row>
    <row r="11130" spans="1:6" x14ac:dyDescent="0.25">
      <c r="A11130" t="s">
        <v>13142</v>
      </c>
      <c r="B11130" t="s">
        <v>2573</v>
      </c>
      <c r="C11130" t="s">
        <v>2574</v>
      </c>
      <c r="D11130" t="str">
        <f>HYPERLINK("http://service.sap.com/sap/support/notes/1894415","1894415")</f>
        <v>1894415</v>
      </c>
      <c r="E11130">
        <v>3</v>
      </c>
      <c r="F11130" t="s">
        <v>11805</v>
      </c>
    </row>
    <row r="11131" spans="1:6" x14ac:dyDescent="0.25">
      <c r="A11131" t="s">
        <v>13142</v>
      </c>
      <c r="B11131" t="s">
        <v>2573</v>
      </c>
      <c r="C11131" t="s">
        <v>2574</v>
      </c>
      <c r="D11131" t="str">
        <f>HYPERLINK("http://service.sap.com/sap/support/notes/1896813","1896813")</f>
        <v>1896813</v>
      </c>
      <c r="E11131">
        <v>3</v>
      </c>
      <c r="F11131" t="s">
        <v>11804</v>
      </c>
    </row>
    <row r="11132" spans="1:6" x14ac:dyDescent="0.25">
      <c r="A11132" t="s">
        <v>13142</v>
      </c>
      <c r="B11132" t="s">
        <v>2573</v>
      </c>
      <c r="C11132" t="s">
        <v>2574</v>
      </c>
      <c r="D11132" t="str">
        <f>HYPERLINK("http://service.sap.com/sap/support/notes/1897765","1897765")</f>
        <v>1897765</v>
      </c>
      <c r="E11132">
        <v>1</v>
      </c>
      <c r="F11132" t="s">
        <v>11803</v>
      </c>
    </row>
    <row r="11133" spans="1:6" x14ac:dyDescent="0.25">
      <c r="A11133" t="s">
        <v>13142</v>
      </c>
      <c r="B11133" t="s">
        <v>2573</v>
      </c>
      <c r="C11133" t="s">
        <v>2574</v>
      </c>
      <c r="D11133" t="str">
        <f>HYPERLINK("http://service.sap.com/sap/support/notes/1901845","1901845")</f>
        <v>1901845</v>
      </c>
      <c r="E11133">
        <v>1</v>
      </c>
      <c r="F11133" t="s">
        <v>11802</v>
      </c>
    </row>
    <row r="11134" spans="1:6" x14ac:dyDescent="0.25">
      <c r="A11134" t="s">
        <v>13142</v>
      </c>
      <c r="B11134" t="s">
        <v>2576</v>
      </c>
      <c r="C11134" t="s">
        <v>2577</v>
      </c>
    </row>
    <row r="11135" spans="1:6" x14ac:dyDescent="0.25">
      <c r="A11135" t="s">
        <v>13142</v>
      </c>
      <c r="B11135" t="s">
        <v>2578</v>
      </c>
      <c r="C11135" t="s">
        <v>2579</v>
      </c>
      <c r="D11135" t="str">
        <f>HYPERLINK("http://service.sap.com/sap/support/notes/1521067","1521067")</f>
        <v>1521067</v>
      </c>
      <c r="E11135">
        <v>7</v>
      </c>
      <c r="F11135" t="s">
        <v>11801</v>
      </c>
    </row>
    <row r="11136" spans="1:6" x14ac:dyDescent="0.25">
      <c r="A11136" t="s">
        <v>13142</v>
      </c>
      <c r="B11136" t="s">
        <v>2578</v>
      </c>
      <c r="C11136" t="s">
        <v>2579</v>
      </c>
      <c r="D11136" t="str">
        <f>HYPERLINK("http://service.sap.com/sap/support/notes/1821442","1821442")</f>
        <v>1821442</v>
      </c>
      <c r="E11136">
        <v>2</v>
      </c>
      <c r="F11136" t="s">
        <v>11800</v>
      </c>
    </row>
    <row r="11137" spans="1:6" x14ac:dyDescent="0.25">
      <c r="A11137" t="s">
        <v>13142</v>
      </c>
      <c r="B11137" t="s">
        <v>2578</v>
      </c>
      <c r="C11137" t="s">
        <v>2579</v>
      </c>
      <c r="D11137" t="str">
        <f>HYPERLINK("http://service.sap.com/sap/support/notes/1881697","1881697")</f>
        <v>1881697</v>
      </c>
      <c r="E11137">
        <v>3</v>
      </c>
      <c r="F11137" t="s">
        <v>11799</v>
      </c>
    </row>
    <row r="11138" spans="1:6" x14ac:dyDescent="0.25">
      <c r="A11138" t="s">
        <v>13142</v>
      </c>
      <c r="B11138" t="s">
        <v>5556</v>
      </c>
      <c r="C11138" t="s">
        <v>5557</v>
      </c>
      <c r="D11138" t="str">
        <f>HYPERLINK("http://service.sap.com/sap/support/notes/1763589","1763589")</f>
        <v>1763589</v>
      </c>
      <c r="E11138">
        <v>2</v>
      </c>
      <c r="F11138" t="s">
        <v>11798</v>
      </c>
    </row>
    <row r="11139" spans="1:6" x14ac:dyDescent="0.25">
      <c r="A11139" t="s">
        <v>13142</v>
      </c>
      <c r="B11139" t="s">
        <v>5556</v>
      </c>
      <c r="C11139" t="s">
        <v>5557</v>
      </c>
      <c r="D11139" t="str">
        <f>HYPERLINK("http://service.sap.com/sap/support/notes/1872171","1872171")</f>
        <v>1872171</v>
      </c>
      <c r="E11139">
        <v>1</v>
      </c>
      <c r="F11139" t="s">
        <v>11797</v>
      </c>
    </row>
    <row r="11140" spans="1:6" x14ac:dyDescent="0.25">
      <c r="A11140" t="s">
        <v>13142</v>
      </c>
      <c r="B11140" t="s">
        <v>2583</v>
      </c>
      <c r="C11140" t="s">
        <v>2584</v>
      </c>
      <c r="D11140" t="str">
        <f>HYPERLINK("http://service.sap.com/sap/support/notes/878472","878472")</f>
        <v>878472</v>
      </c>
      <c r="E11140">
        <v>4</v>
      </c>
      <c r="F11140" t="s">
        <v>11796</v>
      </c>
    </row>
    <row r="11141" spans="1:6" x14ac:dyDescent="0.25">
      <c r="A11141" t="s">
        <v>13142</v>
      </c>
      <c r="B11141" t="s">
        <v>2583</v>
      </c>
      <c r="C11141" t="s">
        <v>2584</v>
      </c>
      <c r="D11141" t="str">
        <f>HYPERLINK("http://service.sap.com/sap/support/notes/1784215","1784215")</f>
        <v>1784215</v>
      </c>
      <c r="E11141">
        <v>2</v>
      </c>
      <c r="F11141" t="s">
        <v>11795</v>
      </c>
    </row>
    <row r="11142" spans="1:6" x14ac:dyDescent="0.25">
      <c r="A11142" t="s">
        <v>13142</v>
      </c>
      <c r="B11142" t="s">
        <v>2583</v>
      </c>
      <c r="C11142" t="s">
        <v>2584</v>
      </c>
      <c r="D11142" t="str">
        <f>HYPERLINK("http://service.sap.com/sap/support/notes/1849432","1849432")</f>
        <v>1849432</v>
      </c>
      <c r="E11142">
        <v>2</v>
      </c>
      <c r="F11142" t="s">
        <v>11794</v>
      </c>
    </row>
    <row r="11143" spans="1:6" x14ac:dyDescent="0.25">
      <c r="A11143" t="s">
        <v>13142</v>
      </c>
      <c r="B11143" t="s">
        <v>2583</v>
      </c>
      <c r="C11143" t="s">
        <v>2584</v>
      </c>
      <c r="D11143" t="str">
        <f>HYPERLINK("http://service.sap.com/sap/support/notes/1887418","1887418")</f>
        <v>1887418</v>
      </c>
      <c r="E11143">
        <v>3</v>
      </c>
      <c r="F11143" t="s">
        <v>11793</v>
      </c>
    </row>
    <row r="11144" spans="1:6" x14ac:dyDescent="0.25">
      <c r="A11144" t="s">
        <v>13142</v>
      </c>
      <c r="B11144" t="s">
        <v>7973</v>
      </c>
      <c r="C11144" t="s">
        <v>3389</v>
      </c>
      <c r="D11144" t="str">
        <f>HYPERLINK("http://service.sap.com/sap/support/notes/1856899","1856899")</f>
        <v>1856899</v>
      </c>
      <c r="E11144">
        <v>1</v>
      </c>
      <c r="F11144" t="s">
        <v>11792</v>
      </c>
    </row>
    <row r="11145" spans="1:6" x14ac:dyDescent="0.25">
      <c r="A11145" t="s">
        <v>13142</v>
      </c>
      <c r="B11145" t="s">
        <v>2591</v>
      </c>
      <c r="C11145" t="s">
        <v>2592</v>
      </c>
      <c r="D11145" t="str">
        <f>HYPERLINK("http://service.sap.com/sap/support/notes/1790663","1790663")</f>
        <v>1790663</v>
      </c>
      <c r="E11145">
        <v>2</v>
      </c>
      <c r="F11145" t="s">
        <v>11791</v>
      </c>
    </row>
    <row r="11146" spans="1:6" x14ac:dyDescent="0.25">
      <c r="A11146" t="s">
        <v>13142</v>
      </c>
      <c r="B11146" t="s">
        <v>2591</v>
      </c>
      <c r="C11146" t="s">
        <v>2592</v>
      </c>
      <c r="D11146" t="str">
        <f>HYPERLINK("http://service.sap.com/sap/support/notes/1819402","1819402")</f>
        <v>1819402</v>
      </c>
      <c r="E11146">
        <v>2</v>
      </c>
      <c r="F11146" t="s">
        <v>11790</v>
      </c>
    </row>
    <row r="11147" spans="1:6" x14ac:dyDescent="0.25">
      <c r="A11147" t="s">
        <v>13142</v>
      </c>
      <c r="B11147" t="s">
        <v>2591</v>
      </c>
      <c r="C11147" t="s">
        <v>2592</v>
      </c>
      <c r="D11147" t="str">
        <f>HYPERLINK("http://service.sap.com/sap/support/notes/1851396","1851396")</f>
        <v>1851396</v>
      </c>
      <c r="E11147">
        <v>2</v>
      </c>
      <c r="F11147" t="s">
        <v>11789</v>
      </c>
    </row>
    <row r="11148" spans="1:6" x14ac:dyDescent="0.25">
      <c r="A11148" t="s">
        <v>13142</v>
      </c>
      <c r="B11148" t="s">
        <v>2591</v>
      </c>
      <c r="C11148" t="s">
        <v>2592</v>
      </c>
      <c r="D11148" t="str">
        <f>HYPERLINK("http://service.sap.com/sap/support/notes/1857299","1857299")</f>
        <v>1857299</v>
      </c>
      <c r="E11148">
        <v>2</v>
      </c>
      <c r="F11148" t="s">
        <v>11788</v>
      </c>
    </row>
    <row r="11149" spans="1:6" x14ac:dyDescent="0.25">
      <c r="A11149" t="s">
        <v>13142</v>
      </c>
      <c r="B11149" t="s">
        <v>2591</v>
      </c>
      <c r="C11149" t="s">
        <v>2592</v>
      </c>
      <c r="D11149" t="str">
        <f>HYPERLINK("http://service.sap.com/sap/support/notes/1886973","1886973")</f>
        <v>1886973</v>
      </c>
      <c r="E11149">
        <v>1</v>
      </c>
      <c r="F11149" t="s">
        <v>11787</v>
      </c>
    </row>
    <row r="11150" spans="1:6" x14ac:dyDescent="0.25">
      <c r="A11150" t="s">
        <v>13142</v>
      </c>
      <c r="B11150" t="s">
        <v>2594</v>
      </c>
      <c r="C11150" t="s">
        <v>1743</v>
      </c>
      <c r="D11150" t="str">
        <f>HYPERLINK("http://service.sap.com/sap/support/notes/1807615","1807615")</f>
        <v>1807615</v>
      </c>
      <c r="E11150">
        <v>4</v>
      </c>
      <c r="F11150" t="s">
        <v>11786</v>
      </c>
    </row>
    <row r="11151" spans="1:6" x14ac:dyDescent="0.25">
      <c r="A11151" t="s">
        <v>13142</v>
      </c>
      <c r="B11151" t="s">
        <v>2594</v>
      </c>
      <c r="C11151" t="s">
        <v>1743</v>
      </c>
      <c r="D11151" t="str">
        <f>HYPERLINK("http://service.sap.com/sap/support/notes/1816189","1816189")</f>
        <v>1816189</v>
      </c>
      <c r="E11151">
        <v>6</v>
      </c>
      <c r="F11151" t="s">
        <v>11785</v>
      </c>
    </row>
    <row r="11152" spans="1:6" x14ac:dyDescent="0.25">
      <c r="A11152" t="s">
        <v>13142</v>
      </c>
      <c r="B11152" t="s">
        <v>2594</v>
      </c>
      <c r="C11152" t="s">
        <v>1743</v>
      </c>
      <c r="D11152" t="str">
        <f>HYPERLINK("http://service.sap.com/sap/support/notes/1856268","1856268")</f>
        <v>1856268</v>
      </c>
      <c r="E11152">
        <v>3</v>
      </c>
      <c r="F11152" t="s">
        <v>10101</v>
      </c>
    </row>
    <row r="11153" spans="1:6" x14ac:dyDescent="0.25">
      <c r="A11153" t="s">
        <v>13142</v>
      </c>
      <c r="B11153" t="s">
        <v>2594</v>
      </c>
      <c r="C11153" t="s">
        <v>1743</v>
      </c>
      <c r="D11153" t="str">
        <f>HYPERLINK("http://service.sap.com/sap/support/notes/1866843","1866843")</f>
        <v>1866843</v>
      </c>
      <c r="E11153">
        <v>2</v>
      </c>
      <c r="F11153" t="s">
        <v>11784</v>
      </c>
    </row>
    <row r="11154" spans="1:6" x14ac:dyDescent="0.25">
      <c r="A11154" t="s">
        <v>13142</v>
      </c>
      <c r="B11154" t="s">
        <v>2594</v>
      </c>
      <c r="C11154" t="s">
        <v>1743</v>
      </c>
      <c r="D11154" t="str">
        <f>HYPERLINK("http://service.sap.com/sap/support/notes/1870181","1870181")</f>
        <v>1870181</v>
      </c>
      <c r="E11154">
        <v>3</v>
      </c>
      <c r="F11154" t="s">
        <v>11783</v>
      </c>
    </row>
    <row r="11155" spans="1:6" x14ac:dyDescent="0.25">
      <c r="A11155" t="s">
        <v>13142</v>
      </c>
      <c r="B11155" t="s">
        <v>2601</v>
      </c>
      <c r="C11155" t="s">
        <v>151</v>
      </c>
      <c r="D11155" t="str">
        <f>HYPERLINK("http://service.sap.com/sap/support/notes/1852810","1852810")</f>
        <v>1852810</v>
      </c>
      <c r="E11155">
        <v>1</v>
      </c>
      <c r="F11155" t="s">
        <v>11782</v>
      </c>
    </row>
    <row r="11156" spans="1:6" x14ac:dyDescent="0.25">
      <c r="A11156" t="s">
        <v>13142</v>
      </c>
      <c r="B11156" t="s">
        <v>11781</v>
      </c>
      <c r="C11156" t="s">
        <v>11780</v>
      </c>
      <c r="D11156" t="str">
        <f>HYPERLINK("http://service.sap.com/sap/support/notes/1866847","1866847")</f>
        <v>1866847</v>
      </c>
      <c r="E11156">
        <v>1</v>
      </c>
      <c r="F11156" t="s">
        <v>11779</v>
      </c>
    </row>
    <row r="11157" spans="1:6" x14ac:dyDescent="0.25">
      <c r="A11157" t="s">
        <v>13142</v>
      </c>
      <c r="B11157" t="s">
        <v>11778</v>
      </c>
      <c r="C11157" t="s">
        <v>29</v>
      </c>
      <c r="D11157" t="str">
        <f>HYPERLINK("http://service.sap.com/sap/support/notes/1826275","1826275")</f>
        <v>1826275</v>
      </c>
      <c r="E11157">
        <v>2</v>
      </c>
      <c r="F11157" t="s">
        <v>11777</v>
      </c>
    </row>
    <row r="11158" spans="1:6" x14ac:dyDescent="0.25">
      <c r="A11158" t="s">
        <v>13142</v>
      </c>
      <c r="B11158" t="s">
        <v>5569</v>
      </c>
      <c r="C11158" t="s">
        <v>5570</v>
      </c>
      <c r="D11158" t="str">
        <f>HYPERLINK("http://service.sap.com/sap/support/notes/1896172","1896172")</f>
        <v>1896172</v>
      </c>
      <c r="E11158">
        <v>2</v>
      </c>
      <c r="F11158" t="s">
        <v>11776</v>
      </c>
    </row>
    <row r="11159" spans="1:6" x14ac:dyDescent="0.25">
      <c r="A11159" t="s">
        <v>13142</v>
      </c>
      <c r="B11159" t="s">
        <v>5572</v>
      </c>
      <c r="C11159" t="s">
        <v>5573</v>
      </c>
    </row>
    <row r="11160" spans="1:6" x14ac:dyDescent="0.25">
      <c r="A11160" t="s">
        <v>13142</v>
      </c>
      <c r="B11160" t="s">
        <v>5574</v>
      </c>
      <c r="C11160" t="s">
        <v>5575</v>
      </c>
    </row>
    <row r="11161" spans="1:6" x14ac:dyDescent="0.25">
      <c r="A11161" t="s">
        <v>13142</v>
      </c>
      <c r="B11161" t="s">
        <v>11775</v>
      </c>
      <c r="C11161" t="s">
        <v>11774</v>
      </c>
    </row>
    <row r="11162" spans="1:6" x14ac:dyDescent="0.25">
      <c r="A11162" t="s">
        <v>13142</v>
      </c>
      <c r="B11162" t="s">
        <v>11773</v>
      </c>
      <c r="C11162" t="s">
        <v>11772</v>
      </c>
      <c r="D11162" t="str">
        <f>HYPERLINK("http://service.sap.com/sap/support/notes/1873573","1873573")</f>
        <v>1873573</v>
      </c>
      <c r="E11162">
        <v>4</v>
      </c>
      <c r="F11162" t="s">
        <v>11771</v>
      </c>
    </row>
    <row r="11163" spans="1:6" x14ac:dyDescent="0.25">
      <c r="A11163" t="s">
        <v>13142</v>
      </c>
      <c r="B11163" t="s">
        <v>7995</v>
      </c>
      <c r="C11163" t="s">
        <v>7996</v>
      </c>
    </row>
    <row r="11164" spans="1:6" x14ac:dyDescent="0.25">
      <c r="A11164" t="s">
        <v>13142</v>
      </c>
      <c r="B11164" t="s">
        <v>7997</v>
      </c>
      <c r="C11164" t="s">
        <v>7998</v>
      </c>
    </row>
    <row r="11165" spans="1:6" x14ac:dyDescent="0.25">
      <c r="A11165" t="s">
        <v>13142</v>
      </c>
      <c r="B11165" t="s">
        <v>7999</v>
      </c>
      <c r="C11165" t="s">
        <v>8000</v>
      </c>
      <c r="D11165" t="str">
        <f>HYPERLINK("http://service.sap.com/sap/support/notes/1803117","1803117")</f>
        <v>1803117</v>
      </c>
      <c r="E11165">
        <v>3</v>
      </c>
      <c r="F11165" t="s">
        <v>11770</v>
      </c>
    </row>
    <row r="11166" spans="1:6" x14ac:dyDescent="0.25">
      <c r="A11166" t="s">
        <v>13142</v>
      </c>
      <c r="B11166" t="s">
        <v>5579</v>
      </c>
      <c r="C11166" t="s">
        <v>5580</v>
      </c>
    </row>
    <row r="11167" spans="1:6" x14ac:dyDescent="0.25">
      <c r="A11167" t="s">
        <v>13142</v>
      </c>
      <c r="B11167" t="s">
        <v>5581</v>
      </c>
      <c r="C11167" t="s">
        <v>5582</v>
      </c>
    </row>
    <row r="11168" spans="1:6" x14ac:dyDescent="0.25">
      <c r="A11168" t="s">
        <v>13142</v>
      </c>
      <c r="B11168" t="s">
        <v>5583</v>
      </c>
      <c r="C11168" t="s">
        <v>5584</v>
      </c>
    </row>
    <row r="11169" spans="1:6" x14ac:dyDescent="0.25">
      <c r="A11169" t="s">
        <v>13142</v>
      </c>
      <c r="B11169" t="s">
        <v>11769</v>
      </c>
      <c r="C11169" t="s">
        <v>11768</v>
      </c>
      <c r="D11169" t="str">
        <f>HYPERLINK("http://service.sap.com/sap/support/notes/1873694","1873694")</f>
        <v>1873694</v>
      </c>
      <c r="E11169">
        <v>2</v>
      </c>
      <c r="F11169" t="s">
        <v>11767</v>
      </c>
    </row>
    <row r="11170" spans="1:6" x14ac:dyDescent="0.25">
      <c r="A11170" t="s">
        <v>13142</v>
      </c>
      <c r="B11170" t="s">
        <v>11766</v>
      </c>
      <c r="C11170" t="s">
        <v>11765</v>
      </c>
      <c r="D11170" t="str">
        <f>HYPERLINK("http://service.sap.com/sap/support/notes/1860917","1860917")</f>
        <v>1860917</v>
      </c>
      <c r="E11170">
        <v>1</v>
      </c>
      <c r="F11170" t="s">
        <v>11764</v>
      </c>
    </row>
    <row r="11171" spans="1:6" x14ac:dyDescent="0.25">
      <c r="A11171" t="s">
        <v>13142</v>
      </c>
      <c r="B11171" t="s">
        <v>10110</v>
      </c>
      <c r="C11171" t="s">
        <v>10111</v>
      </c>
    </row>
    <row r="11172" spans="1:6" x14ac:dyDescent="0.25">
      <c r="A11172" t="s">
        <v>13142</v>
      </c>
      <c r="B11172" t="s">
        <v>11763</v>
      </c>
      <c r="C11172" t="s">
        <v>11762</v>
      </c>
      <c r="D11172" t="str">
        <f>HYPERLINK("http://service.sap.com/sap/support/notes/1864975","1864975")</f>
        <v>1864975</v>
      </c>
      <c r="E11172">
        <v>5</v>
      </c>
      <c r="F11172" t="s">
        <v>11761</v>
      </c>
    </row>
    <row r="11173" spans="1:6" x14ac:dyDescent="0.25">
      <c r="A11173" t="s">
        <v>13142</v>
      </c>
      <c r="B11173" t="s">
        <v>2603</v>
      </c>
      <c r="C11173" t="s">
        <v>233</v>
      </c>
      <c r="D11173" t="str">
        <f>HYPERLINK("http://service.sap.com/sap/support/notes/1816377","1816377")</f>
        <v>1816377</v>
      </c>
      <c r="E11173">
        <v>3</v>
      </c>
      <c r="F11173" t="s">
        <v>8005</v>
      </c>
    </row>
    <row r="11174" spans="1:6" x14ac:dyDescent="0.25">
      <c r="A11174" t="s">
        <v>13142</v>
      </c>
      <c r="B11174" t="s">
        <v>2603</v>
      </c>
      <c r="C11174" t="s">
        <v>233</v>
      </c>
      <c r="D11174" t="str">
        <f>HYPERLINK("http://service.sap.com/sap/support/notes/1846552","1846552")</f>
        <v>1846552</v>
      </c>
      <c r="E11174">
        <v>3</v>
      </c>
      <c r="F11174" t="s">
        <v>11760</v>
      </c>
    </row>
    <row r="11175" spans="1:6" x14ac:dyDescent="0.25">
      <c r="A11175" t="s">
        <v>13142</v>
      </c>
      <c r="B11175" t="s">
        <v>2603</v>
      </c>
      <c r="C11175" t="s">
        <v>233</v>
      </c>
      <c r="D11175" t="str">
        <f>HYPERLINK("http://service.sap.com/sap/support/notes/1858564","1858564")</f>
        <v>1858564</v>
      </c>
      <c r="E11175">
        <v>1</v>
      </c>
      <c r="F11175" t="s">
        <v>11759</v>
      </c>
    </row>
    <row r="11176" spans="1:6" x14ac:dyDescent="0.25">
      <c r="A11176" t="s">
        <v>13142</v>
      </c>
      <c r="B11176" t="s">
        <v>2603</v>
      </c>
      <c r="C11176" t="s">
        <v>233</v>
      </c>
      <c r="D11176" t="str">
        <f>HYPERLINK("http://service.sap.com/sap/support/notes/1889406","1889406")</f>
        <v>1889406</v>
      </c>
      <c r="E11176">
        <v>1</v>
      </c>
      <c r="F11176" t="s">
        <v>11758</v>
      </c>
    </row>
    <row r="11177" spans="1:6" x14ac:dyDescent="0.25">
      <c r="A11177" t="s">
        <v>13142</v>
      </c>
      <c r="B11177" t="s">
        <v>2607</v>
      </c>
      <c r="C11177" t="s">
        <v>2608</v>
      </c>
      <c r="D11177" t="str">
        <f>HYPERLINK("http://service.sap.com/sap/support/notes/1891518","1891518")</f>
        <v>1891518</v>
      </c>
      <c r="E11177">
        <v>1</v>
      </c>
      <c r="F11177" t="s">
        <v>11757</v>
      </c>
    </row>
    <row r="11178" spans="1:6" x14ac:dyDescent="0.25">
      <c r="A11178" t="s">
        <v>13142</v>
      </c>
      <c r="B11178" t="s">
        <v>2607</v>
      </c>
      <c r="C11178" t="s">
        <v>2608</v>
      </c>
      <c r="D11178" t="str">
        <f>HYPERLINK("http://service.sap.com/sap/support/notes/1897708","1897708")</f>
        <v>1897708</v>
      </c>
      <c r="E11178">
        <v>1</v>
      </c>
      <c r="F11178" t="s">
        <v>11756</v>
      </c>
    </row>
    <row r="11179" spans="1:6" x14ac:dyDescent="0.25">
      <c r="A11179" t="s">
        <v>13142</v>
      </c>
      <c r="B11179" t="s">
        <v>2616</v>
      </c>
      <c r="C11179" t="s">
        <v>2617</v>
      </c>
      <c r="D11179" t="str">
        <f>HYPERLINK("http://service.sap.com/sap/support/notes/1868449","1868449")</f>
        <v>1868449</v>
      </c>
      <c r="E11179">
        <v>1</v>
      </c>
      <c r="F11179" t="s">
        <v>11755</v>
      </c>
    </row>
    <row r="11180" spans="1:6" x14ac:dyDescent="0.25">
      <c r="A11180" t="s">
        <v>13142</v>
      </c>
      <c r="B11180" t="s">
        <v>5590</v>
      </c>
      <c r="C11180" t="s">
        <v>2659</v>
      </c>
      <c r="D11180" t="str">
        <f>HYPERLINK("http://service.sap.com/sap/support/notes/1885059","1885059")</f>
        <v>1885059</v>
      </c>
      <c r="E11180">
        <v>1</v>
      </c>
      <c r="F11180" t="s">
        <v>11754</v>
      </c>
    </row>
    <row r="11181" spans="1:6" x14ac:dyDescent="0.25">
      <c r="A11181" t="s">
        <v>13142</v>
      </c>
      <c r="B11181" t="s">
        <v>2622</v>
      </c>
      <c r="C11181" t="s">
        <v>2623</v>
      </c>
    </row>
    <row r="11182" spans="1:6" x14ac:dyDescent="0.25">
      <c r="A11182" t="s">
        <v>13142</v>
      </c>
      <c r="B11182" t="s">
        <v>2624</v>
      </c>
      <c r="C11182" t="s">
        <v>2625</v>
      </c>
      <c r="D11182" t="str">
        <f>HYPERLINK("http://service.sap.com/sap/support/notes/1884340","1884340")</f>
        <v>1884340</v>
      </c>
      <c r="E11182">
        <v>1</v>
      </c>
      <c r="F11182" t="s">
        <v>11753</v>
      </c>
    </row>
    <row r="11183" spans="1:6" x14ac:dyDescent="0.25">
      <c r="A11183" t="s">
        <v>13142</v>
      </c>
      <c r="B11183" t="s">
        <v>2634</v>
      </c>
      <c r="C11183" t="s">
        <v>2635</v>
      </c>
    </row>
    <row r="11184" spans="1:6" x14ac:dyDescent="0.25">
      <c r="A11184" t="s">
        <v>13142</v>
      </c>
      <c r="B11184" t="s">
        <v>2636</v>
      </c>
      <c r="C11184" t="s">
        <v>2637</v>
      </c>
      <c r="D11184" t="str">
        <f>HYPERLINK("http://service.sap.com/sap/support/notes/1876138","1876138")</f>
        <v>1876138</v>
      </c>
      <c r="E11184">
        <v>2</v>
      </c>
      <c r="F11184" t="s">
        <v>11752</v>
      </c>
    </row>
    <row r="11185" spans="1:6" x14ac:dyDescent="0.25">
      <c r="A11185" t="s">
        <v>13142</v>
      </c>
      <c r="B11185" t="s">
        <v>2643</v>
      </c>
      <c r="C11185" t="s">
        <v>2644</v>
      </c>
      <c r="D11185" t="str">
        <f>HYPERLINK("http://service.sap.com/sap/support/notes/1881544","1881544")</f>
        <v>1881544</v>
      </c>
      <c r="E11185">
        <v>1</v>
      </c>
      <c r="F11185" t="s">
        <v>11751</v>
      </c>
    </row>
    <row r="11186" spans="1:6" x14ac:dyDescent="0.25">
      <c r="A11186" t="s">
        <v>13142</v>
      </c>
      <c r="B11186" t="s">
        <v>2643</v>
      </c>
      <c r="C11186" t="s">
        <v>2644</v>
      </c>
      <c r="D11186" t="str">
        <f>HYPERLINK("http://service.sap.com/sap/support/notes/1883288","1883288")</f>
        <v>1883288</v>
      </c>
      <c r="E11186">
        <v>1</v>
      </c>
      <c r="F11186" t="s">
        <v>11750</v>
      </c>
    </row>
    <row r="11187" spans="1:6" x14ac:dyDescent="0.25">
      <c r="A11187" t="s">
        <v>13142</v>
      </c>
      <c r="B11187" t="s">
        <v>2643</v>
      </c>
      <c r="C11187" t="s">
        <v>2644</v>
      </c>
      <c r="D11187" t="str">
        <f>HYPERLINK("http://service.sap.com/sap/support/notes/1883460","1883460")</f>
        <v>1883460</v>
      </c>
      <c r="E11187">
        <v>1</v>
      </c>
      <c r="F11187" t="s">
        <v>11749</v>
      </c>
    </row>
    <row r="11188" spans="1:6" x14ac:dyDescent="0.25">
      <c r="A11188" t="s">
        <v>13142</v>
      </c>
      <c r="B11188" t="s">
        <v>2647</v>
      </c>
      <c r="C11188" t="s">
        <v>2648</v>
      </c>
      <c r="D11188" t="str">
        <f>HYPERLINK("http://service.sap.com/sap/support/notes/618733","618733")</f>
        <v>618733</v>
      </c>
      <c r="E11188">
        <v>2</v>
      </c>
      <c r="F11188" t="s">
        <v>11748</v>
      </c>
    </row>
    <row r="11189" spans="1:6" x14ac:dyDescent="0.25">
      <c r="A11189" t="s">
        <v>13142</v>
      </c>
      <c r="B11189" t="s">
        <v>2647</v>
      </c>
      <c r="C11189" t="s">
        <v>2648</v>
      </c>
      <c r="D11189" t="str">
        <f>HYPERLINK("http://service.sap.com/sap/support/notes/1901669","1901669")</f>
        <v>1901669</v>
      </c>
      <c r="E11189">
        <v>5</v>
      </c>
      <c r="F11189" t="s">
        <v>11747</v>
      </c>
    </row>
    <row r="11190" spans="1:6" x14ac:dyDescent="0.25">
      <c r="A11190" t="s">
        <v>13142</v>
      </c>
      <c r="B11190" t="s">
        <v>2654</v>
      </c>
      <c r="C11190" t="s">
        <v>2655</v>
      </c>
      <c r="D11190" t="str">
        <f>HYPERLINK("http://service.sap.com/sap/support/notes/1887631","1887631")</f>
        <v>1887631</v>
      </c>
      <c r="E11190">
        <v>1</v>
      </c>
      <c r="F11190" t="s">
        <v>11746</v>
      </c>
    </row>
    <row r="11191" spans="1:6" x14ac:dyDescent="0.25">
      <c r="A11191" t="s">
        <v>13142</v>
      </c>
      <c r="B11191" t="s">
        <v>2654</v>
      </c>
      <c r="C11191" t="s">
        <v>2655</v>
      </c>
      <c r="D11191" t="str">
        <f>HYPERLINK("http://service.sap.com/sap/support/notes/1902435","1902435")</f>
        <v>1902435</v>
      </c>
      <c r="E11191">
        <v>3</v>
      </c>
      <c r="F11191" t="s">
        <v>11745</v>
      </c>
    </row>
    <row r="11192" spans="1:6" x14ac:dyDescent="0.25">
      <c r="A11192" t="s">
        <v>13142</v>
      </c>
      <c r="B11192" t="s">
        <v>10160</v>
      </c>
      <c r="C11192" t="s">
        <v>10161</v>
      </c>
      <c r="D11192" t="str">
        <f>HYPERLINK("http://service.sap.com/sap/support/notes/1888272","1888272")</f>
        <v>1888272</v>
      </c>
      <c r="E11192">
        <v>2</v>
      </c>
      <c r="F11192" t="s">
        <v>11744</v>
      </c>
    </row>
    <row r="11193" spans="1:6" x14ac:dyDescent="0.25">
      <c r="A11193" t="s">
        <v>13142</v>
      </c>
      <c r="B11193" t="s">
        <v>2658</v>
      </c>
      <c r="C11193" t="s">
        <v>2659</v>
      </c>
      <c r="D11193" t="str">
        <f>HYPERLINK("http://service.sap.com/sap/support/notes/1869198","1869198")</f>
        <v>1869198</v>
      </c>
      <c r="E11193">
        <v>1</v>
      </c>
      <c r="F11193" t="s">
        <v>11743</v>
      </c>
    </row>
    <row r="11194" spans="1:6" x14ac:dyDescent="0.25">
      <c r="A11194" t="s">
        <v>13142</v>
      </c>
      <c r="B11194" t="s">
        <v>2658</v>
      </c>
      <c r="C11194" t="s">
        <v>2659</v>
      </c>
      <c r="D11194" t="str">
        <f>HYPERLINK("http://service.sap.com/sap/support/notes/1891215","1891215")</f>
        <v>1891215</v>
      </c>
      <c r="E11194">
        <v>2</v>
      </c>
      <c r="F11194" t="s">
        <v>11742</v>
      </c>
    </row>
    <row r="11195" spans="1:6" x14ac:dyDescent="0.25">
      <c r="A11195" t="s">
        <v>13142</v>
      </c>
      <c r="B11195" t="s">
        <v>2658</v>
      </c>
      <c r="C11195" t="s">
        <v>2659</v>
      </c>
      <c r="D11195" t="str">
        <f>HYPERLINK("http://service.sap.com/sap/support/notes/1903755","1903755")</f>
        <v>1903755</v>
      </c>
      <c r="E11195">
        <v>1</v>
      </c>
      <c r="F11195" t="s">
        <v>11741</v>
      </c>
    </row>
    <row r="11196" spans="1:6" x14ac:dyDescent="0.25">
      <c r="A11196" t="s">
        <v>13142</v>
      </c>
      <c r="B11196" t="s">
        <v>2661</v>
      </c>
      <c r="C11196" t="s">
        <v>2662</v>
      </c>
      <c r="D11196" t="str">
        <f>HYPERLINK("http://service.sap.com/sap/support/notes/1891963","1891963")</f>
        <v>1891963</v>
      </c>
      <c r="E11196">
        <v>2</v>
      </c>
      <c r="F11196" t="s">
        <v>11740</v>
      </c>
    </row>
    <row r="11197" spans="1:6" x14ac:dyDescent="0.25">
      <c r="A11197" t="s">
        <v>13142</v>
      </c>
      <c r="B11197" t="s">
        <v>2669</v>
      </c>
      <c r="C11197" t="s">
        <v>2670</v>
      </c>
      <c r="D11197" t="str">
        <f>HYPERLINK("http://service.sap.com/sap/support/notes/1870297","1870297")</f>
        <v>1870297</v>
      </c>
      <c r="E11197">
        <v>1</v>
      </c>
      <c r="F11197" t="s">
        <v>11739</v>
      </c>
    </row>
    <row r="11198" spans="1:6" x14ac:dyDescent="0.25">
      <c r="A11198" t="s">
        <v>13142</v>
      </c>
      <c r="B11198" t="s">
        <v>2669</v>
      </c>
      <c r="C11198" t="s">
        <v>2670</v>
      </c>
      <c r="D11198" t="str">
        <f>HYPERLINK("http://service.sap.com/sap/support/notes/1880644","1880644")</f>
        <v>1880644</v>
      </c>
      <c r="E11198">
        <v>2</v>
      </c>
      <c r="F11198" t="s">
        <v>11738</v>
      </c>
    </row>
    <row r="11199" spans="1:6" x14ac:dyDescent="0.25">
      <c r="A11199" t="s">
        <v>13142</v>
      </c>
      <c r="B11199" t="s">
        <v>2669</v>
      </c>
      <c r="C11199" t="s">
        <v>2670</v>
      </c>
      <c r="D11199" t="str">
        <f>HYPERLINK("http://service.sap.com/sap/support/notes/1894015","1894015")</f>
        <v>1894015</v>
      </c>
      <c r="E11199">
        <v>2</v>
      </c>
      <c r="F11199" t="s">
        <v>11737</v>
      </c>
    </row>
    <row r="11200" spans="1:6" x14ac:dyDescent="0.25">
      <c r="A11200" t="s">
        <v>13142</v>
      </c>
      <c r="B11200" t="s">
        <v>2669</v>
      </c>
      <c r="C11200" t="s">
        <v>2670</v>
      </c>
      <c r="D11200" t="str">
        <f>HYPERLINK("http://service.sap.com/sap/support/notes/1898674","1898674")</f>
        <v>1898674</v>
      </c>
      <c r="E11200">
        <v>1</v>
      </c>
      <c r="F11200" t="s">
        <v>11736</v>
      </c>
    </row>
    <row r="11201" spans="1:6" x14ac:dyDescent="0.25">
      <c r="A11201" t="s">
        <v>13142</v>
      </c>
      <c r="B11201" t="s">
        <v>2669</v>
      </c>
      <c r="C11201" t="s">
        <v>2670</v>
      </c>
      <c r="D11201" t="str">
        <f>HYPERLINK("http://service.sap.com/sap/support/notes/1899116","1899116")</f>
        <v>1899116</v>
      </c>
      <c r="E11201">
        <v>2</v>
      </c>
      <c r="F11201" t="s">
        <v>11735</v>
      </c>
    </row>
    <row r="11202" spans="1:6" x14ac:dyDescent="0.25">
      <c r="A11202" t="s">
        <v>13142</v>
      </c>
      <c r="B11202" t="s">
        <v>2684</v>
      </c>
      <c r="C11202" t="s">
        <v>2685</v>
      </c>
      <c r="D11202" t="str">
        <f>HYPERLINK("http://service.sap.com/sap/support/notes/1806268","1806268")</f>
        <v>1806268</v>
      </c>
      <c r="E11202">
        <v>2</v>
      </c>
      <c r="F11202" t="s">
        <v>11734</v>
      </c>
    </row>
    <row r="11203" spans="1:6" x14ac:dyDescent="0.25">
      <c r="A11203" t="s">
        <v>13142</v>
      </c>
      <c r="B11203" t="s">
        <v>2684</v>
      </c>
      <c r="C11203" t="s">
        <v>2685</v>
      </c>
      <c r="D11203" t="str">
        <f>HYPERLINK("http://service.sap.com/sap/support/notes/1856294","1856294")</f>
        <v>1856294</v>
      </c>
      <c r="E11203">
        <v>2</v>
      </c>
      <c r="F11203" t="s">
        <v>11733</v>
      </c>
    </row>
    <row r="11204" spans="1:6" x14ac:dyDescent="0.25">
      <c r="A11204" t="s">
        <v>13142</v>
      </c>
      <c r="B11204" t="s">
        <v>2684</v>
      </c>
      <c r="C11204" t="s">
        <v>2685</v>
      </c>
      <c r="D11204" t="str">
        <f>HYPERLINK("http://service.sap.com/sap/support/notes/1865142","1865142")</f>
        <v>1865142</v>
      </c>
      <c r="E11204">
        <v>3</v>
      </c>
      <c r="F11204" t="s">
        <v>11732</v>
      </c>
    </row>
    <row r="11205" spans="1:6" x14ac:dyDescent="0.25">
      <c r="A11205" t="s">
        <v>13142</v>
      </c>
      <c r="B11205" t="s">
        <v>2684</v>
      </c>
      <c r="C11205" t="s">
        <v>2685</v>
      </c>
      <c r="D11205" t="str">
        <f>HYPERLINK("http://service.sap.com/sap/support/notes/1868495","1868495")</f>
        <v>1868495</v>
      </c>
      <c r="E11205">
        <v>1</v>
      </c>
      <c r="F11205" t="s">
        <v>11731</v>
      </c>
    </row>
    <row r="11206" spans="1:6" x14ac:dyDescent="0.25">
      <c r="A11206" t="s">
        <v>13142</v>
      </c>
      <c r="B11206" t="s">
        <v>2684</v>
      </c>
      <c r="C11206" t="s">
        <v>2685</v>
      </c>
      <c r="D11206" t="str">
        <f>HYPERLINK("http://service.sap.com/sap/support/notes/1869322","1869322")</f>
        <v>1869322</v>
      </c>
      <c r="E11206">
        <v>1</v>
      </c>
      <c r="F11206" t="s">
        <v>11730</v>
      </c>
    </row>
    <row r="11207" spans="1:6" x14ac:dyDescent="0.25">
      <c r="A11207" t="s">
        <v>13142</v>
      </c>
      <c r="B11207" t="s">
        <v>2684</v>
      </c>
      <c r="C11207" t="s">
        <v>2685</v>
      </c>
      <c r="D11207" t="str">
        <f>HYPERLINK("http://service.sap.com/sap/support/notes/1869745","1869745")</f>
        <v>1869745</v>
      </c>
      <c r="E11207">
        <v>2</v>
      </c>
      <c r="F11207" t="s">
        <v>11729</v>
      </c>
    </row>
    <row r="11208" spans="1:6" x14ac:dyDescent="0.25">
      <c r="A11208" t="s">
        <v>13142</v>
      </c>
      <c r="B11208" t="s">
        <v>2684</v>
      </c>
      <c r="C11208" t="s">
        <v>2685</v>
      </c>
      <c r="D11208" t="str">
        <f>HYPERLINK("http://service.sap.com/sap/support/notes/1873063","1873063")</f>
        <v>1873063</v>
      </c>
      <c r="E11208">
        <v>1</v>
      </c>
      <c r="F11208" t="s">
        <v>11728</v>
      </c>
    </row>
    <row r="11209" spans="1:6" x14ac:dyDescent="0.25">
      <c r="A11209" t="s">
        <v>13142</v>
      </c>
      <c r="B11209" t="s">
        <v>2684</v>
      </c>
      <c r="C11209" t="s">
        <v>2685</v>
      </c>
      <c r="D11209" t="str">
        <f>HYPERLINK("http://service.sap.com/sap/support/notes/1874804","1874804")</f>
        <v>1874804</v>
      </c>
      <c r="E11209">
        <v>1</v>
      </c>
      <c r="F11209" t="s">
        <v>11727</v>
      </c>
    </row>
    <row r="11210" spans="1:6" x14ac:dyDescent="0.25">
      <c r="A11210" t="s">
        <v>13142</v>
      </c>
      <c r="B11210" t="s">
        <v>2684</v>
      </c>
      <c r="C11210" t="s">
        <v>2685</v>
      </c>
      <c r="D11210" t="str">
        <f>HYPERLINK("http://service.sap.com/sap/support/notes/1875015","1875015")</f>
        <v>1875015</v>
      </c>
      <c r="E11210">
        <v>2</v>
      </c>
      <c r="F11210" t="s">
        <v>11726</v>
      </c>
    </row>
    <row r="11211" spans="1:6" x14ac:dyDescent="0.25">
      <c r="A11211" t="s">
        <v>13142</v>
      </c>
      <c r="B11211" t="s">
        <v>2684</v>
      </c>
      <c r="C11211" t="s">
        <v>2685</v>
      </c>
      <c r="D11211" t="str">
        <f>HYPERLINK("http://service.sap.com/sap/support/notes/1875327","1875327")</f>
        <v>1875327</v>
      </c>
      <c r="E11211">
        <v>1</v>
      </c>
      <c r="F11211" t="s">
        <v>11725</v>
      </c>
    </row>
    <row r="11212" spans="1:6" x14ac:dyDescent="0.25">
      <c r="A11212" t="s">
        <v>13142</v>
      </c>
      <c r="B11212" t="s">
        <v>2684</v>
      </c>
      <c r="C11212" t="s">
        <v>2685</v>
      </c>
      <c r="D11212" t="str">
        <f>HYPERLINK("http://service.sap.com/sap/support/notes/1877271","1877271")</f>
        <v>1877271</v>
      </c>
      <c r="E11212">
        <v>1</v>
      </c>
      <c r="F11212" t="s">
        <v>11724</v>
      </c>
    </row>
    <row r="11213" spans="1:6" x14ac:dyDescent="0.25">
      <c r="A11213" t="s">
        <v>13142</v>
      </c>
      <c r="B11213" t="s">
        <v>2684</v>
      </c>
      <c r="C11213" t="s">
        <v>2685</v>
      </c>
      <c r="D11213" t="str">
        <f>HYPERLINK("http://service.sap.com/sap/support/notes/1877826","1877826")</f>
        <v>1877826</v>
      </c>
      <c r="E11213">
        <v>1</v>
      </c>
      <c r="F11213" t="s">
        <v>11723</v>
      </c>
    </row>
    <row r="11214" spans="1:6" x14ac:dyDescent="0.25">
      <c r="A11214" t="s">
        <v>13142</v>
      </c>
      <c r="B11214" t="s">
        <v>2684</v>
      </c>
      <c r="C11214" t="s">
        <v>2685</v>
      </c>
      <c r="D11214" t="str">
        <f>HYPERLINK("http://service.sap.com/sap/support/notes/1883130","1883130")</f>
        <v>1883130</v>
      </c>
      <c r="E11214">
        <v>1</v>
      </c>
      <c r="F11214" t="s">
        <v>11722</v>
      </c>
    </row>
    <row r="11215" spans="1:6" x14ac:dyDescent="0.25">
      <c r="A11215" t="s">
        <v>13142</v>
      </c>
      <c r="B11215" t="s">
        <v>2684</v>
      </c>
      <c r="C11215" t="s">
        <v>2685</v>
      </c>
      <c r="D11215" t="str">
        <f>HYPERLINK("http://service.sap.com/sap/support/notes/1883461","1883461")</f>
        <v>1883461</v>
      </c>
      <c r="E11215">
        <v>1</v>
      </c>
      <c r="F11215" t="s">
        <v>11721</v>
      </c>
    </row>
    <row r="11216" spans="1:6" x14ac:dyDescent="0.25">
      <c r="A11216" t="s">
        <v>13142</v>
      </c>
      <c r="B11216" t="s">
        <v>2684</v>
      </c>
      <c r="C11216" t="s">
        <v>2685</v>
      </c>
      <c r="D11216" t="str">
        <f>HYPERLINK("http://service.sap.com/sap/support/notes/1883588","1883588")</f>
        <v>1883588</v>
      </c>
      <c r="E11216">
        <v>2</v>
      </c>
      <c r="F11216" t="s">
        <v>11720</v>
      </c>
    </row>
    <row r="11217" spans="1:6" x14ac:dyDescent="0.25">
      <c r="A11217" t="s">
        <v>13142</v>
      </c>
      <c r="B11217" t="s">
        <v>2684</v>
      </c>
      <c r="C11217" t="s">
        <v>2685</v>
      </c>
      <c r="D11217" t="str">
        <f>HYPERLINK("http://service.sap.com/sap/support/notes/1886380","1886380")</f>
        <v>1886380</v>
      </c>
      <c r="E11217">
        <v>2</v>
      </c>
      <c r="F11217" t="s">
        <v>11719</v>
      </c>
    </row>
    <row r="11218" spans="1:6" x14ac:dyDescent="0.25">
      <c r="A11218" t="s">
        <v>13142</v>
      </c>
      <c r="B11218" t="s">
        <v>2684</v>
      </c>
      <c r="C11218" t="s">
        <v>2685</v>
      </c>
      <c r="D11218" t="str">
        <f>HYPERLINK("http://service.sap.com/sap/support/notes/1886573","1886573")</f>
        <v>1886573</v>
      </c>
      <c r="E11218">
        <v>2</v>
      </c>
      <c r="F11218" t="s">
        <v>11718</v>
      </c>
    </row>
    <row r="11219" spans="1:6" x14ac:dyDescent="0.25">
      <c r="A11219" t="s">
        <v>13142</v>
      </c>
      <c r="B11219" t="s">
        <v>2684</v>
      </c>
      <c r="C11219" t="s">
        <v>2685</v>
      </c>
      <c r="D11219" t="str">
        <f>HYPERLINK("http://service.sap.com/sap/support/notes/1888690","1888690")</f>
        <v>1888690</v>
      </c>
      <c r="E11219">
        <v>1</v>
      </c>
      <c r="F11219" t="s">
        <v>11717</v>
      </c>
    </row>
    <row r="11220" spans="1:6" x14ac:dyDescent="0.25">
      <c r="A11220" t="s">
        <v>13142</v>
      </c>
      <c r="B11220" t="s">
        <v>2684</v>
      </c>
      <c r="C11220" t="s">
        <v>2685</v>
      </c>
      <c r="D11220" t="str">
        <f>HYPERLINK("http://service.sap.com/sap/support/notes/1893286","1893286")</f>
        <v>1893286</v>
      </c>
      <c r="E11220">
        <v>5</v>
      </c>
      <c r="F11220" t="s">
        <v>11716</v>
      </c>
    </row>
    <row r="11221" spans="1:6" x14ac:dyDescent="0.25">
      <c r="A11221" t="s">
        <v>13142</v>
      </c>
      <c r="B11221" t="s">
        <v>2684</v>
      </c>
      <c r="C11221" t="s">
        <v>2685</v>
      </c>
      <c r="D11221" t="str">
        <f>HYPERLINK("http://service.sap.com/sap/support/notes/1896467","1896467")</f>
        <v>1896467</v>
      </c>
      <c r="E11221">
        <v>1</v>
      </c>
      <c r="F11221" t="s">
        <v>11715</v>
      </c>
    </row>
    <row r="11222" spans="1:6" x14ac:dyDescent="0.25">
      <c r="A11222" t="s">
        <v>13142</v>
      </c>
      <c r="B11222" t="s">
        <v>2684</v>
      </c>
      <c r="C11222" t="s">
        <v>2685</v>
      </c>
      <c r="D11222" t="str">
        <f>HYPERLINK("http://service.sap.com/sap/support/notes/1896955","1896955")</f>
        <v>1896955</v>
      </c>
      <c r="E11222">
        <v>1</v>
      </c>
      <c r="F11222" t="s">
        <v>11714</v>
      </c>
    </row>
    <row r="11223" spans="1:6" x14ac:dyDescent="0.25">
      <c r="A11223" t="s">
        <v>13142</v>
      </c>
      <c r="B11223" t="s">
        <v>2684</v>
      </c>
      <c r="C11223" t="s">
        <v>2685</v>
      </c>
      <c r="D11223" t="str">
        <f>HYPERLINK("http://service.sap.com/sap/support/notes/1897313","1897313")</f>
        <v>1897313</v>
      </c>
      <c r="E11223">
        <v>1</v>
      </c>
      <c r="F11223" t="s">
        <v>11713</v>
      </c>
    </row>
    <row r="11224" spans="1:6" x14ac:dyDescent="0.25">
      <c r="A11224" t="s">
        <v>13142</v>
      </c>
      <c r="B11224" t="s">
        <v>2719</v>
      </c>
      <c r="C11224" t="s">
        <v>978</v>
      </c>
      <c r="D11224" t="str">
        <f>HYPERLINK("http://service.sap.com/sap/support/notes/1877922","1877922")</f>
        <v>1877922</v>
      </c>
      <c r="E11224">
        <v>2</v>
      </c>
      <c r="F11224" t="s">
        <v>11712</v>
      </c>
    </row>
    <row r="11225" spans="1:6" x14ac:dyDescent="0.25">
      <c r="A11225" t="s">
        <v>13142</v>
      </c>
      <c r="B11225" t="s">
        <v>2722</v>
      </c>
      <c r="C11225" t="s">
        <v>2723</v>
      </c>
      <c r="D11225" t="str">
        <f>HYPERLINK("http://service.sap.com/sap/support/notes/1889007","1889007")</f>
        <v>1889007</v>
      </c>
      <c r="E11225">
        <v>3</v>
      </c>
      <c r="F11225" t="s">
        <v>11711</v>
      </c>
    </row>
    <row r="11226" spans="1:6" x14ac:dyDescent="0.25">
      <c r="A11226" t="s">
        <v>13142</v>
      </c>
      <c r="B11226" t="s">
        <v>2725</v>
      </c>
      <c r="C11226" t="s">
        <v>2726</v>
      </c>
      <c r="D11226" t="str">
        <f>HYPERLINK("http://service.sap.com/sap/support/notes/1878962","1878962")</f>
        <v>1878962</v>
      </c>
      <c r="E11226">
        <v>1</v>
      </c>
      <c r="F11226" t="s">
        <v>11710</v>
      </c>
    </row>
    <row r="11227" spans="1:6" x14ac:dyDescent="0.25">
      <c r="A11227" t="s">
        <v>13142</v>
      </c>
      <c r="B11227" t="s">
        <v>2728</v>
      </c>
      <c r="C11227" t="s">
        <v>2729</v>
      </c>
      <c r="D11227" t="str">
        <f>HYPERLINK("http://service.sap.com/sap/support/notes/1870564","1870564")</f>
        <v>1870564</v>
      </c>
      <c r="E11227">
        <v>1</v>
      </c>
      <c r="F11227" t="s">
        <v>11709</v>
      </c>
    </row>
    <row r="11228" spans="1:6" x14ac:dyDescent="0.25">
      <c r="A11228" t="s">
        <v>13142</v>
      </c>
      <c r="B11228" t="s">
        <v>2728</v>
      </c>
      <c r="C11228" t="s">
        <v>2729</v>
      </c>
      <c r="D11228" t="str">
        <f>HYPERLINK("http://service.sap.com/sap/support/notes/1871210","1871210")</f>
        <v>1871210</v>
      </c>
      <c r="E11228">
        <v>1</v>
      </c>
      <c r="F11228" t="s">
        <v>11708</v>
      </c>
    </row>
    <row r="11229" spans="1:6" x14ac:dyDescent="0.25">
      <c r="A11229" t="s">
        <v>13142</v>
      </c>
      <c r="B11229" t="s">
        <v>2728</v>
      </c>
      <c r="C11229" t="s">
        <v>2729</v>
      </c>
      <c r="D11229" t="str">
        <f>HYPERLINK("http://service.sap.com/sap/support/notes/1883833","1883833")</f>
        <v>1883833</v>
      </c>
      <c r="E11229">
        <v>1</v>
      </c>
      <c r="F11229" t="s">
        <v>11707</v>
      </c>
    </row>
    <row r="11230" spans="1:6" x14ac:dyDescent="0.25">
      <c r="A11230" t="s">
        <v>13142</v>
      </c>
      <c r="B11230" t="s">
        <v>2728</v>
      </c>
      <c r="C11230" t="s">
        <v>2729</v>
      </c>
      <c r="D11230" t="str">
        <f>HYPERLINK("http://service.sap.com/sap/support/notes/1900720","1900720")</f>
        <v>1900720</v>
      </c>
      <c r="E11230">
        <v>1</v>
      </c>
      <c r="F11230" t="s">
        <v>11706</v>
      </c>
    </row>
    <row r="11231" spans="1:6" x14ac:dyDescent="0.25">
      <c r="A11231" t="s">
        <v>13142</v>
      </c>
      <c r="B11231" t="s">
        <v>10197</v>
      </c>
      <c r="C11231" t="s">
        <v>1638</v>
      </c>
      <c r="D11231" t="str">
        <f>HYPERLINK("http://service.sap.com/sap/support/notes/1897264","1897264")</f>
        <v>1897264</v>
      </c>
      <c r="E11231">
        <v>1</v>
      </c>
      <c r="F11231" t="s">
        <v>11705</v>
      </c>
    </row>
    <row r="11232" spans="1:6" x14ac:dyDescent="0.25">
      <c r="A11232" t="s">
        <v>13142</v>
      </c>
      <c r="B11232" t="s">
        <v>2748</v>
      </c>
      <c r="C11232" t="s">
        <v>238</v>
      </c>
    </row>
    <row r="11233" spans="1:6" x14ac:dyDescent="0.25">
      <c r="A11233" t="s">
        <v>13142</v>
      </c>
      <c r="B11233" t="s">
        <v>2749</v>
      </c>
      <c r="C11233" t="s">
        <v>1588</v>
      </c>
    </row>
    <row r="11234" spans="1:6" x14ac:dyDescent="0.25">
      <c r="A11234" t="s">
        <v>13142</v>
      </c>
      <c r="B11234" t="s">
        <v>11704</v>
      </c>
      <c r="C11234" t="s">
        <v>8152</v>
      </c>
      <c r="D11234" t="str">
        <f>HYPERLINK("http://service.sap.com/sap/support/notes/1890239","1890239")</f>
        <v>1890239</v>
      </c>
      <c r="E11234">
        <v>1</v>
      </c>
      <c r="F11234" t="s">
        <v>11703</v>
      </c>
    </row>
    <row r="11235" spans="1:6" x14ac:dyDescent="0.25">
      <c r="A11235" t="s">
        <v>13142</v>
      </c>
      <c r="B11235" t="s">
        <v>2750</v>
      </c>
      <c r="C11235" t="s">
        <v>2751</v>
      </c>
      <c r="D11235" t="str">
        <f>HYPERLINK("http://service.sap.com/sap/support/notes/1876754","1876754")</f>
        <v>1876754</v>
      </c>
      <c r="E11235">
        <v>2</v>
      </c>
      <c r="F11235" t="s">
        <v>11702</v>
      </c>
    </row>
    <row r="11236" spans="1:6" x14ac:dyDescent="0.25">
      <c r="A11236" t="s">
        <v>13142</v>
      </c>
      <c r="B11236" t="s">
        <v>2750</v>
      </c>
      <c r="C11236" t="s">
        <v>2751</v>
      </c>
      <c r="D11236" t="str">
        <f>HYPERLINK("http://service.sap.com/sap/support/notes/1880892","1880892")</f>
        <v>1880892</v>
      </c>
      <c r="E11236">
        <v>1</v>
      </c>
      <c r="F11236" t="s">
        <v>11701</v>
      </c>
    </row>
    <row r="11237" spans="1:6" x14ac:dyDescent="0.25">
      <c r="A11237" t="s">
        <v>13142</v>
      </c>
      <c r="B11237" t="s">
        <v>2750</v>
      </c>
      <c r="C11237" t="s">
        <v>2751</v>
      </c>
      <c r="D11237" t="str">
        <f>HYPERLINK("http://service.sap.com/sap/support/notes/1883768","1883768")</f>
        <v>1883768</v>
      </c>
      <c r="E11237">
        <v>1</v>
      </c>
      <c r="F11237" t="s">
        <v>11700</v>
      </c>
    </row>
    <row r="11238" spans="1:6" x14ac:dyDescent="0.25">
      <c r="A11238" t="s">
        <v>13142</v>
      </c>
      <c r="B11238" t="s">
        <v>2750</v>
      </c>
      <c r="C11238" t="s">
        <v>2751</v>
      </c>
      <c r="D11238" t="str">
        <f>HYPERLINK("http://service.sap.com/sap/support/notes/1884386","1884386")</f>
        <v>1884386</v>
      </c>
      <c r="E11238">
        <v>1</v>
      </c>
      <c r="F11238" t="s">
        <v>11699</v>
      </c>
    </row>
    <row r="11239" spans="1:6" x14ac:dyDescent="0.25">
      <c r="A11239" t="s">
        <v>13142</v>
      </c>
      <c r="B11239" t="s">
        <v>2750</v>
      </c>
      <c r="C11239" t="s">
        <v>2751</v>
      </c>
      <c r="D11239" t="str">
        <f>HYPERLINK("http://service.sap.com/sap/support/notes/1898871","1898871")</f>
        <v>1898871</v>
      </c>
      <c r="E11239">
        <v>1</v>
      </c>
      <c r="F11239" t="s">
        <v>11698</v>
      </c>
    </row>
    <row r="11240" spans="1:6" x14ac:dyDescent="0.25">
      <c r="A11240" t="s">
        <v>13142</v>
      </c>
      <c r="B11240" t="s">
        <v>2755</v>
      </c>
      <c r="C11240" t="s">
        <v>2756</v>
      </c>
      <c r="D11240" t="str">
        <f>HYPERLINK("http://service.sap.com/sap/support/notes/1858732","1858732")</f>
        <v>1858732</v>
      </c>
      <c r="E11240">
        <v>3</v>
      </c>
      <c r="F11240" t="s">
        <v>11697</v>
      </c>
    </row>
    <row r="11241" spans="1:6" x14ac:dyDescent="0.25">
      <c r="A11241" t="s">
        <v>13142</v>
      </c>
      <c r="B11241" t="s">
        <v>2758</v>
      </c>
      <c r="C11241" t="s">
        <v>2759</v>
      </c>
      <c r="D11241" t="str">
        <f>HYPERLINK("http://service.sap.com/sap/support/notes/1861531","1861531")</f>
        <v>1861531</v>
      </c>
      <c r="E11241">
        <v>2</v>
      </c>
      <c r="F11241" t="s">
        <v>11696</v>
      </c>
    </row>
    <row r="11242" spans="1:6" x14ac:dyDescent="0.25">
      <c r="A11242" t="s">
        <v>13142</v>
      </c>
      <c r="B11242" t="s">
        <v>2758</v>
      </c>
      <c r="C11242" t="s">
        <v>2759</v>
      </c>
      <c r="D11242" t="str">
        <f>HYPERLINK("http://service.sap.com/sap/support/notes/1872757","1872757")</f>
        <v>1872757</v>
      </c>
      <c r="E11242">
        <v>4</v>
      </c>
      <c r="F11242" t="s">
        <v>11695</v>
      </c>
    </row>
    <row r="11243" spans="1:6" x14ac:dyDescent="0.25">
      <c r="A11243" t="s">
        <v>13142</v>
      </c>
      <c r="B11243" t="s">
        <v>2767</v>
      </c>
      <c r="C11243" t="s">
        <v>2768</v>
      </c>
      <c r="D11243" t="str">
        <f>HYPERLINK("http://service.sap.com/sap/support/notes/1716564","1716564")</f>
        <v>1716564</v>
      </c>
      <c r="E11243">
        <v>2</v>
      </c>
      <c r="F11243" t="s">
        <v>11694</v>
      </c>
    </row>
    <row r="11244" spans="1:6" x14ac:dyDescent="0.25">
      <c r="A11244" t="s">
        <v>13142</v>
      </c>
      <c r="B11244" t="s">
        <v>2767</v>
      </c>
      <c r="C11244" t="s">
        <v>2768</v>
      </c>
      <c r="D11244" t="str">
        <f>HYPERLINK("http://service.sap.com/sap/support/notes/1867967","1867967")</f>
        <v>1867967</v>
      </c>
      <c r="E11244">
        <v>1</v>
      </c>
      <c r="F11244" t="s">
        <v>11693</v>
      </c>
    </row>
    <row r="11245" spans="1:6" x14ac:dyDescent="0.25">
      <c r="A11245" t="s">
        <v>13142</v>
      </c>
      <c r="B11245" t="s">
        <v>2767</v>
      </c>
      <c r="C11245" t="s">
        <v>2768</v>
      </c>
      <c r="D11245" t="str">
        <f>HYPERLINK("http://service.sap.com/sap/support/notes/1898322","1898322")</f>
        <v>1898322</v>
      </c>
      <c r="E11245">
        <v>1</v>
      </c>
    </row>
    <row r="11246" spans="1:6" x14ac:dyDescent="0.25">
      <c r="A11246" t="s">
        <v>13142</v>
      </c>
      <c r="B11246" t="s">
        <v>2770</v>
      </c>
      <c r="C11246" t="s">
        <v>2771</v>
      </c>
      <c r="D11246" t="str">
        <f>HYPERLINK("http://service.sap.com/sap/support/notes/1740119","1740119")</f>
        <v>1740119</v>
      </c>
      <c r="E11246">
        <v>3</v>
      </c>
      <c r="F11246" t="s">
        <v>11692</v>
      </c>
    </row>
    <row r="11247" spans="1:6" x14ac:dyDescent="0.25">
      <c r="A11247" t="s">
        <v>13142</v>
      </c>
      <c r="B11247" t="s">
        <v>2770</v>
      </c>
      <c r="C11247" t="s">
        <v>2771</v>
      </c>
      <c r="D11247" t="str">
        <f>HYPERLINK("http://service.sap.com/sap/support/notes/1802616","1802616")</f>
        <v>1802616</v>
      </c>
      <c r="E11247">
        <v>3</v>
      </c>
      <c r="F11247" t="s">
        <v>11691</v>
      </c>
    </row>
    <row r="11248" spans="1:6" x14ac:dyDescent="0.25">
      <c r="A11248" t="s">
        <v>13142</v>
      </c>
      <c r="B11248" t="s">
        <v>2770</v>
      </c>
      <c r="C11248" t="s">
        <v>2771</v>
      </c>
      <c r="D11248" t="str">
        <f>HYPERLINK("http://service.sap.com/sap/support/notes/1854683","1854683")</f>
        <v>1854683</v>
      </c>
      <c r="E11248">
        <v>2</v>
      </c>
      <c r="F11248" t="s">
        <v>11690</v>
      </c>
    </row>
    <row r="11249" spans="1:6" x14ac:dyDescent="0.25">
      <c r="A11249" t="s">
        <v>13142</v>
      </c>
      <c r="B11249" t="s">
        <v>2770</v>
      </c>
      <c r="C11249" t="s">
        <v>2771</v>
      </c>
      <c r="D11249" t="str">
        <f>HYPERLINK("http://service.sap.com/sap/support/notes/1869826","1869826")</f>
        <v>1869826</v>
      </c>
      <c r="E11249">
        <v>1</v>
      </c>
      <c r="F11249" t="s">
        <v>11689</v>
      </c>
    </row>
    <row r="11250" spans="1:6" x14ac:dyDescent="0.25">
      <c r="A11250" t="s">
        <v>13142</v>
      </c>
      <c r="B11250" t="s">
        <v>2770</v>
      </c>
      <c r="C11250" t="s">
        <v>2771</v>
      </c>
      <c r="D11250" t="str">
        <f>HYPERLINK("http://service.sap.com/sap/support/notes/1870968","1870968")</f>
        <v>1870968</v>
      </c>
      <c r="E11250">
        <v>2</v>
      </c>
      <c r="F11250" t="s">
        <v>11688</v>
      </c>
    </row>
    <row r="11251" spans="1:6" x14ac:dyDescent="0.25">
      <c r="A11251" t="s">
        <v>13142</v>
      </c>
      <c r="B11251" t="s">
        <v>2770</v>
      </c>
      <c r="C11251" t="s">
        <v>2771</v>
      </c>
      <c r="D11251" t="str">
        <f>HYPERLINK("http://service.sap.com/sap/support/notes/1888677","1888677")</f>
        <v>1888677</v>
      </c>
      <c r="E11251">
        <v>2</v>
      </c>
      <c r="F11251" t="s">
        <v>11687</v>
      </c>
    </row>
    <row r="11252" spans="1:6" x14ac:dyDescent="0.25">
      <c r="A11252" t="s">
        <v>13142</v>
      </c>
      <c r="B11252" t="s">
        <v>2773</v>
      </c>
      <c r="C11252" t="s">
        <v>2774</v>
      </c>
      <c r="D11252" t="str">
        <f>HYPERLINK("http://service.sap.com/sap/support/notes/1819626","1819626")</f>
        <v>1819626</v>
      </c>
      <c r="E11252">
        <v>3</v>
      </c>
      <c r="F11252" t="s">
        <v>11686</v>
      </c>
    </row>
    <row r="11253" spans="1:6" x14ac:dyDescent="0.25">
      <c r="A11253" t="s">
        <v>13142</v>
      </c>
      <c r="B11253" t="s">
        <v>2773</v>
      </c>
      <c r="C11253" t="s">
        <v>2774</v>
      </c>
      <c r="D11253" t="str">
        <f>HYPERLINK("http://service.sap.com/sap/support/notes/1820095","1820095")</f>
        <v>1820095</v>
      </c>
      <c r="E11253">
        <v>2</v>
      </c>
      <c r="F11253" t="s">
        <v>11685</v>
      </c>
    </row>
    <row r="11254" spans="1:6" x14ac:dyDescent="0.25">
      <c r="A11254" t="s">
        <v>13142</v>
      </c>
      <c r="B11254" t="s">
        <v>2773</v>
      </c>
      <c r="C11254" t="s">
        <v>2774</v>
      </c>
      <c r="D11254" t="str">
        <f>HYPERLINK("http://service.sap.com/sap/support/notes/1873429","1873429")</f>
        <v>1873429</v>
      </c>
      <c r="E11254">
        <v>1</v>
      </c>
      <c r="F11254" t="s">
        <v>11684</v>
      </c>
    </row>
    <row r="11255" spans="1:6" x14ac:dyDescent="0.25">
      <c r="A11255" t="s">
        <v>13142</v>
      </c>
      <c r="B11255" t="s">
        <v>2773</v>
      </c>
      <c r="C11255" t="s">
        <v>2774</v>
      </c>
      <c r="D11255" t="str">
        <f>HYPERLINK("http://service.sap.com/sap/support/notes/1881341","1881341")</f>
        <v>1881341</v>
      </c>
      <c r="E11255">
        <v>3</v>
      </c>
      <c r="F11255" t="s">
        <v>11683</v>
      </c>
    </row>
    <row r="11256" spans="1:6" x14ac:dyDescent="0.25">
      <c r="A11256" t="s">
        <v>13142</v>
      </c>
      <c r="B11256" t="s">
        <v>2773</v>
      </c>
      <c r="C11256" t="s">
        <v>2774</v>
      </c>
      <c r="D11256" t="str">
        <f>HYPERLINK("http://service.sap.com/sap/support/notes/1889001","1889001")</f>
        <v>1889001</v>
      </c>
      <c r="E11256">
        <v>4</v>
      </c>
    </row>
    <row r="11257" spans="1:6" x14ac:dyDescent="0.25">
      <c r="A11257" t="s">
        <v>13142</v>
      </c>
      <c r="B11257" t="s">
        <v>2779</v>
      </c>
      <c r="C11257" t="s">
        <v>2780</v>
      </c>
      <c r="D11257" t="str">
        <f>HYPERLINK("http://service.sap.com/sap/support/notes/1867500","1867500")</f>
        <v>1867500</v>
      </c>
      <c r="E11257">
        <v>1</v>
      </c>
      <c r="F11257" t="s">
        <v>11682</v>
      </c>
    </row>
    <row r="11258" spans="1:6" x14ac:dyDescent="0.25">
      <c r="A11258" t="s">
        <v>13142</v>
      </c>
      <c r="B11258" t="s">
        <v>2779</v>
      </c>
      <c r="C11258" t="s">
        <v>2780</v>
      </c>
      <c r="D11258" t="str">
        <f>HYPERLINK("http://service.sap.com/sap/support/notes/1869254","1869254")</f>
        <v>1869254</v>
      </c>
      <c r="E11258">
        <v>3</v>
      </c>
      <c r="F11258" t="s">
        <v>11681</v>
      </c>
    </row>
    <row r="11259" spans="1:6" x14ac:dyDescent="0.25">
      <c r="A11259" t="s">
        <v>13142</v>
      </c>
      <c r="B11259" t="s">
        <v>2779</v>
      </c>
      <c r="C11259" t="s">
        <v>2780</v>
      </c>
      <c r="D11259" t="str">
        <f>HYPERLINK("http://service.sap.com/sap/support/notes/1876937","1876937")</f>
        <v>1876937</v>
      </c>
      <c r="E11259">
        <v>2</v>
      </c>
      <c r="F11259" t="s">
        <v>11680</v>
      </c>
    </row>
    <row r="11260" spans="1:6" x14ac:dyDescent="0.25">
      <c r="A11260" t="s">
        <v>13142</v>
      </c>
      <c r="B11260" t="s">
        <v>2779</v>
      </c>
      <c r="C11260" t="s">
        <v>2780</v>
      </c>
      <c r="D11260" t="str">
        <f>HYPERLINK("http://service.sap.com/sap/support/notes/1879852","1879852")</f>
        <v>1879852</v>
      </c>
      <c r="E11260">
        <v>1</v>
      </c>
      <c r="F11260" t="s">
        <v>11679</v>
      </c>
    </row>
    <row r="11261" spans="1:6" x14ac:dyDescent="0.25">
      <c r="A11261" t="s">
        <v>13142</v>
      </c>
      <c r="B11261" t="s">
        <v>2779</v>
      </c>
      <c r="C11261" t="s">
        <v>2780</v>
      </c>
      <c r="D11261" t="str">
        <f>HYPERLINK("http://service.sap.com/sap/support/notes/1882161","1882161")</f>
        <v>1882161</v>
      </c>
      <c r="E11261">
        <v>1</v>
      </c>
      <c r="F11261" t="s">
        <v>11678</v>
      </c>
    </row>
    <row r="11262" spans="1:6" x14ac:dyDescent="0.25">
      <c r="A11262" t="s">
        <v>13142</v>
      </c>
      <c r="B11262" t="s">
        <v>2779</v>
      </c>
      <c r="C11262" t="s">
        <v>2780</v>
      </c>
      <c r="D11262" t="str">
        <f>HYPERLINK("http://service.sap.com/sap/support/notes/1887691","1887691")</f>
        <v>1887691</v>
      </c>
      <c r="E11262">
        <v>1</v>
      </c>
      <c r="F11262" t="s">
        <v>11677</v>
      </c>
    </row>
    <row r="11263" spans="1:6" x14ac:dyDescent="0.25">
      <c r="A11263" t="s">
        <v>13142</v>
      </c>
      <c r="B11263" t="s">
        <v>2779</v>
      </c>
      <c r="C11263" t="s">
        <v>2780</v>
      </c>
      <c r="D11263" t="str">
        <f>HYPERLINK("http://service.sap.com/sap/support/notes/1896710","1896710")</f>
        <v>1896710</v>
      </c>
      <c r="E11263">
        <v>1</v>
      </c>
      <c r="F11263" t="s">
        <v>11676</v>
      </c>
    </row>
    <row r="11264" spans="1:6" x14ac:dyDescent="0.25">
      <c r="A11264" t="s">
        <v>13142</v>
      </c>
      <c r="B11264" t="s">
        <v>2779</v>
      </c>
      <c r="C11264" t="s">
        <v>2780</v>
      </c>
      <c r="D11264" t="str">
        <f>HYPERLINK("http://service.sap.com/sap/support/notes/1897402","1897402")</f>
        <v>1897402</v>
      </c>
      <c r="E11264">
        <v>1</v>
      </c>
      <c r="F11264" t="s">
        <v>11675</v>
      </c>
    </row>
    <row r="11265" spans="1:6" x14ac:dyDescent="0.25">
      <c r="A11265" t="s">
        <v>13142</v>
      </c>
      <c r="B11265" t="s">
        <v>2789</v>
      </c>
      <c r="C11265" t="s">
        <v>2790</v>
      </c>
    </row>
    <row r="11266" spans="1:6" x14ac:dyDescent="0.25">
      <c r="A11266" t="s">
        <v>13142</v>
      </c>
      <c r="B11266" t="s">
        <v>2791</v>
      </c>
      <c r="C11266" t="s">
        <v>2792</v>
      </c>
      <c r="D11266" t="str">
        <f>HYPERLINK("http://service.sap.com/sap/support/notes/1627488","1627488")</f>
        <v>1627488</v>
      </c>
      <c r="E11266">
        <v>2</v>
      </c>
      <c r="F11266" t="s">
        <v>11674</v>
      </c>
    </row>
    <row r="11267" spans="1:6" x14ac:dyDescent="0.25">
      <c r="A11267" t="s">
        <v>13142</v>
      </c>
      <c r="B11267" t="s">
        <v>2791</v>
      </c>
      <c r="C11267" t="s">
        <v>2792</v>
      </c>
      <c r="D11267" t="str">
        <f>HYPERLINK("http://service.sap.com/sap/support/notes/1854709","1854709")</f>
        <v>1854709</v>
      </c>
      <c r="E11267">
        <v>2</v>
      </c>
      <c r="F11267" t="s">
        <v>11673</v>
      </c>
    </row>
    <row r="11268" spans="1:6" x14ac:dyDescent="0.25">
      <c r="A11268" t="s">
        <v>13142</v>
      </c>
      <c r="B11268" t="s">
        <v>2794</v>
      </c>
      <c r="C11268" t="s">
        <v>2795</v>
      </c>
      <c r="D11268" t="str">
        <f>HYPERLINK("http://service.sap.com/sap/support/notes/1840781","1840781")</f>
        <v>1840781</v>
      </c>
      <c r="E11268">
        <v>2</v>
      </c>
      <c r="F11268" t="s">
        <v>11672</v>
      </c>
    </row>
    <row r="11269" spans="1:6" x14ac:dyDescent="0.25">
      <c r="A11269" t="s">
        <v>13142</v>
      </c>
      <c r="B11269" t="s">
        <v>2797</v>
      </c>
      <c r="C11269" t="s">
        <v>2798</v>
      </c>
      <c r="D11269" t="str">
        <f>HYPERLINK("http://service.sap.com/sap/support/notes/1884139","1884139")</f>
        <v>1884139</v>
      </c>
      <c r="E11269">
        <v>1</v>
      </c>
      <c r="F11269" t="s">
        <v>11671</v>
      </c>
    </row>
    <row r="11270" spans="1:6" x14ac:dyDescent="0.25">
      <c r="A11270" t="s">
        <v>13142</v>
      </c>
      <c r="B11270" t="s">
        <v>2800</v>
      </c>
      <c r="C11270" t="s">
        <v>2801</v>
      </c>
      <c r="D11270" t="str">
        <f>HYPERLINK("http://service.sap.com/sap/support/notes/1839290","1839290")</f>
        <v>1839290</v>
      </c>
      <c r="E11270">
        <v>5</v>
      </c>
      <c r="F11270" t="s">
        <v>11670</v>
      </c>
    </row>
    <row r="11271" spans="1:6" x14ac:dyDescent="0.25">
      <c r="A11271" t="s">
        <v>13142</v>
      </c>
      <c r="B11271" t="s">
        <v>2800</v>
      </c>
      <c r="C11271" t="s">
        <v>2801</v>
      </c>
      <c r="D11271" t="str">
        <f>HYPERLINK("http://service.sap.com/sap/support/notes/1881152","1881152")</f>
        <v>1881152</v>
      </c>
      <c r="E11271">
        <v>1</v>
      </c>
      <c r="F11271" t="s">
        <v>11669</v>
      </c>
    </row>
    <row r="11272" spans="1:6" x14ac:dyDescent="0.25">
      <c r="A11272" t="s">
        <v>13142</v>
      </c>
      <c r="B11272" t="s">
        <v>2800</v>
      </c>
      <c r="C11272" t="s">
        <v>2801</v>
      </c>
      <c r="D11272" t="str">
        <f>HYPERLINK("http://service.sap.com/sap/support/notes/1900548","1900548")</f>
        <v>1900548</v>
      </c>
      <c r="E11272">
        <v>1</v>
      </c>
      <c r="F11272" t="s">
        <v>11668</v>
      </c>
    </row>
    <row r="11273" spans="1:6" x14ac:dyDescent="0.25">
      <c r="A11273" t="s">
        <v>13142</v>
      </c>
      <c r="B11273" t="s">
        <v>2806</v>
      </c>
      <c r="C11273" t="s">
        <v>1588</v>
      </c>
      <c r="D11273" t="str">
        <f>HYPERLINK("http://service.sap.com/sap/support/notes/1855971","1855971")</f>
        <v>1855971</v>
      </c>
      <c r="E11273">
        <v>1</v>
      </c>
      <c r="F11273" t="s">
        <v>11667</v>
      </c>
    </row>
    <row r="11274" spans="1:6" x14ac:dyDescent="0.25">
      <c r="A11274" t="s">
        <v>13142</v>
      </c>
      <c r="B11274" t="s">
        <v>2806</v>
      </c>
      <c r="C11274" t="s">
        <v>1588</v>
      </c>
      <c r="D11274" t="str">
        <f>HYPERLINK("http://service.sap.com/sap/support/notes/1866601","1866601")</f>
        <v>1866601</v>
      </c>
      <c r="E11274">
        <v>1</v>
      </c>
      <c r="F11274" t="s">
        <v>11666</v>
      </c>
    </row>
    <row r="11275" spans="1:6" x14ac:dyDescent="0.25">
      <c r="A11275" t="s">
        <v>13142</v>
      </c>
      <c r="B11275" t="s">
        <v>2810</v>
      </c>
      <c r="C11275" t="s">
        <v>2811</v>
      </c>
      <c r="D11275" t="str">
        <f>HYPERLINK("http://service.sap.com/sap/support/notes/1738498","1738498")</f>
        <v>1738498</v>
      </c>
      <c r="E11275">
        <v>1</v>
      </c>
      <c r="F11275" t="s">
        <v>11665</v>
      </c>
    </row>
    <row r="11276" spans="1:6" x14ac:dyDescent="0.25">
      <c r="A11276" t="s">
        <v>13142</v>
      </c>
      <c r="B11276" t="s">
        <v>2810</v>
      </c>
      <c r="C11276" t="s">
        <v>2811</v>
      </c>
      <c r="D11276" t="str">
        <f>HYPERLINK("http://service.sap.com/sap/support/notes/1836489","1836489")</f>
        <v>1836489</v>
      </c>
      <c r="E11276">
        <v>2</v>
      </c>
      <c r="F11276" t="s">
        <v>11664</v>
      </c>
    </row>
    <row r="11277" spans="1:6" x14ac:dyDescent="0.25">
      <c r="A11277" t="s">
        <v>13142</v>
      </c>
      <c r="B11277" t="s">
        <v>2810</v>
      </c>
      <c r="C11277" t="s">
        <v>2811</v>
      </c>
      <c r="D11277" t="str">
        <f>HYPERLINK("http://service.sap.com/sap/support/notes/1858761","1858761")</f>
        <v>1858761</v>
      </c>
      <c r="E11277">
        <v>1</v>
      </c>
      <c r="F11277" t="s">
        <v>11663</v>
      </c>
    </row>
    <row r="11278" spans="1:6" x14ac:dyDescent="0.25">
      <c r="A11278" t="s">
        <v>13142</v>
      </c>
      <c r="B11278" t="s">
        <v>2810</v>
      </c>
      <c r="C11278" t="s">
        <v>2811</v>
      </c>
      <c r="D11278" t="str">
        <f>HYPERLINK("http://service.sap.com/sap/support/notes/1864389","1864389")</f>
        <v>1864389</v>
      </c>
      <c r="E11278">
        <v>1</v>
      </c>
      <c r="F11278" t="s">
        <v>11662</v>
      </c>
    </row>
    <row r="11279" spans="1:6" x14ac:dyDescent="0.25">
      <c r="A11279" t="s">
        <v>13142</v>
      </c>
      <c r="B11279" t="s">
        <v>2810</v>
      </c>
      <c r="C11279" t="s">
        <v>2811</v>
      </c>
      <c r="D11279" t="str">
        <f>HYPERLINK("http://service.sap.com/sap/support/notes/1896377","1896377")</f>
        <v>1896377</v>
      </c>
      <c r="E11279">
        <v>1</v>
      </c>
      <c r="F11279" t="s">
        <v>11661</v>
      </c>
    </row>
    <row r="11280" spans="1:6" x14ac:dyDescent="0.25">
      <c r="A11280" t="s">
        <v>13142</v>
      </c>
      <c r="B11280" t="s">
        <v>2818</v>
      </c>
      <c r="C11280" t="s">
        <v>2819</v>
      </c>
      <c r="D11280" t="str">
        <f>HYPERLINK("http://service.sap.com/sap/support/notes/1869151","1869151")</f>
        <v>1869151</v>
      </c>
      <c r="E11280">
        <v>1</v>
      </c>
      <c r="F11280" t="s">
        <v>11660</v>
      </c>
    </row>
    <row r="11281" spans="1:6" x14ac:dyDescent="0.25">
      <c r="A11281" t="s">
        <v>13142</v>
      </c>
      <c r="B11281" t="s">
        <v>2818</v>
      </c>
      <c r="C11281" t="s">
        <v>2819</v>
      </c>
      <c r="D11281" t="str">
        <f>HYPERLINK("http://service.sap.com/sap/support/notes/1883050","1883050")</f>
        <v>1883050</v>
      </c>
      <c r="E11281">
        <v>2</v>
      </c>
      <c r="F11281" t="s">
        <v>11659</v>
      </c>
    </row>
    <row r="11282" spans="1:6" x14ac:dyDescent="0.25">
      <c r="A11282" t="s">
        <v>13142</v>
      </c>
      <c r="B11282" t="s">
        <v>2821</v>
      </c>
      <c r="C11282" t="s">
        <v>2822</v>
      </c>
      <c r="D11282" t="str">
        <f>HYPERLINK("http://service.sap.com/sap/support/notes/1881628","1881628")</f>
        <v>1881628</v>
      </c>
      <c r="E11282">
        <v>2</v>
      </c>
      <c r="F11282" t="s">
        <v>11658</v>
      </c>
    </row>
    <row r="11283" spans="1:6" x14ac:dyDescent="0.25">
      <c r="A11283" t="s">
        <v>13142</v>
      </c>
      <c r="B11283" t="s">
        <v>2821</v>
      </c>
      <c r="C11283" t="s">
        <v>2822</v>
      </c>
      <c r="D11283" t="str">
        <f>HYPERLINK("http://service.sap.com/sap/support/notes/1887883","1887883")</f>
        <v>1887883</v>
      </c>
      <c r="E11283">
        <v>1</v>
      </c>
      <c r="F11283" t="s">
        <v>11657</v>
      </c>
    </row>
    <row r="11284" spans="1:6" x14ac:dyDescent="0.25">
      <c r="A11284" t="s">
        <v>13142</v>
      </c>
      <c r="B11284" t="s">
        <v>2824</v>
      </c>
      <c r="C11284" t="s">
        <v>2825</v>
      </c>
    </row>
    <row r="11285" spans="1:6" x14ac:dyDescent="0.25">
      <c r="A11285" t="s">
        <v>13142</v>
      </c>
      <c r="B11285" t="s">
        <v>2826</v>
      </c>
      <c r="C11285" t="s">
        <v>2827</v>
      </c>
      <c r="D11285" t="str">
        <f>HYPERLINK("http://service.sap.com/sap/support/notes/1861663","1861663")</f>
        <v>1861663</v>
      </c>
      <c r="E11285">
        <v>1</v>
      </c>
      <c r="F11285" t="s">
        <v>11656</v>
      </c>
    </row>
    <row r="11286" spans="1:6" x14ac:dyDescent="0.25">
      <c r="A11286" t="s">
        <v>13142</v>
      </c>
      <c r="B11286" t="s">
        <v>2826</v>
      </c>
      <c r="C11286" t="s">
        <v>2827</v>
      </c>
      <c r="D11286" t="str">
        <f>HYPERLINK("http://service.sap.com/sap/support/notes/1867523","1867523")</f>
        <v>1867523</v>
      </c>
      <c r="E11286">
        <v>1</v>
      </c>
      <c r="F11286" t="s">
        <v>11655</v>
      </c>
    </row>
    <row r="11287" spans="1:6" x14ac:dyDescent="0.25">
      <c r="A11287" t="s">
        <v>13142</v>
      </c>
      <c r="B11287" t="s">
        <v>2838</v>
      </c>
      <c r="C11287" t="s">
        <v>2839</v>
      </c>
      <c r="D11287" t="str">
        <f>HYPERLINK("http://service.sap.com/sap/support/notes/1864397","1864397")</f>
        <v>1864397</v>
      </c>
      <c r="E11287">
        <v>3</v>
      </c>
      <c r="F11287" t="s">
        <v>10244</v>
      </c>
    </row>
    <row r="11288" spans="1:6" x14ac:dyDescent="0.25">
      <c r="A11288" t="s">
        <v>13142</v>
      </c>
      <c r="B11288" t="s">
        <v>11654</v>
      </c>
      <c r="C11288" t="s">
        <v>11653</v>
      </c>
      <c r="D11288" t="str">
        <f>HYPERLINK("http://service.sap.com/sap/support/notes/1256476","1256476")</f>
        <v>1256476</v>
      </c>
      <c r="E11288">
        <v>1</v>
      </c>
      <c r="F11288" t="s">
        <v>11652</v>
      </c>
    </row>
    <row r="11289" spans="1:6" x14ac:dyDescent="0.25">
      <c r="A11289" t="s">
        <v>13142</v>
      </c>
      <c r="B11289" t="s">
        <v>2843</v>
      </c>
      <c r="C11289" t="s">
        <v>2844</v>
      </c>
      <c r="D11289" t="str">
        <f>HYPERLINK("http://service.sap.com/sap/support/notes/1537551","1537551")</f>
        <v>1537551</v>
      </c>
      <c r="E11289">
        <v>1</v>
      </c>
      <c r="F11289" t="s">
        <v>11651</v>
      </c>
    </row>
    <row r="11290" spans="1:6" x14ac:dyDescent="0.25">
      <c r="A11290" t="s">
        <v>13142</v>
      </c>
      <c r="B11290" t="s">
        <v>2843</v>
      </c>
      <c r="C11290" t="s">
        <v>2844</v>
      </c>
      <c r="D11290" t="str">
        <f>HYPERLINK("http://service.sap.com/sap/support/notes/1873626","1873626")</f>
        <v>1873626</v>
      </c>
      <c r="E11290">
        <v>1</v>
      </c>
      <c r="F11290" t="s">
        <v>11650</v>
      </c>
    </row>
    <row r="11291" spans="1:6" x14ac:dyDescent="0.25">
      <c r="A11291" t="s">
        <v>13142</v>
      </c>
      <c r="B11291" t="s">
        <v>2843</v>
      </c>
      <c r="C11291" t="s">
        <v>2844</v>
      </c>
      <c r="D11291" t="str">
        <f>HYPERLINK("http://service.sap.com/sap/support/notes/1884798","1884798")</f>
        <v>1884798</v>
      </c>
      <c r="E11291">
        <v>1</v>
      </c>
      <c r="F11291" t="s">
        <v>11649</v>
      </c>
    </row>
    <row r="11292" spans="1:6" x14ac:dyDescent="0.25">
      <c r="A11292" t="s">
        <v>13142</v>
      </c>
      <c r="B11292" t="s">
        <v>5687</v>
      </c>
      <c r="C11292" t="s">
        <v>2878</v>
      </c>
      <c r="D11292" t="str">
        <f>HYPERLINK("http://service.sap.com/sap/support/notes/1902345","1902345")</f>
        <v>1902345</v>
      </c>
      <c r="E11292">
        <v>1</v>
      </c>
      <c r="F11292" t="s">
        <v>11648</v>
      </c>
    </row>
    <row r="11293" spans="1:6" x14ac:dyDescent="0.25">
      <c r="A11293" t="s">
        <v>13142</v>
      </c>
      <c r="B11293" t="s">
        <v>2847</v>
      </c>
      <c r="C11293" t="s">
        <v>2848</v>
      </c>
      <c r="D11293" t="str">
        <f>HYPERLINK("http://service.sap.com/sap/support/notes/1882297","1882297")</f>
        <v>1882297</v>
      </c>
      <c r="E11293">
        <v>1</v>
      </c>
      <c r="F11293" t="s">
        <v>11647</v>
      </c>
    </row>
    <row r="11294" spans="1:6" x14ac:dyDescent="0.25">
      <c r="A11294" t="s">
        <v>13142</v>
      </c>
      <c r="B11294" t="s">
        <v>2850</v>
      </c>
      <c r="C11294" t="s">
        <v>2851</v>
      </c>
      <c r="D11294" t="str">
        <f>HYPERLINK("http://service.sap.com/sap/support/notes/1873969","1873969")</f>
        <v>1873969</v>
      </c>
      <c r="E11294">
        <v>1</v>
      </c>
      <c r="F11294" t="s">
        <v>11646</v>
      </c>
    </row>
    <row r="11295" spans="1:6" x14ac:dyDescent="0.25">
      <c r="A11295" t="s">
        <v>13142</v>
      </c>
      <c r="B11295" t="s">
        <v>2850</v>
      </c>
      <c r="C11295" t="s">
        <v>2851</v>
      </c>
      <c r="D11295" t="str">
        <f>HYPERLINK("http://service.sap.com/sap/support/notes/1873971","1873971")</f>
        <v>1873971</v>
      </c>
      <c r="E11295">
        <v>1</v>
      </c>
      <c r="F11295" t="s">
        <v>11645</v>
      </c>
    </row>
    <row r="11296" spans="1:6" x14ac:dyDescent="0.25">
      <c r="A11296" t="s">
        <v>13142</v>
      </c>
      <c r="B11296" t="s">
        <v>2850</v>
      </c>
      <c r="C11296" t="s">
        <v>2851</v>
      </c>
      <c r="D11296" t="str">
        <f>HYPERLINK("http://service.sap.com/sap/support/notes/1883719","1883719")</f>
        <v>1883719</v>
      </c>
      <c r="E11296">
        <v>2</v>
      </c>
      <c r="F11296" t="s">
        <v>11644</v>
      </c>
    </row>
    <row r="11297" spans="1:6" x14ac:dyDescent="0.25">
      <c r="A11297" t="s">
        <v>13142</v>
      </c>
      <c r="B11297" t="s">
        <v>2850</v>
      </c>
      <c r="C11297" t="s">
        <v>2851</v>
      </c>
      <c r="D11297" t="str">
        <f>HYPERLINK("http://service.sap.com/sap/support/notes/1883775","1883775")</f>
        <v>1883775</v>
      </c>
      <c r="E11297">
        <v>1</v>
      </c>
      <c r="F11297" t="s">
        <v>11643</v>
      </c>
    </row>
    <row r="11298" spans="1:6" x14ac:dyDescent="0.25">
      <c r="A11298" t="s">
        <v>13142</v>
      </c>
      <c r="B11298" t="s">
        <v>2850</v>
      </c>
      <c r="C11298" t="s">
        <v>2851</v>
      </c>
      <c r="D11298" t="str">
        <f>HYPERLINK("http://service.sap.com/sap/support/notes/1887540","1887540")</f>
        <v>1887540</v>
      </c>
      <c r="E11298">
        <v>1</v>
      </c>
      <c r="F11298" t="s">
        <v>11642</v>
      </c>
    </row>
    <row r="11299" spans="1:6" x14ac:dyDescent="0.25">
      <c r="A11299" t="s">
        <v>13142</v>
      </c>
      <c r="B11299" t="s">
        <v>2850</v>
      </c>
      <c r="C11299" t="s">
        <v>2851</v>
      </c>
      <c r="D11299" t="str">
        <f>HYPERLINK("http://service.sap.com/sap/support/notes/1888698","1888698")</f>
        <v>1888698</v>
      </c>
      <c r="E11299">
        <v>1</v>
      </c>
      <c r="F11299" t="s">
        <v>11641</v>
      </c>
    </row>
    <row r="11300" spans="1:6" x14ac:dyDescent="0.25">
      <c r="A11300" t="s">
        <v>13142</v>
      </c>
      <c r="B11300" t="s">
        <v>2850</v>
      </c>
      <c r="C11300" t="s">
        <v>2851</v>
      </c>
      <c r="D11300" t="str">
        <f>HYPERLINK("http://service.sap.com/sap/support/notes/1892371","1892371")</f>
        <v>1892371</v>
      </c>
      <c r="E11300">
        <v>2</v>
      </c>
      <c r="F11300" t="s">
        <v>11640</v>
      </c>
    </row>
    <row r="11301" spans="1:6" x14ac:dyDescent="0.25">
      <c r="A11301" t="s">
        <v>13142</v>
      </c>
      <c r="B11301" t="s">
        <v>11639</v>
      </c>
      <c r="C11301" t="s">
        <v>11638</v>
      </c>
      <c r="D11301" t="str">
        <f>HYPERLINK("http://service.sap.com/sap/support/notes/1880891","1880891")</f>
        <v>1880891</v>
      </c>
      <c r="E11301">
        <v>1</v>
      </c>
      <c r="F11301" t="s">
        <v>11637</v>
      </c>
    </row>
    <row r="11302" spans="1:6" x14ac:dyDescent="0.25">
      <c r="A11302" t="s">
        <v>13142</v>
      </c>
      <c r="B11302" t="s">
        <v>5692</v>
      </c>
      <c r="C11302" t="s">
        <v>5693</v>
      </c>
      <c r="D11302" t="str">
        <f>HYPERLINK("http://service.sap.com/sap/support/notes/1895115","1895115")</f>
        <v>1895115</v>
      </c>
      <c r="E11302">
        <v>1</v>
      </c>
      <c r="F11302" t="s">
        <v>11636</v>
      </c>
    </row>
    <row r="11303" spans="1:6" x14ac:dyDescent="0.25">
      <c r="A11303" t="s">
        <v>13142</v>
      </c>
      <c r="B11303" t="s">
        <v>2865</v>
      </c>
      <c r="C11303" t="s">
        <v>10253</v>
      </c>
    </row>
    <row r="11304" spans="1:6" x14ac:dyDescent="0.25">
      <c r="A11304" t="s">
        <v>13142</v>
      </c>
      <c r="B11304" t="s">
        <v>2869</v>
      </c>
      <c r="C11304" t="s">
        <v>2870</v>
      </c>
      <c r="D11304" t="str">
        <f>HYPERLINK("http://service.sap.com/sap/support/notes/1444503","1444503")</f>
        <v>1444503</v>
      </c>
      <c r="E11304">
        <v>2</v>
      </c>
      <c r="F11304" t="s">
        <v>11635</v>
      </c>
    </row>
    <row r="11305" spans="1:6" x14ac:dyDescent="0.25">
      <c r="A11305" t="s">
        <v>13142</v>
      </c>
      <c r="B11305" t="s">
        <v>2869</v>
      </c>
      <c r="C11305" t="s">
        <v>2870</v>
      </c>
      <c r="D11305" t="str">
        <f>HYPERLINK("http://service.sap.com/sap/support/notes/1866408","1866408")</f>
        <v>1866408</v>
      </c>
      <c r="E11305">
        <v>1</v>
      </c>
      <c r="F11305" t="s">
        <v>11634</v>
      </c>
    </row>
    <row r="11306" spans="1:6" x14ac:dyDescent="0.25">
      <c r="A11306" t="s">
        <v>13142</v>
      </c>
      <c r="B11306" t="s">
        <v>2869</v>
      </c>
      <c r="C11306" t="s">
        <v>2870</v>
      </c>
      <c r="D11306" t="str">
        <f>HYPERLINK("http://service.sap.com/sap/support/notes/1882971","1882971")</f>
        <v>1882971</v>
      </c>
      <c r="E11306">
        <v>1</v>
      </c>
      <c r="F11306" t="s">
        <v>11633</v>
      </c>
    </row>
    <row r="11307" spans="1:6" x14ac:dyDescent="0.25">
      <c r="A11307" t="s">
        <v>13142</v>
      </c>
      <c r="B11307" t="s">
        <v>10257</v>
      </c>
      <c r="C11307" t="s">
        <v>10258</v>
      </c>
      <c r="D11307" t="str">
        <f>HYPERLINK("http://service.sap.com/sap/support/notes/1034528","1034528")</f>
        <v>1034528</v>
      </c>
      <c r="E11307">
        <v>6</v>
      </c>
      <c r="F11307" t="s">
        <v>11632</v>
      </c>
    </row>
    <row r="11308" spans="1:6" x14ac:dyDescent="0.25">
      <c r="A11308" t="s">
        <v>13142</v>
      </c>
      <c r="B11308" t="s">
        <v>10257</v>
      </c>
      <c r="C11308" t="s">
        <v>10258</v>
      </c>
      <c r="D11308" t="str">
        <f>HYPERLINK("http://service.sap.com/sap/support/notes/1880675","1880675")</f>
        <v>1880675</v>
      </c>
      <c r="E11308">
        <v>1</v>
      </c>
      <c r="F11308" t="s">
        <v>11631</v>
      </c>
    </row>
    <row r="11309" spans="1:6" x14ac:dyDescent="0.25">
      <c r="A11309" t="s">
        <v>13142</v>
      </c>
      <c r="B11309" t="s">
        <v>10257</v>
      </c>
      <c r="C11309" t="s">
        <v>10258</v>
      </c>
      <c r="D11309" t="str">
        <f>HYPERLINK("http://service.sap.com/sap/support/notes/1895355","1895355")</f>
        <v>1895355</v>
      </c>
      <c r="E11309">
        <v>3</v>
      </c>
      <c r="F11309" t="s">
        <v>11630</v>
      </c>
    </row>
    <row r="11310" spans="1:6" x14ac:dyDescent="0.25">
      <c r="A11310" t="s">
        <v>13142</v>
      </c>
      <c r="B11310" t="s">
        <v>5700</v>
      </c>
      <c r="C11310" t="s">
        <v>5701</v>
      </c>
      <c r="D11310" t="str">
        <f>HYPERLINK("http://service.sap.com/sap/support/notes/693897","693897")</f>
        <v>693897</v>
      </c>
      <c r="E11310">
        <v>5</v>
      </c>
      <c r="F11310" t="s">
        <v>11629</v>
      </c>
    </row>
    <row r="11311" spans="1:6" x14ac:dyDescent="0.25">
      <c r="A11311" t="s">
        <v>13142</v>
      </c>
      <c r="B11311" t="s">
        <v>2872</v>
      </c>
      <c r="C11311" t="s">
        <v>2873</v>
      </c>
      <c r="D11311" t="str">
        <f>HYPERLINK("http://service.sap.com/sap/support/notes/1730576","1730576")</f>
        <v>1730576</v>
      </c>
      <c r="E11311">
        <v>3</v>
      </c>
      <c r="F11311" t="s">
        <v>11628</v>
      </c>
    </row>
    <row r="11312" spans="1:6" x14ac:dyDescent="0.25">
      <c r="A11312" t="s">
        <v>13142</v>
      </c>
      <c r="B11312" t="s">
        <v>11627</v>
      </c>
      <c r="C11312" t="s">
        <v>11626</v>
      </c>
    </row>
    <row r="11313" spans="1:6" x14ac:dyDescent="0.25">
      <c r="A11313" t="s">
        <v>13142</v>
      </c>
      <c r="B11313" t="s">
        <v>11625</v>
      </c>
      <c r="C11313" t="s">
        <v>7789</v>
      </c>
      <c r="D11313" t="str">
        <f>HYPERLINK("http://service.sap.com/sap/support/notes/1869987","1869987")</f>
        <v>1869987</v>
      </c>
      <c r="E11313">
        <v>2</v>
      </c>
      <c r="F11313" t="s">
        <v>11624</v>
      </c>
    </row>
    <row r="11314" spans="1:6" x14ac:dyDescent="0.25">
      <c r="A11314" t="s">
        <v>13142</v>
      </c>
      <c r="B11314" t="s">
        <v>2877</v>
      </c>
      <c r="C11314" t="s">
        <v>2878</v>
      </c>
      <c r="D11314" t="str">
        <f>HYPERLINK("http://service.sap.com/sap/support/notes/1877071","1877071")</f>
        <v>1877071</v>
      </c>
      <c r="E11314">
        <v>2</v>
      </c>
      <c r="F11314" t="s">
        <v>11623</v>
      </c>
    </row>
    <row r="11315" spans="1:6" x14ac:dyDescent="0.25">
      <c r="A11315" t="s">
        <v>13142</v>
      </c>
      <c r="B11315" t="s">
        <v>2877</v>
      </c>
      <c r="C11315" t="s">
        <v>2878</v>
      </c>
      <c r="D11315" t="str">
        <f>HYPERLINK("http://service.sap.com/sap/support/notes/1888305","1888305")</f>
        <v>1888305</v>
      </c>
      <c r="E11315">
        <v>1</v>
      </c>
      <c r="F11315" t="s">
        <v>11622</v>
      </c>
    </row>
    <row r="11316" spans="1:6" x14ac:dyDescent="0.25">
      <c r="A11316" t="s">
        <v>13142</v>
      </c>
      <c r="B11316" t="s">
        <v>2883</v>
      </c>
      <c r="C11316" t="s">
        <v>2884</v>
      </c>
      <c r="D11316" t="str">
        <f>HYPERLINK("http://service.sap.com/sap/support/notes/1763085","1763085")</f>
        <v>1763085</v>
      </c>
      <c r="E11316">
        <v>6</v>
      </c>
      <c r="F11316" t="s">
        <v>11621</v>
      </c>
    </row>
    <row r="11317" spans="1:6" x14ac:dyDescent="0.25">
      <c r="A11317" t="s">
        <v>13142</v>
      </c>
      <c r="B11317" t="s">
        <v>2883</v>
      </c>
      <c r="C11317" t="s">
        <v>2884</v>
      </c>
      <c r="D11317" t="str">
        <f>HYPERLINK("http://service.sap.com/sap/support/notes/1841605","1841605")</f>
        <v>1841605</v>
      </c>
      <c r="E11317">
        <v>2</v>
      </c>
      <c r="F11317" t="s">
        <v>10272</v>
      </c>
    </row>
    <row r="11318" spans="1:6" x14ac:dyDescent="0.25">
      <c r="A11318" t="s">
        <v>13142</v>
      </c>
      <c r="B11318" t="s">
        <v>2883</v>
      </c>
      <c r="C11318" t="s">
        <v>2884</v>
      </c>
      <c r="D11318" t="str">
        <f>HYPERLINK("http://service.sap.com/sap/support/notes/1880925","1880925")</f>
        <v>1880925</v>
      </c>
      <c r="E11318">
        <v>1</v>
      </c>
      <c r="F11318" t="s">
        <v>11620</v>
      </c>
    </row>
    <row r="11319" spans="1:6" x14ac:dyDescent="0.25">
      <c r="A11319" t="s">
        <v>13142</v>
      </c>
      <c r="B11319" t="s">
        <v>2883</v>
      </c>
      <c r="C11319" t="s">
        <v>2884</v>
      </c>
      <c r="D11319" t="str">
        <f>HYPERLINK("http://service.sap.com/sap/support/notes/1884341","1884341")</f>
        <v>1884341</v>
      </c>
      <c r="E11319">
        <v>1</v>
      </c>
      <c r="F11319" t="s">
        <v>11619</v>
      </c>
    </row>
    <row r="11320" spans="1:6" x14ac:dyDescent="0.25">
      <c r="A11320" t="s">
        <v>13142</v>
      </c>
      <c r="B11320" t="s">
        <v>2883</v>
      </c>
      <c r="C11320" t="s">
        <v>2884</v>
      </c>
      <c r="D11320" t="str">
        <f>HYPERLINK("http://service.sap.com/sap/support/notes/1890929","1890929")</f>
        <v>1890929</v>
      </c>
      <c r="E11320">
        <v>2</v>
      </c>
      <c r="F11320" t="s">
        <v>11618</v>
      </c>
    </row>
    <row r="11321" spans="1:6" x14ac:dyDescent="0.25">
      <c r="A11321" t="s">
        <v>13142</v>
      </c>
      <c r="B11321" t="s">
        <v>2886</v>
      </c>
      <c r="C11321" t="s">
        <v>2887</v>
      </c>
      <c r="D11321" t="str">
        <f>HYPERLINK("http://service.sap.com/sap/support/notes/1875146","1875146")</f>
        <v>1875146</v>
      </c>
      <c r="E11321">
        <v>1</v>
      </c>
      <c r="F11321" t="s">
        <v>11617</v>
      </c>
    </row>
    <row r="11322" spans="1:6" x14ac:dyDescent="0.25">
      <c r="A11322" t="s">
        <v>13142</v>
      </c>
      <c r="B11322" t="s">
        <v>2886</v>
      </c>
      <c r="C11322" t="s">
        <v>2887</v>
      </c>
      <c r="D11322" t="str">
        <f>HYPERLINK("http://service.sap.com/sap/support/notes/1886037","1886037")</f>
        <v>1886037</v>
      </c>
      <c r="E11322">
        <v>3</v>
      </c>
      <c r="F11322" t="s">
        <v>11616</v>
      </c>
    </row>
    <row r="11323" spans="1:6" x14ac:dyDescent="0.25">
      <c r="A11323" t="s">
        <v>13142</v>
      </c>
      <c r="B11323" t="s">
        <v>2886</v>
      </c>
      <c r="C11323" t="s">
        <v>2887</v>
      </c>
      <c r="D11323" t="str">
        <f>HYPERLINK("http://service.sap.com/sap/support/notes/1887676","1887676")</f>
        <v>1887676</v>
      </c>
      <c r="E11323">
        <v>1</v>
      </c>
      <c r="F11323" t="s">
        <v>11615</v>
      </c>
    </row>
    <row r="11324" spans="1:6" x14ac:dyDescent="0.25">
      <c r="A11324" t="s">
        <v>13142</v>
      </c>
      <c r="B11324" t="s">
        <v>2903</v>
      </c>
      <c r="C11324" t="s">
        <v>2904</v>
      </c>
      <c r="D11324" t="str">
        <f>HYPERLINK("http://service.sap.com/sap/support/notes/1860809","1860809")</f>
        <v>1860809</v>
      </c>
      <c r="E11324">
        <v>2</v>
      </c>
      <c r="F11324" t="s">
        <v>11614</v>
      </c>
    </row>
    <row r="11325" spans="1:6" x14ac:dyDescent="0.25">
      <c r="A11325" t="s">
        <v>13142</v>
      </c>
      <c r="B11325" t="s">
        <v>10278</v>
      </c>
      <c r="C11325" t="s">
        <v>10279</v>
      </c>
      <c r="D11325" t="str">
        <f>HYPERLINK("http://service.sap.com/sap/support/notes/1897358","1897358")</f>
        <v>1897358</v>
      </c>
      <c r="E11325">
        <v>1</v>
      </c>
      <c r="F11325" t="s">
        <v>11613</v>
      </c>
    </row>
    <row r="11326" spans="1:6" x14ac:dyDescent="0.25">
      <c r="A11326" t="s">
        <v>13142</v>
      </c>
      <c r="B11326" t="s">
        <v>8135</v>
      </c>
      <c r="C11326" t="s">
        <v>8136</v>
      </c>
      <c r="D11326" t="str">
        <f>HYPERLINK("http://service.sap.com/sap/support/notes/1871761","1871761")</f>
        <v>1871761</v>
      </c>
      <c r="E11326">
        <v>2</v>
      </c>
      <c r="F11326" t="s">
        <v>11612</v>
      </c>
    </row>
    <row r="11327" spans="1:6" x14ac:dyDescent="0.25">
      <c r="A11327" t="s">
        <v>13142</v>
      </c>
      <c r="B11327" t="s">
        <v>8135</v>
      </c>
      <c r="C11327" t="s">
        <v>8136</v>
      </c>
      <c r="D11327" t="str">
        <f>HYPERLINK("http://service.sap.com/sap/support/notes/1881191","1881191")</f>
        <v>1881191</v>
      </c>
      <c r="E11327">
        <v>1</v>
      </c>
      <c r="F11327" t="s">
        <v>11611</v>
      </c>
    </row>
    <row r="11328" spans="1:6" x14ac:dyDescent="0.25">
      <c r="A11328" t="s">
        <v>13142</v>
      </c>
      <c r="B11328" t="s">
        <v>2907</v>
      </c>
      <c r="C11328" t="s">
        <v>824</v>
      </c>
      <c r="D11328" t="str">
        <f>HYPERLINK("http://service.sap.com/sap/support/notes/1869227","1869227")</f>
        <v>1869227</v>
      </c>
      <c r="E11328">
        <v>2</v>
      </c>
      <c r="F11328" t="s">
        <v>11610</v>
      </c>
    </row>
    <row r="11329" spans="1:6" x14ac:dyDescent="0.25">
      <c r="A11329" t="s">
        <v>13142</v>
      </c>
      <c r="B11329" t="s">
        <v>2907</v>
      </c>
      <c r="C11329" t="s">
        <v>824</v>
      </c>
      <c r="D11329" t="str">
        <f>HYPERLINK("http://service.sap.com/sap/support/notes/1882407","1882407")</f>
        <v>1882407</v>
      </c>
      <c r="E11329">
        <v>6</v>
      </c>
      <c r="F11329" t="s">
        <v>11609</v>
      </c>
    </row>
    <row r="11330" spans="1:6" x14ac:dyDescent="0.25">
      <c r="A11330" t="s">
        <v>13142</v>
      </c>
      <c r="B11330" t="s">
        <v>2909</v>
      </c>
      <c r="C11330" t="s">
        <v>2910</v>
      </c>
      <c r="D11330" t="str">
        <f>HYPERLINK("http://service.sap.com/sap/support/notes/1838332","1838332")</f>
        <v>1838332</v>
      </c>
      <c r="E11330">
        <v>1</v>
      </c>
      <c r="F11330" t="s">
        <v>11608</v>
      </c>
    </row>
    <row r="11331" spans="1:6" x14ac:dyDescent="0.25">
      <c r="A11331" t="s">
        <v>13142</v>
      </c>
      <c r="B11331" t="s">
        <v>2909</v>
      </c>
      <c r="C11331" t="s">
        <v>2910</v>
      </c>
      <c r="D11331" t="str">
        <f>HYPERLINK("http://service.sap.com/sap/support/notes/1874317","1874317")</f>
        <v>1874317</v>
      </c>
      <c r="E11331">
        <v>1</v>
      </c>
      <c r="F11331" t="s">
        <v>11607</v>
      </c>
    </row>
    <row r="11332" spans="1:6" x14ac:dyDescent="0.25">
      <c r="A11332" t="s">
        <v>13142</v>
      </c>
      <c r="B11332" t="s">
        <v>2912</v>
      </c>
      <c r="C11332" t="s">
        <v>2913</v>
      </c>
      <c r="D11332" t="str">
        <f>HYPERLINK("http://service.sap.com/sap/support/notes/1173153","1173153")</f>
        <v>1173153</v>
      </c>
      <c r="E11332">
        <v>2</v>
      </c>
      <c r="F11332" t="s">
        <v>11606</v>
      </c>
    </row>
    <row r="11333" spans="1:6" x14ac:dyDescent="0.25">
      <c r="A11333" t="s">
        <v>13142</v>
      </c>
      <c r="B11333" t="s">
        <v>2912</v>
      </c>
      <c r="C11333" t="s">
        <v>2913</v>
      </c>
      <c r="D11333" t="str">
        <f>HYPERLINK("http://service.sap.com/sap/support/notes/1862806","1862806")</f>
        <v>1862806</v>
      </c>
      <c r="E11333">
        <v>1</v>
      </c>
      <c r="F11333" t="s">
        <v>11605</v>
      </c>
    </row>
    <row r="11334" spans="1:6" x14ac:dyDescent="0.25">
      <c r="A11334" t="s">
        <v>13142</v>
      </c>
      <c r="B11334" t="s">
        <v>2918</v>
      </c>
      <c r="C11334" t="s">
        <v>2919</v>
      </c>
      <c r="D11334" t="str">
        <f>HYPERLINK("http://service.sap.com/sap/support/notes/1880432","1880432")</f>
        <v>1880432</v>
      </c>
      <c r="E11334">
        <v>1</v>
      </c>
      <c r="F11334" t="s">
        <v>11604</v>
      </c>
    </row>
    <row r="11335" spans="1:6" x14ac:dyDescent="0.25">
      <c r="A11335" t="s">
        <v>13142</v>
      </c>
      <c r="B11335" t="s">
        <v>2918</v>
      </c>
      <c r="C11335" t="s">
        <v>2919</v>
      </c>
      <c r="D11335" t="str">
        <f>HYPERLINK("http://service.sap.com/sap/support/notes/1895776","1895776")</f>
        <v>1895776</v>
      </c>
      <c r="E11335">
        <v>1</v>
      </c>
      <c r="F11335" t="s">
        <v>11603</v>
      </c>
    </row>
    <row r="11336" spans="1:6" x14ac:dyDescent="0.25">
      <c r="A11336" t="s">
        <v>13142</v>
      </c>
      <c r="B11336" t="s">
        <v>2918</v>
      </c>
      <c r="C11336" t="s">
        <v>2919</v>
      </c>
      <c r="D11336" t="str">
        <f>HYPERLINK("http://service.sap.com/sap/support/notes/1896705","1896705")</f>
        <v>1896705</v>
      </c>
      <c r="E11336">
        <v>1</v>
      </c>
      <c r="F11336" t="s">
        <v>11602</v>
      </c>
    </row>
    <row r="11337" spans="1:6" x14ac:dyDescent="0.25">
      <c r="A11337" t="s">
        <v>13142</v>
      </c>
      <c r="B11337" t="s">
        <v>2918</v>
      </c>
      <c r="C11337" t="s">
        <v>2919</v>
      </c>
      <c r="D11337" t="str">
        <f>HYPERLINK("http://service.sap.com/sap/support/notes/1901579","1901579")</f>
        <v>1901579</v>
      </c>
      <c r="E11337">
        <v>2</v>
      </c>
      <c r="F11337" t="s">
        <v>11601</v>
      </c>
    </row>
    <row r="11338" spans="1:6" x14ac:dyDescent="0.25">
      <c r="A11338" t="s">
        <v>13142</v>
      </c>
      <c r="B11338" t="s">
        <v>2925</v>
      </c>
      <c r="C11338" t="s">
        <v>5722</v>
      </c>
      <c r="D11338" t="str">
        <f>HYPERLINK("http://service.sap.com/sap/support/notes/1874454","1874454")</f>
        <v>1874454</v>
      </c>
      <c r="E11338">
        <v>1</v>
      </c>
      <c r="F11338" t="s">
        <v>11600</v>
      </c>
    </row>
    <row r="11339" spans="1:6" x14ac:dyDescent="0.25">
      <c r="A11339" t="s">
        <v>13142</v>
      </c>
      <c r="B11339" t="s">
        <v>2927</v>
      </c>
      <c r="C11339" t="s">
        <v>2928</v>
      </c>
      <c r="D11339" t="str">
        <f>HYPERLINK("http://service.sap.com/sap/support/notes/1841939","1841939")</f>
        <v>1841939</v>
      </c>
      <c r="E11339">
        <v>3</v>
      </c>
      <c r="F11339" t="s">
        <v>11599</v>
      </c>
    </row>
    <row r="11340" spans="1:6" x14ac:dyDescent="0.25">
      <c r="A11340" t="s">
        <v>13142</v>
      </c>
      <c r="B11340" t="s">
        <v>2947</v>
      </c>
      <c r="C11340" t="s">
        <v>2948</v>
      </c>
    </row>
    <row r="11341" spans="1:6" x14ac:dyDescent="0.25">
      <c r="A11341" t="s">
        <v>13142</v>
      </c>
      <c r="B11341" t="s">
        <v>2949</v>
      </c>
      <c r="C11341" t="s">
        <v>2950</v>
      </c>
    </row>
    <row r="11342" spans="1:6" x14ac:dyDescent="0.25">
      <c r="A11342" t="s">
        <v>13142</v>
      </c>
      <c r="B11342" t="s">
        <v>2951</v>
      </c>
      <c r="C11342" t="s">
        <v>2952</v>
      </c>
      <c r="D11342" t="str">
        <f>HYPERLINK("http://service.sap.com/sap/support/notes/1879590","1879590")</f>
        <v>1879590</v>
      </c>
      <c r="E11342">
        <v>1</v>
      </c>
      <c r="F11342" t="s">
        <v>11598</v>
      </c>
    </row>
    <row r="11343" spans="1:6" x14ac:dyDescent="0.25">
      <c r="A11343" t="s">
        <v>13142</v>
      </c>
      <c r="B11343" t="s">
        <v>10291</v>
      </c>
      <c r="C11343" t="s">
        <v>10292</v>
      </c>
      <c r="D11343" t="str">
        <f>HYPERLINK("http://service.sap.com/sap/support/notes/1861443","1861443")</f>
        <v>1861443</v>
      </c>
      <c r="E11343">
        <v>2</v>
      </c>
      <c r="F11343" t="s">
        <v>11597</v>
      </c>
    </row>
    <row r="11344" spans="1:6" x14ac:dyDescent="0.25">
      <c r="A11344" t="s">
        <v>13142</v>
      </c>
      <c r="B11344" t="s">
        <v>10291</v>
      </c>
      <c r="C11344" t="s">
        <v>10292</v>
      </c>
      <c r="D11344" t="str">
        <f>HYPERLINK("http://service.sap.com/sap/support/notes/1871005","1871005")</f>
        <v>1871005</v>
      </c>
      <c r="E11344">
        <v>2</v>
      </c>
      <c r="F11344" t="s">
        <v>11596</v>
      </c>
    </row>
    <row r="11345" spans="1:6" x14ac:dyDescent="0.25">
      <c r="A11345" t="s">
        <v>13142</v>
      </c>
      <c r="B11345" t="s">
        <v>2958</v>
      </c>
      <c r="C11345" t="s">
        <v>2959</v>
      </c>
    </row>
    <row r="11346" spans="1:6" x14ac:dyDescent="0.25">
      <c r="A11346" t="s">
        <v>13142</v>
      </c>
      <c r="B11346" t="s">
        <v>2960</v>
      </c>
      <c r="C11346" t="s">
        <v>2961</v>
      </c>
      <c r="D11346" t="str">
        <f>HYPERLINK("http://service.sap.com/sap/support/notes/1882098","1882098")</f>
        <v>1882098</v>
      </c>
      <c r="E11346">
        <v>2</v>
      </c>
      <c r="F11346" t="s">
        <v>11595</v>
      </c>
    </row>
    <row r="11347" spans="1:6" x14ac:dyDescent="0.25">
      <c r="A11347" t="s">
        <v>13142</v>
      </c>
      <c r="B11347" t="s">
        <v>2964</v>
      </c>
      <c r="C11347" t="s">
        <v>2959</v>
      </c>
      <c r="D11347" t="str">
        <f>HYPERLINK("http://service.sap.com/sap/support/notes/1868168","1868168")</f>
        <v>1868168</v>
      </c>
      <c r="E11347">
        <v>4</v>
      </c>
      <c r="F11347" t="s">
        <v>11594</v>
      </c>
    </row>
    <row r="11348" spans="1:6" x14ac:dyDescent="0.25">
      <c r="A11348" t="s">
        <v>13142</v>
      </c>
      <c r="B11348" t="s">
        <v>2965</v>
      </c>
      <c r="C11348" t="s">
        <v>2966</v>
      </c>
      <c r="D11348" t="str">
        <f>HYPERLINK("http://service.sap.com/sap/support/notes/1885351","1885351")</f>
        <v>1885351</v>
      </c>
      <c r="E11348">
        <v>1</v>
      </c>
      <c r="F11348" t="s">
        <v>11593</v>
      </c>
    </row>
    <row r="11349" spans="1:6" x14ac:dyDescent="0.25">
      <c r="A11349" t="s">
        <v>13142</v>
      </c>
      <c r="B11349" t="s">
        <v>2975</v>
      </c>
      <c r="C11349" t="s">
        <v>824</v>
      </c>
    </row>
    <row r="11350" spans="1:6" x14ac:dyDescent="0.25">
      <c r="A11350" t="s">
        <v>13142</v>
      </c>
      <c r="B11350" t="s">
        <v>2978</v>
      </c>
      <c r="C11350" t="s">
        <v>2979</v>
      </c>
      <c r="D11350" t="str">
        <f>HYPERLINK("http://service.sap.com/sap/support/notes/1833866","1833866")</f>
        <v>1833866</v>
      </c>
      <c r="E11350">
        <v>6</v>
      </c>
      <c r="F11350" t="s">
        <v>11592</v>
      </c>
    </row>
    <row r="11351" spans="1:6" x14ac:dyDescent="0.25">
      <c r="A11351" t="s">
        <v>13142</v>
      </c>
      <c r="B11351" t="s">
        <v>2978</v>
      </c>
      <c r="C11351" t="s">
        <v>2979</v>
      </c>
      <c r="D11351" t="str">
        <f>HYPERLINK("http://service.sap.com/sap/support/notes/1864508","1864508")</f>
        <v>1864508</v>
      </c>
      <c r="E11351">
        <v>3</v>
      </c>
      <c r="F11351" t="s">
        <v>11591</v>
      </c>
    </row>
    <row r="11352" spans="1:6" x14ac:dyDescent="0.25">
      <c r="A11352" t="s">
        <v>13142</v>
      </c>
      <c r="B11352" t="s">
        <v>11589</v>
      </c>
      <c r="C11352" t="s">
        <v>11588</v>
      </c>
      <c r="D11352" t="str">
        <f>HYPERLINK("http://service.sap.com/sap/support/notes/1863453","1863453")</f>
        <v>1863453</v>
      </c>
      <c r="E11352">
        <v>2</v>
      </c>
      <c r="F11352" t="s">
        <v>11590</v>
      </c>
    </row>
    <row r="11353" spans="1:6" x14ac:dyDescent="0.25">
      <c r="A11353" t="s">
        <v>13142</v>
      </c>
      <c r="B11353" t="s">
        <v>11589</v>
      </c>
      <c r="C11353" t="s">
        <v>11588</v>
      </c>
      <c r="D11353" t="str">
        <f>HYPERLINK("http://service.sap.com/sap/support/notes/1881478","1881478")</f>
        <v>1881478</v>
      </c>
      <c r="E11353">
        <v>2</v>
      </c>
      <c r="F11353" t="s">
        <v>11587</v>
      </c>
    </row>
    <row r="11354" spans="1:6" x14ac:dyDescent="0.25">
      <c r="A11354" t="s">
        <v>13142</v>
      </c>
      <c r="B11354" t="s">
        <v>2998</v>
      </c>
      <c r="C11354" t="s">
        <v>2999</v>
      </c>
    </row>
    <row r="11355" spans="1:6" x14ac:dyDescent="0.25">
      <c r="A11355" t="s">
        <v>13142</v>
      </c>
      <c r="B11355" t="s">
        <v>3001</v>
      </c>
      <c r="C11355" t="s">
        <v>3002</v>
      </c>
      <c r="D11355" t="str">
        <f>HYPERLINK("http://service.sap.com/sap/support/notes/1874976","1874976")</f>
        <v>1874976</v>
      </c>
      <c r="E11355">
        <v>2</v>
      </c>
      <c r="F11355" t="s">
        <v>11586</v>
      </c>
    </row>
    <row r="11356" spans="1:6" x14ac:dyDescent="0.25">
      <c r="A11356" t="s">
        <v>13142</v>
      </c>
      <c r="B11356" t="s">
        <v>3001</v>
      </c>
      <c r="C11356" t="s">
        <v>3002</v>
      </c>
      <c r="D11356" t="str">
        <f>HYPERLINK("http://service.sap.com/sap/support/notes/1879689","1879689")</f>
        <v>1879689</v>
      </c>
      <c r="E11356">
        <v>1</v>
      </c>
      <c r="F11356" t="s">
        <v>11585</v>
      </c>
    </row>
    <row r="11357" spans="1:6" x14ac:dyDescent="0.25">
      <c r="A11357" t="s">
        <v>13142</v>
      </c>
      <c r="B11357" t="s">
        <v>3008</v>
      </c>
      <c r="C11357" t="s">
        <v>3009</v>
      </c>
      <c r="D11357" t="str">
        <f>HYPERLINK("http://service.sap.com/sap/support/notes/1866412","1866412")</f>
        <v>1866412</v>
      </c>
      <c r="E11357">
        <v>2</v>
      </c>
      <c r="F11357" t="s">
        <v>11584</v>
      </c>
    </row>
    <row r="11358" spans="1:6" x14ac:dyDescent="0.25">
      <c r="A11358" t="s">
        <v>13142</v>
      </c>
      <c r="B11358" t="s">
        <v>3008</v>
      </c>
      <c r="C11358" t="s">
        <v>3009</v>
      </c>
      <c r="D11358" t="str">
        <f>HYPERLINK("http://service.sap.com/sap/support/notes/1867444","1867444")</f>
        <v>1867444</v>
      </c>
      <c r="E11358">
        <v>4</v>
      </c>
      <c r="F11358" t="s">
        <v>11583</v>
      </c>
    </row>
    <row r="11359" spans="1:6" x14ac:dyDescent="0.25">
      <c r="A11359" t="s">
        <v>13142</v>
      </c>
      <c r="B11359" t="s">
        <v>3008</v>
      </c>
      <c r="C11359" t="s">
        <v>3009</v>
      </c>
      <c r="D11359" t="str">
        <f>HYPERLINK("http://service.sap.com/sap/support/notes/1881824","1881824")</f>
        <v>1881824</v>
      </c>
      <c r="E11359">
        <v>2</v>
      </c>
      <c r="F11359" t="s">
        <v>11582</v>
      </c>
    </row>
    <row r="11360" spans="1:6" x14ac:dyDescent="0.25">
      <c r="A11360" t="s">
        <v>13142</v>
      </c>
      <c r="B11360" t="s">
        <v>3008</v>
      </c>
      <c r="C11360" t="s">
        <v>3009</v>
      </c>
      <c r="D11360" t="str">
        <f>HYPERLINK("http://service.sap.com/sap/support/notes/1900760","1900760")</f>
        <v>1900760</v>
      </c>
      <c r="E11360">
        <v>1</v>
      </c>
      <c r="F11360" t="s">
        <v>11581</v>
      </c>
    </row>
    <row r="11361" spans="1:6" x14ac:dyDescent="0.25">
      <c r="A11361" t="s">
        <v>13142</v>
      </c>
      <c r="B11361" t="s">
        <v>3016</v>
      </c>
      <c r="C11361" t="s">
        <v>3017</v>
      </c>
      <c r="D11361" t="str">
        <f>HYPERLINK("http://service.sap.com/sap/support/notes/1869147","1869147")</f>
        <v>1869147</v>
      </c>
      <c r="E11361">
        <v>4</v>
      </c>
      <c r="F11361" t="s">
        <v>11580</v>
      </c>
    </row>
    <row r="11362" spans="1:6" x14ac:dyDescent="0.25">
      <c r="A11362" t="s">
        <v>13142</v>
      </c>
      <c r="B11362" t="s">
        <v>3016</v>
      </c>
      <c r="C11362" t="s">
        <v>3017</v>
      </c>
      <c r="D11362" t="str">
        <f>HYPERLINK("http://service.sap.com/sap/support/notes/1875323","1875323")</f>
        <v>1875323</v>
      </c>
      <c r="E11362">
        <v>2</v>
      </c>
      <c r="F11362" t="s">
        <v>11579</v>
      </c>
    </row>
    <row r="11363" spans="1:6" x14ac:dyDescent="0.25">
      <c r="A11363" t="s">
        <v>13142</v>
      </c>
      <c r="B11363" t="s">
        <v>3016</v>
      </c>
      <c r="C11363" t="s">
        <v>3017</v>
      </c>
      <c r="D11363" t="str">
        <f>HYPERLINK("http://service.sap.com/sap/support/notes/1876939","1876939")</f>
        <v>1876939</v>
      </c>
      <c r="E11363">
        <v>1</v>
      </c>
      <c r="F11363" t="s">
        <v>11578</v>
      </c>
    </row>
    <row r="11364" spans="1:6" x14ac:dyDescent="0.25">
      <c r="A11364" t="s">
        <v>13142</v>
      </c>
      <c r="B11364" t="s">
        <v>3016</v>
      </c>
      <c r="C11364" t="s">
        <v>3017</v>
      </c>
      <c r="D11364" t="str">
        <f>HYPERLINK("http://service.sap.com/sap/support/notes/1881280","1881280")</f>
        <v>1881280</v>
      </c>
      <c r="E11364">
        <v>1</v>
      </c>
      <c r="F11364" t="s">
        <v>11577</v>
      </c>
    </row>
    <row r="11365" spans="1:6" x14ac:dyDescent="0.25">
      <c r="A11365" t="s">
        <v>13142</v>
      </c>
      <c r="B11365" t="s">
        <v>8178</v>
      </c>
      <c r="C11365" t="s">
        <v>8179</v>
      </c>
      <c r="D11365" t="str">
        <f>HYPERLINK("http://service.sap.com/sap/support/notes/1432476","1432476")</f>
        <v>1432476</v>
      </c>
      <c r="E11365">
        <v>20</v>
      </c>
      <c r="F11365" t="s">
        <v>11576</v>
      </c>
    </row>
    <row r="11366" spans="1:6" x14ac:dyDescent="0.25">
      <c r="A11366" t="s">
        <v>13142</v>
      </c>
      <c r="B11366" t="s">
        <v>3019</v>
      </c>
      <c r="C11366" t="s">
        <v>3020</v>
      </c>
      <c r="D11366" t="str">
        <f>HYPERLINK("http://service.sap.com/sap/support/notes/1875498","1875498")</f>
        <v>1875498</v>
      </c>
      <c r="E11366">
        <v>1</v>
      </c>
      <c r="F11366" t="s">
        <v>11575</v>
      </c>
    </row>
    <row r="11367" spans="1:6" x14ac:dyDescent="0.25">
      <c r="A11367" t="s">
        <v>13142</v>
      </c>
      <c r="B11367" t="s">
        <v>3025</v>
      </c>
      <c r="C11367" t="s">
        <v>3026</v>
      </c>
    </row>
    <row r="11368" spans="1:6" x14ac:dyDescent="0.25">
      <c r="A11368" t="s">
        <v>13142</v>
      </c>
      <c r="B11368" t="s">
        <v>3027</v>
      </c>
      <c r="C11368" t="s">
        <v>3028</v>
      </c>
      <c r="D11368" t="str">
        <f>HYPERLINK("http://service.sap.com/sap/support/notes/1872506","1872506")</f>
        <v>1872506</v>
      </c>
      <c r="E11368">
        <v>3</v>
      </c>
      <c r="F11368" t="s">
        <v>11574</v>
      </c>
    </row>
    <row r="11369" spans="1:6" x14ac:dyDescent="0.25">
      <c r="A11369" t="s">
        <v>13142</v>
      </c>
      <c r="B11369" t="s">
        <v>11573</v>
      </c>
      <c r="C11369" t="s">
        <v>11572</v>
      </c>
      <c r="D11369" t="str">
        <f>HYPERLINK("http://service.sap.com/sap/support/notes/1879558","1879558")</f>
        <v>1879558</v>
      </c>
      <c r="E11369">
        <v>1</v>
      </c>
      <c r="F11369" t="s">
        <v>11571</v>
      </c>
    </row>
    <row r="11370" spans="1:6" x14ac:dyDescent="0.25">
      <c r="A11370" t="s">
        <v>13142</v>
      </c>
      <c r="B11370" t="s">
        <v>3037</v>
      </c>
      <c r="C11370" t="s">
        <v>3038</v>
      </c>
      <c r="D11370" t="str">
        <f>HYPERLINK("http://service.sap.com/sap/support/notes/1867271","1867271")</f>
        <v>1867271</v>
      </c>
      <c r="E11370">
        <v>2</v>
      </c>
      <c r="F11370" t="s">
        <v>11570</v>
      </c>
    </row>
    <row r="11371" spans="1:6" x14ac:dyDescent="0.25">
      <c r="A11371" t="s">
        <v>13142</v>
      </c>
      <c r="B11371" t="s">
        <v>3040</v>
      </c>
      <c r="C11371" t="s">
        <v>3041</v>
      </c>
      <c r="D11371" t="str">
        <f>HYPERLINK("http://service.sap.com/sap/support/notes/1652335","1652335")</f>
        <v>1652335</v>
      </c>
      <c r="E11371">
        <v>3</v>
      </c>
      <c r="F11371" t="s">
        <v>11569</v>
      </c>
    </row>
    <row r="11372" spans="1:6" x14ac:dyDescent="0.25">
      <c r="A11372" t="s">
        <v>13142</v>
      </c>
      <c r="B11372" t="s">
        <v>3040</v>
      </c>
      <c r="C11372" t="s">
        <v>3041</v>
      </c>
      <c r="D11372" t="str">
        <f>HYPERLINK("http://service.sap.com/sap/support/notes/1865045","1865045")</f>
        <v>1865045</v>
      </c>
      <c r="E11372">
        <v>2</v>
      </c>
      <c r="F11372" t="s">
        <v>11568</v>
      </c>
    </row>
    <row r="11373" spans="1:6" x14ac:dyDescent="0.25">
      <c r="A11373" t="s">
        <v>13142</v>
      </c>
      <c r="B11373" t="s">
        <v>3040</v>
      </c>
      <c r="C11373" t="s">
        <v>3041</v>
      </c>
      <c r="D11373" t="str">
        <f>HYPERLINK("http://service.sap.com/sap/support/notes/1865659","1865659")</f>
        <v>1865659</v>
      </c>
      <c r="E11373">
        <v>2</v>
      </c>
      <c r="F11373" t="s">
        <v>11567</v>
      </c>
    </row>
    <row r="11374" spans="1:6" x14ac:dyDescent="0.25">
      <c r="A11374" t="s">
        <v>13142</v>
      </c>
      <c r="B11374" t="s">
        <v>3040</v>
      </c>
      <c r="C11374" t="s">
        <v>3041</v>
      </c>
      <c r="D11374" t="str">
        <f>HYPERLINK("http://service.sap.com/sap/support/notes/1871071","1871071")</f>
        <v>1871071</v>
      </c>
      <c r="E11374">
        <v>1</v>
      </c>
      <c r="F11374" t="s">
        <v>11566</v>
      </c>
    </row>
    <row r="11375" spans="1:6" x14ac:dyDescent="0.25">
      <c r="A11375" t="s">
        <v>13142</v>
      </c>
      <c r="B11375" t="s">
        <v>3040</v>
      </c>
      <c r="C11375" t="s">
        <v>3041</v>
      </c>
      <c r="D11375" t="str">
        <f>HYPERLINK("http://service.sap.com/sap/support/notes/1885036","1885036")</f>
        <v>1885036</v>
      </c>
      <c r="E11375">
        <v>1</v>
      </c>
      <c r="F11375" t="s">
        <v>11565</v>
      </c>
    </row>
    <row r="11376" spans="1:6" x14ac:dyDescent="0.25">
      <c r="A11376" t="s">
        <v>13142</v>
      </c>
      <c r="B11376" t="s">
        <v>10346</v>
      </c>
      <c r="C11376" t="s">
        <v>10347</v>
      </c>
      <c r="D11376" t="str">
        <f>HYPERLINK("http://service.sap.com/sap/support/notes/1859889","1859889")</f>
        <v>1859889</v>
      </c>
      <c r="E11376">
        <v>3</v>
      </c>
      <c r="F11376" t="s">
        <v>11564</v>
      </c>
    </row>
    <row r="11377" spans="1:6" x14ac:dyDescent="0.25">
      <c r="A11377" t="s">
        <v>13142</v>
      </c>
      <c r="B11377" t="s">
        <v>3048</v>
      </c>
      <c r="C11377" t="s">
        <v>3049</v>
      </c>
    </row>
    <row r="11378" spans="1:6" x14ac:dyDescent="0.25">
      <c r="A11378" t="s">
        <v>13142</v>
      </c>
      <c r="B11378" t="s">
        <v>3050</v>
      </c>
      <c r="C11378" t="s">
        <v>3051</v>
      </c>
      <c r="D11378" t="str">
        <f>HYPERLINK("http://service.sap.com/sap/support/notes/1878745","1878745")</f>
        <v>1878745</v>
      </c>
      <c r="E11378">
        <v>1</v>
      </c>
      <c r="F11378" t="s">
        <v>11563</v>
      </c>
    </row>
    <row r="11379" spans="1:6" x14ac:dyDescent="0.25">
      <c r="A11379" t="s">
        <v>13142</v>
      </c>
      <c r="B11379" t="s">
        <v>3055</v>
      </c>
      <c r="C11379" t="s">
        <v>3056</v>
      </c>
      <c r="D11379" t="str">
        <f>HYPERLINK("http://service.sap.com/sap/support/notes/1886381","1886381")</f>
        <v>1886381</v>
      </c>
      <c r="E11379">
        <v>1</v>
      </c>
      <c r="F11379" t="s">
        <v>11562</v>
      </c>
    </row>
    <row r="11380" spans="1:6" x14ac:dyDescent="0.25">
      <c r="A11380" t="s">
        <v>13142</v>
      </c>
      <c r="B11380" t="s">
        <v>3064</v>
      </c>
      <c r="C11380" t="s">
        <v>3065</v>
      </c>
      <c r="D11380" t="str">
        <f>HYPERLINK("http://service.sap.com/sap/support/notes/1850672","1850672")</f>
        <v>1850672</v>
      </c>
      <c r="E11380">
        <v>3</v>
      </c>
      <c r="F11380" t="s">
        <v>11561</v>
      </c>
    </row>
    <row r="11381" spans="1:6" x14ac:dyDescent="0.25">
      <c r="A11381" t="s">
        <v>13142</v>
      </c>
      <c r="B11381" t="s">
        <v>3064</v>
      </c>
      <c r="C11381" t="s">
        <v>3065</v>
      </c>
      <c r="D11381" t="str">
        <f>HYPERLINK("http://service.sap.com/sap/support/notes/1871712","1871712")</f>
        <v>1871712</v>
      </c>
      <c r="E11381">
        <v>1</v>
      </c>
      <c r="F11381" t="s">
        <v>11560</v>
      </c>
    </row>
    <row r="11382" spans="1:6" x14ac:dyDescent="0.25">
      <c r="A11382" t="s">
        <v>13142</v>
      </c>
      <c r="B11382" t="s">
        <v>3075</v>
      </c>
      <c r="C11382" t="s">
        <v>3076</v>
      </c>
      <c r="D11382" t="str">
        <f>HYPERLINK("http://service.sap.com/sap/support/notes/1872099","1872099")</f>
        <v>1872099</v>
      </c>
      <c r="E11382">
        <v>4</v>
      </c>
      <c r="F11382" t="s">
        <v>11559</v>
      </c>
    </row>
    <row r="11383" spans="1:6" x14ac:dyDescent="0.25">
      <c r="A11383" t="s">
        <v>13142</v>
      </c>
      <c r="B11383" t="s">
        <v>3078</v>
      </c>
      <c r="C11383" t="s">
        <v>3079</v>
      </c>
      <c r="D11383" t="str">
        <f>HYPERLINK("http://service.sap.com/sap/support/notes/1885848","1885848")</f>
        <v>1885848</v>
      </c>
      <c r="E11383">
        <v>1</v>
      </c>
      <c r="F11383" t="s">
        <v>11558</v>
      </c>
    </row>
    <row r="11384" spans="1:6" x14ac:dyDescent="0.25">
      <c r="A11384" t="s">
        <v>13142</v>
      </c>
      <c r="B11384" t="s">
        <v>3084</v>
      </c>
      <c r="C11384" t="s">
        <v>3085</v>
      </c>
    </row>
    <row r="11385" spans="1:6" x14ac:dyDescent="0.25">
      <c r="A11385" t="s">
        <v>13142</v>
      </c>
      <c r="B11385" t="s">
        <v>3086</v>
      </c>
      <c r="C11385" t="s">
        <v>3087</v>
      </c>
      <c r="D11385" t="str">
        <f>HYPERLINK("http://service.sap.com/sap/support/notes/1883316","1883316")</f>
        <v>1883316</v>
      </c>
      <c r="E11385">
        <v>6</v>
      </c>
      <c r="F11385" t="s">
        <v>11557</v>
      </c>
    </row>
    <row r="11386" spans="1:6" x14ac:dyDescent="0.25">
      <c r="A11386" t="s">
        <v>13142</v>
      </c>
      <c r="B11386" t="s">
        <v>3091</v>
      </c>
      <c r="C11386" t="s">
        <v>11556</v>
      </c>
    </row>
    <row r="11387" spans="1:6" x14ac:dyDescent="0.25">
      <c r="A11387" t="s">
        <v>13142</v>
      </c>
      <c r="B11387" t="s">
        <v>3094</v>
      </c>
      <c r="C11387" t="s">
        <v>3095</v>
      </c>
      <c r="D11387" t="str">
        <f>HYPERLINK("http://service.sap.com/sap/support/notes/1851860","1851860")</f>
        <v>1851860</v>
      </c>
      <c r="E11387">
        <v>3</v>
      </c>
      <c r="F11387" t="s">
        <v>11555</v>
      </c>
    </row>
    <row r="11388" spans="1:6" x14ac:dyDescent="0.25">
      <c r="A11388" t="s">
        <v>13142</v>
      </c>
      <c r="B11388" t="s">
        <v>3097</v>
      </c>
      <c r="C11388" t="s">
        <v>1066</v>
      </c>
      <c r="D11388" t="str">
        <f>HYPERLINK("http://service.sap.com/sap/support/notes/1871321","1871321")</f>
        <v>1871321</v>
      </c>
      <c r="E11388">
        <v>2</v>
      </c>
      <c r="F11388" t="s">
        <v>11554</v>
      </c>
    </row>
    <row r="11389" spans="1:6" x14ac:dyDescent="0.25">
      <c r="A11389" t="s">
        <v>13142</v>
      </c>
      <c r="B11389" t="s">
        <v>3097</v>
      </c>
      <c r="C11389" t="s">
        <v>1066</v>
      </c>
      <c r="D11389" t="str">
        <f>HYPERLINK("http://service.sap.com/sap/support/notes/1881309","1881309")</f>
        <v>1881309</v>
      </c>
      <c r="E11389">
        <v>2</v>
      </c>
      <c r="F11389" t="s">
        <v>11553</v>
      </c>
    </row>
    <row r="11390" spans="1:6" x14ac:dyDescent="0.25">
      <c r="A11390" t="s">
        <v>13142</v>
      </c>
      <c r="B11390" t="s">
        <v>3097</v>
      </c>
      <c r="C11390" t="s">
        <v>1066</v>
      </c>
      <c r="D11390" t="str">
        <f>HYPERLINK("http://service.sap.com/sap/support/notes/1886009","1886009")</f>
        <v>1886009</v>
      </c>
      <c r="E11390">
        <v>3</v>
      </c>
      <c r="F11390" t="s">
        <v>11552</v>
      </c>
    </row>
    <row r="11391" spans="1:6" x14ac:dyDescent="0.25">
      <c r="A11391" t="s">
        <v>13142</v>
      </c>
      <c r="B11391" t="s">
        <v>8241</v>
      </c>
      <c r="C11391" t="s">
        <v>11551</v>
      </c>
    </row>
    <row r="11392" spans="1:6" x14ac:dyDescent="0.25">
      <c r="A11392" t="s">
        <v>13142</v>
      </c>
      <c r="B11392" t="s">
        <v>8243</v>
      </c>
      <c r="C11392" t="s">
        <v>8238</v>
      </c>
      <c r="D11392" t="str">
        <f>HYPERLINK("http://service.sap.com/sap/support/notes/1745554","1745554")</f>
        <v>1745554</v>
      </c>
      <c r="E11392">
        <v>2</v>
      </c>
      <c r="F11392" t="s">
        <v>11550</v>
      </c>
    </row>
    <row r="11393" spans="1:6" x14ac:dyDescent="0.25">
      <c r="A11393" t="s">
        <v>13142</v>
      </c>
      <c r="B11393" t="s">
        <v>8243</v>
      </c>
      <c r="C11393" t="s">
        <v>8238</v>
      </c>
      <c r="D11393" t="str">
        <f>HYPERLINK("http://service.sap.com/sap/support/notes/1838512","1838512")</f>
        <v>1838512</v>
      </c>
      <c r="E11393">
        <v>2</v>
      </c>
      <c r="F11393" t="s">
        <v>11549</v>
      </c>
    </row>
    <row r="11394" spans="1:6" x14ac:dyDescent="0.25">
      <c r="A11394" t="s">
        <v>13142</v>
      </c>
      <c r="B11394" t="s">
        <v>3108</v>
      </c>
      <c r="C11394" t="s">
        <v>3109</v>
      </c>
    </row>
    <row r="11395" spans="1:6" x14ac:dyDescent="0.25">
      <c r="A11395" t="s">
        <v>13142</v>
      </c>
      <c r="B11395" t="s">
        <v>3110</v>
      </c>
      <c r="C11395" t="s">
        <v>3111</v>
      </c>
    </row>
    <row r="11396" spans="1:6" x14ac:dyDescent="0.25">
      <c r="A11396" t="s">
        <v>13142</v>
      </c>
      <c r="B11396" t="s">
        <v>3112</v>
      </c>
      <c r="C11396" t="s">
        <v>3113</v>
      </c>
      <c r="D11396" t="str">
        <f>HYPERLINK("http://service.sap.com/sap/support/notes/1803402","1803402")</f>
        <v>1803402</v>
      </c>
      <c r="E11396">
        <v>10</v>
      </c>
      <c r="F11396" t="s">
        <v>11548</v>
      </c>
    </row>
    <row r="11397" spans="1:6" x14ac:dyDescent="0.25">
      <c r="A11397" t="s">
        <v>13142</v>
      </c>
      <c r="B11397" t="s">
        <v>3112</v>
      </c>
      <c r="C11397" t="s">
        <v>3113</v>
      </c>
      <c r="D11397" t="str">
        <f>HYPERLINK("http://service.sap.com/sap/support/notes/1881202","1881202")</f>
        <v>1881202</v>
      </c>
      <c r="E11397">
        <v>1</v>
      </c>
      <c r="F11397" t="s">
        <v>11547</v>
      </c>
    </row>
    <row r="11398" spans="1:6" x14ac:dyDescent="0.25">
      <c r="A11398" t="s">
        <v>13142</v>
      </c>
      <c r="B11398" t="s">
        <v>3112</v>
      </c>
      <c r="C11398" t="s">
        <v>3113</v>
      </c>
      <c r="D11398" t="str">
        <f>HYPERLINK("http://service.sap.com/sap/support/notes/1881209","1881209")</f>
        <v>1881209</v>
      </c>
      <c r="E11398">
        <v>1</v>
      </c>
      <c r="F11398" t="s">
        <v>11546</v>
      </c>
    </row>
    <row r="11399" spans="1:6" x14ac:dyDescent="0.25">
      <c r="A11399" t="s">
        <v>13142</v>
      </c>
      <c r="B11399" t="s">
        <v>3116</v>
      </c>
      <c r="C11399" t="s">
        <v>3117</v>
      </c>
      <c r="D11399" t="str">
        <f>HYPERLINK("http://service.sap.com/sap/support/notes/1869224","1869224")</f>
        <v>1869224</v>
      </c>
      <c r="E11399">
        <v>3</v>
      </c>
      <c r="F11399" t="s">
        <v>11545</v>
      </c>
    </row>
    <row r="11400" spans="1:6" x14ac:dyDescent="0.25">
      <c r="A11400" t="s">
        <v>13142</v>
      </c>
      <c r="B11400" t="s">
        <v>3116</v>
      </c>
      <c r="C11400" t="s">
        <v>3117</v>
      </c>
      <c r="D11400" t="str">
        <f>HYPERLINK("http://service.sap.com/sap/support/notes/1882395","1882395")</f>
        <v>1882395</v>
      </c>
      <c r="E11400">
        <v>3</v>
      </c>
      <c r="F11400" t="s">
        <v>11544</v>
      </c>
    </row>
    <row r="11401" spans="1:6" x14ac:dyDescent="0.25">
      <c r="A11401" t="s">
        <v>13142</v>
      </c>
      <c r="B11401" t="s">
        <v>3116</v>
      </c>
      <c r="C11401" t="s">
        <v>3117</v>
      </c>
      <c r="D11401" t="str">
        <f>HYPERLINK("http://service.sap.com/sap/support/notes/1888368","1888368")</f>
        <v>1888368</v>
      </c>
      <c r="E11401">
        <v>1</v>
      </c>
      <c r="F11401" t="s">
        <v>11543</v>
      </c>
    </row>
    <row r="11402" spans="1:6" x14ac:dyDescent="0.25">
      <c r="A11402" t="s">
        <v>13142</v>
      </c>
      <c r="B11402" t="s">
        <v>3116</v>
      </c>
      <c r="C11402" t="s">
        <v>3117</v>
      </c>
      <c r="D11402" t="str">
        <f>HYPERLINK("http://service.sap.com/sap/support/notes/1897028","1897028")</f>
        <v>1897028</v>
      </c>
      <c r="E11402">
        <v>4</v>
      </c>
      <c r="F11402" t="s">
        <v>11542</v>
      </c>
    </row>
    <row r="11403" spans="1:6" x14ac:dyDescent="0.25">
      <c r="A11403" t="s">
        <v>13142</v>
      </c>
      <c r="B11403" t="s">
        <v>3124</v>
      </c>
      <c r="C11403" t="s">
        <v>3125</v>
      </c>
    </row>
    <row r="11404" spans="1:6" x14ac:dyDescent="0.25">
      <c r="A11404" t="s">
        <v>13142</v>
      </c>
      <c r="B11404" t="s">
        <v>3126</v>
      </c>
      <c r="C11404" t="s">
        <v>2400</v>
      </c>
      <c r="D11404" t="str">
        <f>HYPERLINK("http://service.sap.com/sap/support/notes/1863656","1863656")</f>
        <v>1863656</v>
      </c>
      <c r="E11404">
        <v>2</v>
      </c>
      <c r="F11404" t="s">
        <v>11541</v>
      </c>
    </row>
    <row r="11405" spans="1:6" x14ac:dyDescent="0.25">
      <c r="A11405" t="s">
        <v>13142</v>
      </c>
      <c r="B11405" t="s">
        <v>3126</v>
      </c>
      <c r="C11405" t="s">
        <v>2400</v>
      </c>
      <c r="D11405" t="str">
        <f>HYPERLINK("http://service.sap.com/sap/support/notes/1868610","1868610")</f>
        <v>1868610</v>
      </c>
      <c r="E11405">
        <v>2</v>
      </c>
      <c r="F11405" t="s">
        <v>11540</v>
      </c>
    </row>
    <row r="11406" spans="1:6" x14ac:dyDescent="0.25">
      <c r="A11406" t="s">
        <v>13142</v>
      </c>
      <c r="B11406" t="s">
        <v>8263</v>
      </c>
      <c r="C11406" t="s">
        <v>502</v>
      </c>
      <c r="D11406" t="str">
        <f>HYPERLINK("http://service.sap.com/sap/support/notes/1879989","1879989")</f>
        <v>1879989</v>
      </c>
      <c r="E11406">
        <v>4</v>
      </c>
      <c r="F11406" t="s">
        <v>11539</v>
      </c>
    </row>
    <row r="11407" spans="1:6" x14ac:dyDescent="0.25">
      <c r="A11407" t="s">
        <v>13142</v>
      </c>
      <c r="B11407" t="s">
        <v>3130</v>
      </c>
      <c r="C11407" t="s">
        <v>3131</v>
      </c>
      <c r="D11407" t="str">
        <f>HYPERLINK("http://service.sap.com/sap/support/notes/1865662","1865662")</f>
        <v>1865662</v>
      </c>
      <c r="E11407">
        <v>2</v>
      </c>
      <c r="F11407" t="s">
        <v>11538</v>
      </c>
    </row>
    <row r="11408" spans="1:6" x14ac:dyDescent="0.25">
      <c r="A11408" t="s">
        <v>13142</v>
      </c>
      <c r="B11408" t="s">
        <v>3130</v>
      </c>
      <c r="C11408" t="s">
        <v>3131</v>
      </c>
      <c r="D11408" t="str">
        <f>HYPERLINK("http://service.sap.com/sap/support/notes/1893213","1893213")</f>
        <v>1893213</v>
      </c>
      <c r="E11408">
        <v>3</v>
      </c>
      <c r="F11408" t="s">
        <v>11537</v>
      </c>
    </row>
    <row r="11409" spans="1:6" x14ac:dyDescent="0.25">
      <c r="A11409" t="s">
        <v>13142</v>
      </c>
      <c r="B11409" t="s">
        <v>3134</v>
      </c>
      <c r="C11409" t="s">
        <v>3135</v>
      </c>
    </row>
    <row r="11410" spans="1:6" x14ac:dyDescent="0.25">
      <c r="A11410" t="s">
        <v>13142</v>
      </c>
      <c r="B11410" t="s">
        <v>3139</v>
      </c>
      <c r="C11410" t="s">
        <v>3140</v>
      </c>
      <c r="D11410" t="str">
        <f>HYPERLINK("http://service.sap.com/sap/support/notes/1526697","1526697")</f>
        <v>1526697</v>
      </c>
      <c r="E11410">
        <v>5</v>
      </c>
      <c r="F11410" t="s">
        <v>11536</v>
      </c>
    </row>
    <row r="11411" spans="1:6" x14ac:dyDescent="0.25">
      <c r="A11411" t="s">
        <v>13142</v>
      </c>
      <c r="B11411" t="s">
        <v>3142</v>
      </c>
      <c r="C11411" t="s">
        <v>3143</v>
      </c>
    </row>
    <row r="11412" spans="1:6" x14ac:dyDescent="0.25">
      <c r="A11412" t="s">
        <v>13142</v>
      </c>
      <c r="B11412" t="s">
        <v>3144</v>
      </c>
      <c r="C11412" t="s">
        <v>3145</v>
      </c>
      <c r="D11412" t="str">
        <f>HYPERLINK("http://service.sap.com/sap/support/notes/1856957","1856957")</f>
        <v>1856957</v>
      </c>
      <c r="E11412">
        <v>2</v>
      </c>
      <c r="F11412" t="s">
        <v>11535</v>
      </c>
    </row>
    <row r="11413" spans="1:6" x14ac:dyDescent="0.25">
      <c r="A11413" t="s">
        <v>13142</v>
      </c>
      <c r="B11413" t="s">
        <v>5804</v>
      </c>
      <c r="C11413" t="s">
        <v>5805</v>
      </c>
      <c r="D11413" t="str">
        <f>HYPERLINK("http://service.sap.com/sap/support/notes/1886402","1886402")</f>
        <v>1886402</v>
      </c>
      <c r="E11413">
        <v>2</v>
      </c>
      <c r="F11413" t="s">
        <v>11534</v>
      </c>
    </row>
    <row r="11414" spans="1:6" x14ac:dyDescent="0.25">
      <c r="A11414" t="s">
        <v>13142</v>
      </c>
      <c r="B11414" t="s">
        <v>3146</v>
      </c>
      <c r="C11414" t="s">
        <v>3147</v>
      </c>
      <c r="D11414" t="str">
        <f>HYPERLINK("http://service.sap.com/sap/support/notes/1864482","1864482")</f>
        <v>1864482</v>
      </c>
      <c r="E11414">
        <v>2</v>
      </c>
      <c r="F11414" t="s">
        <v>11533</v>
      </c>
    </row>
    <row r="11415" spans="1:6" x14ac:dyDescent="0.25">
      <c r="A11415" t="s">
        <v>13142</v>
      </c>
      <c r="B11415" t="s">
        <v>3146</v>
      </c>
      <c r="C11415" t="s">
        <v>3147</v>
      </c>
      <c r="D11415" t="str">
        <f>HYPERLINK("http://service.sap.com/sap/support/notes/1881477","1881477")</f>
        <v>1881477</v>
      </c>
      <c r="E11415">
        <v>1</v>
      </c>
      <c r="F11415" t="s">
        <v>11532</v>
      </c>
    </row>
    <row r="11416" spans="1:6" x14ac:dyDescent="0.25">
      <c r="A11416" t="s">
        <v>13142</v>
      </c>
      <c r="B11416" t="s">
        <v>3150</v>
      </c>
      <c r="C11416" t="s">
        <v>3151</v>
      </c>
      <c r="D11416" t="str">
        <f>HYPERLINK("http://service.sap.com/sap/support/notes/1876088","1876088")</f>
        <v>1876088</v>
      </c>
      <c r="E11416">
        <v>2</v>
      </c>
      <c r="F11416" t="s">
        <v>11531</v>
      </c>
    </row>
    <row r="11417" spans="1:6" x14ac:dyDescent="0.25">
      <c r="A11417" t="s">
        <v>13142</v>
      </c>
      <c r="B11417" t="s">
        <v>3150</v>
      </c>
      <c r="C11417" t="s">
        <v>3151</v>
      </c>
      <c r="D11417" t="str">
        <f>HYPERLINK("http://service.sap.com/sap/support/notes/1877483","1877483")</f>
        <v>1877483</v>
      </c>
      <c r="E11417">
        <v>1</v>
      </c>
      <c r="F11417" t="s">
        <v>11530</v>
      </c>
    </row>
    <row r="11418" spans="1:6" x14ac:dyDescent="0.25">
      <c r="A11418" t="s">
        <v>13142</v>
      </c>
      <c r="B11418" t="s">
        <v>11529</v>
      </c>
      <c r="C11418" t="s">
        <v>11528</v>
      </c>
      <c r="D11418" t="str">
        <f>HYPERLINK("http://service.sap.com/sap/support/notes/1865776","1865776")</f>
        <v>1865776</v>
      </c>
      <c r="E11418">
        <v>3</v>
      </c>
      <c r="F11418" t="s">
        <v>11527</v>
      </c>
    </row>
    <row r="11419" spans="1:6" x14ac:dyDescent="0.25">
      <c r="A11419" t="s">
        <v>13142</v>
      </c>
      <c r="B11419" t="s">
        <v>3153</v>
      </c>
      <c r="C11419" t="s">
        <v>3154</v>
      </c>
      <c r="D11419" t="str">
        <f>HYPERLINK("http://service.sap.com/sap/support/notes/1871256","1871256")</f>
        <v>1871256</v>
      </c>
      <c r="E11419">
        <v>3</v>
      </c>
      <c r="F11419" t="s">
        <v>11526</v>
      </c>
    </row>
    <row r="11420" spans="1:6" x14ac:dyDescent="0.25">
      <c r="A11420" t="s">
        <v>13142</v>
      </c>
      <c r="B11420" t="s">
        <v>3156</v>
      </c>
      <c r="C11420" t="s">
        <v>3157</v>
      </c>
      <c r="D11420" t="str">
        <f>HYPERLINK("http://service.sap.com/sap/support/notes/1848116","1848116")</f>
        <v>1848116</v>
      </c>
      <c r="E11420">
        <v>2</v>
      </c>
      <c r="F11420" t="s">
        <v>11525</v>
      </c>
    </row>
    <row r="11421" spans="1:6" x14ac:dyDescent="0.25">
      <c r="A11421" t="s">
        <v>13142</v>
      </c>
      <c r="B11421" t="s">
        <v>3156</v>
      </c>
      <c r="C11421" t="s">
        <v>3157</v>
      </c>
      <c r="D11421" t="str">
        <f>HYPERLINK("http://service.sap.com/sap/support/notes/1868079","1868079")</f>
        <v>1868079</v>
      </c>
      <c r="E11421">
        <v>3</v>
      </c>
      <c r="F11421" t="s">
        <v>11524</v>
      </c>
    </row>
    <row r="11422" spans="1:6" x14ac:dyDescent="0.25">
      <c r="A11422" t="s">
        <v>13142</v>
      </c>
      <c r="B11422" t="s">
        <v>3156</v>
      </c>
      <c r="C11422" t="s">
        <v>3157</v>
      </c>
      <c r="D11422" t="str">
        <f>HYPERLINK("http://service.sap.com/sap/support/notes/1874961","1874961")</f>
        <v>1874961</v>
      </c>
      <c r="E11422">
        <v>3</v>
      </c>
      <c r="F11422" t="s">
        <v>11523</v>
      </c>
    </row>
    <row r="11423" spans="1:6" x14ac:dyDescent="0.25">
      <c r="A11423" t="s">
        <v>13142</v>
      </c>
      <c r="B11423" t="s">
        <v>3160</v>
      </c>
      <c r="C11423" t="s">
        <v>3161</v>
      </c>
      <c r="D11423" t="str">
        <f>HYPERLINK("http://service.sap.com/sap/support/notes/1865869","1865869")</f>
        <v>1865869</v>
      </c>
      <c r="E11423">
        <v>2</v>
      </c>
      <c r="F11423" t="s">
        <v>11522</v>
      </c>
    </row>
    <row r="11424" spans="1:6" x14ac:dyDescent="0.25">
      <c r="A11424" t="s">
        <v>13142</v>
      </c>
      <c r="B11424" t="s">
        <v>3160</v>
      </c>
      <c r="C11424" t="s">
        <v>3161</v>
      </c>
      <c r="D11424" t="str">
        <f>HYPERLINK("http://service.sap.com/sap/support/notes/1886334","1886334")</f>
        <v>1886334</v>
      </c>
      <c r="E11424">
        <v>2</v>
      </c>
      <c r="F11424" t="s">
        <v>11521</v>
      </c>
    </row>
    <row r="11425" spans="1:6" x14ac:dyDescent="0.25">
      <c r="A11425" t="s">
        <v>13142</v>
      </c>
      <c r="B11425" t="s">
        <v>3163</v>
      </c>
      <c r="C11425" t="s">
        <v>3164</v>
      </c>
      <c r="D11425" t="str">
        <f>HYPERLINK("http://service.sap.com/sap/support/notes/1868793","1868793")</f>
        <v>1868793</v>
      </c>
      <c r="E11425">
        <v>2</v>
      </c>
      <c r="F11425" t="s">
        <v>11520</v>
      </c>
    </row>
    <row r="11426" spans="1:6" x14ac:dyDescent="0.25">
      <c r="A11426" t="s">
        <v>13142</v>
      </c>
      <c r="B11426" t="s">
        <v>3185</v>
      </c>
      <c r="C11426" t="s">
        <v>3186</v>
      </c>
      <c r="D11426" t="str">
        <f>HYPERLINK("http://service.sap.com/sap/support/notes/1845272","1845272")</f>
        <v>1845272</v>
      </c>
      <c r="E11426">
        <v>2</v>
      </c>
      <c r="F11426" t="s">
        <v>11519</v>
      </c>
    </row>
    <row r="11427" spans="1:6" x14ac:dyDescent="0.25">
      <c r="A11427" t="s">
        <v>13142</v>
      </c>
      <c r="B11427" t="s">
        <v>3185</v>
      </c>
      <c r="C11427" t="s">
        <v>3186</v>
      </c>
      <c r="D11427" t="str">
        <f>HYPERLINK("http://service.sap.com/sap/support/notes/1850994","1850994")</f>
        <v>1850994</v>
      </c>
      <c r="E11427">
        <v>4</v>
      </c>
      <c r="F11427" t="s">
        <v>11518</v>
      </c>
    </row>
    <row r="11428" spans="1:6" x14ac:dyDescent="0.25">
      <c r="A11428" t="s">
        <v>13142</v>
      </c>
      <c r="B11428" t="s">
        <v>3185</v>
      </c>
      <c r="C11428" t="s">
        <v>3186</v>
      </c>
      <c r="D11428" t="str">
        <f>HYPERLINK("http://service.sap.com/sap/support/notes/1869025","1869025")</f>
        <v>1869025</v>
      </c>
      <c r="E11428">
        <v>3</v>
      </c>
      <c r="F11428" t="s">
        <v>11517</v>
      </c>
    </row>
    <row r="11429" spans="1:6" x14ac:dyDescent="0.25">
      <c r="A11429" t="s">
        <v>13142</v>
      </c>
      <c r="B11429" t="s">
        <v>3185</v>
      </c>
      <c r="C11429" t="s">
        <v>3186</v>
      </c>
      <c r="D11429" t="str">
        <f>HYPERLINK("http://service.sap.com/sap/support/notes/1871811","1871811")</f>
        <v>1871811</v>
      </c>
      <c r="E11429">
        <v>2</v>
      </c>
      <c r="F11429" t="s">
        <v>11516</v>
      </c>
    </row>
    <row r="11430" spans="1:6" x14ac:dyDescent="0.25">
      <c r="A11430" t="s">
        <v>13142</v>
      </c>
      <c r="B11430" t="s">
        <v>3195</v>
      </c>
      <c r="C11430" t="s">
        <v>3196</v>
      </c>
    </row>
    <row r="11431" spans="1:6" x14ac:dyDescent="0.25">
      <c r="A11431" t="s">
        <v>13142</v>
      </c>
      <c r="B11431" t="s">
        <v>8325</v>
      </c>
      <c r="C11431" t="s">
        <v>8326</v>
      </c>
    </row>
    <row r="11432" spans="1:6" x14ac:dyDescent="0.25">
      <c r="A11432" t="s">
        <v>13142</v>
      </c>
      <c r="B11432" t="s">
        <v>8327</v>
      </c>
      <c r="C11432" t="s">
        <v>8328</v>
      </c>
      <c r="D11432" t="str">
        <f>HYPERLINK("http://service.sap.com/sap/support/notes/1850829","1850829")</f>
        <v>1850829</v>
      </c>
      <c r="E11432">
        <v>1</v>
      </c>
      <c r="F11432" t="s">
        <v>11515</v>
      </c>
    </row>
    <row r="11433" spans="1:6" x14ac:dyDescent="0.25">
      <c r="A11433" t="s">
        <v>13142</v>
      </c>
      <c r="B11433" t="s">
        <v>11514</v>
      </c>
      <c r="C11433" t="s">
        <v>11513</v>
      </c>
      <c r="D11433" t="str">
        <f>HYPERLINK("http://service.sap.com/sap/support/notes/1893987","1893987")</f>
        <v>1893987</v>
      </c>
      <c r="E11433">
        <v>1</v>
      </c>
      <c r="F11433" t="s">
        <v>11512</v>
      </c>
    </row>
    <row r="11434" spans="1:6" x14ac:dyDescent="0.25">
      <c r="A11434" t="s">
        <v>13142</v>
      </c>
      <c r="B11434" t="s">
        <v>5852</v>
      </c>
      <c r="C11434" t="s">
        <v>5853</v>
      </c>
    </row>
    <row r="11435" spans="1:6" x14ac:dyDescent="0.25">
      <c r="A11435" t="s">
        <v>13142</v>
      </c>
      <c r="B11435" t="s">
        <v>5854</v>
      </c>
      <c r="C11435" t="s">
        <v>3564</v>
      </c>
      <c r="D11435" t="str">
        <f>HYPERLINK("http://service.sap.com/sap/support/notes/1871777","1871777")</f>
        <v>1871777</v>
      </c>
      <c r="E11435">
        <v>1</v>
      </c>
      <c r="F11435" t="s">
        <v>11511</v>
      </c>
    </row>
    <row r="11436" spans="1:6" x14ac:dyDescent="0.25">
      <c r="A11436" t="s">
        <v>13142</v>
      </c>
      <c r="B11436" t="s">
        <v>3204</v>
      </c>
      <c r="C11436" t="s">
        <v>3205</v>
      </c>
      <c r="D11436" t="str">
        <f>HYPERLINK("http://service.sap.com/sap/support/notes/1869711","1869711")</f>
        <v>1869711</v>
      </c>
      <c r="E11436">
        <v>1</v>
      </c>
      <c r="F11436" t="s">
        <v>11510</v>
      </c>
    </row>
    <row r="11437" spans="1:6" x14ac:dyDescent="0.25">
      <c r="A11437" t="s">
        <v>13142</v>
      </c>
      <c r="B11437" t="s">
        <v>5862</v>
      </c>
      <c r="C11437" t="s">
        <v>5863</v>
      </c>
      <c r="D11437" t="str">
        <f>HYPERLINK("http://service.sap.com/sap/support/notes/1883191","1883191")</f>
        <v>1883191</v>
      </c>
      <c r="E11437">
        <v>1</v>
      </c>
      <c r="F11437" t="s">
        <v>11509</v>
      </c>
    </row>
    <row r="11438" spans="1:6" x14ac:dyDescent="0.25">
      <c r="A11438" t="s">
        <v>13142</v>
      </c>
      <c r="B11438" t="s">
        <v>3206</v>
      </c>
      <c r="C11438" t="s">
        <v>3207</v>
      </c>
      <c r="D11438" t="str">
        <f>HYPERLINK("http://service.sap.com/sap/support/notes/1887183","1887183")</f>
        <v>1887183</v>
      </c>
      <c r="E11438">
        <v>2</v>
      </c>
      <c r="F11438" t="s">
        <v>11508</v>
      </c>
    </row>
    <row r="11439" spans="1:6" x14ac:dyDescent="0.25">
      <c r="A11439" t="s">
        <v>13142</v>
      </c>
      <c r="B11439" t="s">
        <v>3206</v>
      </c>
      <c r="C11439" t="s">
        <v>3207</v>
      </c>
      <c r="D11439" t="str">
        <f>HYPERLINK("http://service.sap.com/sap/support/notes/1899256","1899256")</f>
        <v>1899256</v>
      </c>
      <c r="E11439">
        <v>1</v>
      </c>
      <c r="F11439" t="s">
        <v>11507</v>
      </c>
    </row>
    <row r="11440" spans="1:6" x14ac:dyDescent="0.25">
      <c r="A11440" t="s">
        <v>13142</v>
      </c>
      <c r="B11440" t="s">
        <v>3209</v>
      </c>
      <c r="C11440" t="s">
        <v>3210</v>
      </c>
      <c r="D11440" t="str">
        <f>HYPERLINK("http://service.sap.com/sap/support/notes/1868788","1868788")</f>
        <v>1868788</v>
      </c>
      <c r="E11440">
        <v>1</v>
      </c>
      <c r="F11440" t="s">
        <v>11506</v>
      </c>
    </row>
    <row r="11441" spans="1:6" x14ac:dyDescent="0.25">
      <c r="A11441" t="s">
        <v>13142</v>
      </c>
      <c r="B11441" t="s">
        <v>3212</v>
      </c>
      <c r="C11441" t="s">
        <v>3213</v>
      </c>
      <c r="D11441" t="str">
        <f>HYPERLINK("http://service.sap.com/sap/support/notes/1888858","1888858")</f>
        <v>1888858</v>
      </c>
      <c r="E11441">
        <v>1</v>
      </c>
      <c r="F11441" t="s">
        <v>11505</v>
      </c>
    </row>
    <row r="11442" spans="1:6" x14ac:dyDescent="0.25">
      <c r="A11442" t="s">
        <v>13142</v>
      </c>
      <c r="B11442" t="s">
        <v>3215</v>
      </c>
      <c r="C11442" t="s">
        <v>3216</v>
      </c>
    </row>
    <row r="11443" spans="1:6" x14ac:dyDescent="0.25">
      <c r="A11443" t="s">
        <v>13142</v>
      </c>
      <c r="B11443" t="s">
        <v>3217</v>
      </c>
      <c r="C11443" t="s">
        <v>3218</v>
      </c>
    </row>
    <row r="11444" spans="1:6" x14ac:dyDescent="0.25">
      <c r="A11444" t="s">
        <v>13142</v>
      </c>
      <c r="B11444" t="s">
        <v>3219</v>
      </c>
      <c r="C11444" t="s">
        <v>8330</v>
      </c>
      <c r="D11444" t="str">
        <f>HYPERLINK("http://service.sap.com/sap/support/notes/1795432","1795432")</f>
        <v>1795432</v>
      </c>
      <c r="E11444">
        <v>21</v>
      </c>
      <c r="F11444" t="s">
        <v>10432</v>
      </c>
    </row>
    <row r="11445" spans="1:6" x14ac:dyDescent="0.25">
      <c r="A11445" t="s">
        <v>13142</v>
      </c>
      <c r="B11445" t="s">
        <v>3231</v>
      </c>
      <c r="C11445" t="s">
        <v>1784</v>
      </c>
      <c r="D11445" t="str">
        <f>HYPERLINK("http://service.sap.com/sap/support/notes/799370","799370")</f>
        <v>799370</v>
      </c>
      <c r="E11445">
        <v>5</v>
      </c>
      <c r="F11445" t="s">
        <v>11504</v>
      </c>
    </row>
    <row r="11446" spans="1:6" x14ac:dyDescent="0.25">
      <c r="A11446" t="s">
        <v>13142</v>
      </c>
      <c r="B11446" t="s">
        <v>3231</v>
      </c>
      <c r="C11446" t="s">
        <v>1784</v>
      </c>
      <c r="D11446" t="str">
        <f>HYPERLINK("http://service.sap.com/sap/support/notes/1821419","1821419")</f>
        <v>1821419</v>
      </c>
      <c r="E11446">
        <v>3</v>
      </c>
      <c r="F11446" t="s">
        <v>11503</v>
      </c>
    </row>
    <row r="11447" spans="1:6" x14ac:dyDescent="0.25">
      <c r="A11447" t="s">
        <v>13142</v>
      </c>
      <c r="B11447" t="s">
        <v>3231</v>
      </c>
      <c r="C11447" t="s">
        <v>1784</v>
      </c>
      <c r="D11447" t="str">
        <f>HYPERLINK("http://service.sap.com/sap/support/notes/1872605","1872605")</f>
        <v>1872605</v>
      </c>
      <c r="E11447">
        <v>1</v>
      </c>
      <c r="F11447" t="s">
        <v>11502</v>
      </c>
    </row>
    <row r="11448" spans="1:6" x14ac:dyDescent="0.25">
      <c r="A11448" t="s">
        <v>13142</v>
      </c>
      <c r="B11448" t="s">
        <v>3231</v>
      </c>
      <c r="C11448" t="s">
        <v>1784</v>
      </c>
      <c r="D11448" t="str">
        <f>HYPERLINK("http://service.sap.com/sap/support/notes/1875075","1875075")</f>
        <v>1875075</v>
      </c>
      <c r="E11448">
        <v>1</v>
      </c>
      <c r="F11448" t="s">
        <v>11501</v>
      </c>
    </row>
    <row r="11449" spans="1:6" x14ac:dyDescent="0.25">
      <c r="A11449" t="s">
        <v>13142</v>
      </c>
      <c r="B11449" t="s">
        <v>3231</v>
      </c>
      <c r="C11449" t="s">
        <v>1784</v>
      </c>
      <c r="D11449" t="str">
        <f>HYPERLINK("http://service.sap.com/sap/support/notes/1887270","1887270")</f>
        <v>1887270</v>
      </c>
      <c r="E11449">
        <v>1</v>
      </c>
      <c r="F11449" t="s">
        <v>11500</v>
      </c>
    </row>
    <row r="11450" spans="1:6" x14ac:dyDescent="0.25">
      <c r="A11450" t="s">
        <v>13142</v>
      </c>
      <c r="B11450" t="s">
        <v>3233</v>
      </c>
      <c r="C11450" t="s">
        <v>3234</v>
      </c>
    </row>
    <row r="11451" spans="1:6" x14ac:dyDescent="0.25">
      <c r="A11451" t="s">
        <v>13142</v>
      </c>
      <c r="B11451" t="s">
        <v>5882</v>
      </c>
      <c r="C11451" t="s">
        <v>1638</v>
      </c>
      <c r="D11451" t="str">
        <f>HYPERLINK("http://service.sap.com/sap/support/notes/1850173","1850173")</f>
        <v>1850173</v>
      </c>
      <c r="E11451">
        <v>2</v>
      </c>
      <c r="F11451" t="s">
        <v>11499</v>
      </c>
    </row>
    <row r="11452" spans="1:6" x14ac:dyDescent="0.25">
      <c r="A11452" t="s">
        <v>13142</v>
      </c>
      <c r="B11452" t="s">
        <v>5882</v>
      </c>
      <c r="C11452" t="s">
        <v>1638</v>
      </c>
      <c r="D11452" t="str">
        <f>HYPERLINK("http://service.sap.com/sap/support/notes/1863451","1863451")</f>
        <v>1863451</v>
      </c>
      <c r="E11452">
        <v>2</v>
      </c>
      <c r="F11452" t="s">
        <v>11498</v>
      </c>
    </row>
    <row r="11453" spans="1:6" x14ac:dyDescent="0.25">
      <c r="A11453" t="s">
        <v>13142</v>
      </c>
      <c r="B11453" t="s">
        <v>5882</v>
      </c>
      <c r="C11453" t="s">
        <v>1638</v>
      </c>
      <c r="D11453" t="str">
        <f>HYPERLINK("http://service.sap.com/sap/support/notes/1894367","1894367")</f>
        <v>1894367</v>
      </c>
      <c r="E11453">
        <v>1</v>
      </c>
    </row>
    <row r="11454" spans="1:6" x14ac:dyDescent="0.25">
      <c r="A11454" t="s">
        <v>13142</v>
      </c>
      <c r="B11454" t="s">
        <v>11497</v>
      </c>
      <c r="C11454" t="s">
        <v>11496</v>
      </c>
      <c r="D11454" t="str">
        <f>HYPERLINK("http://service.sap.com/sap/support/notes/1890132","1890132")</f>
        <v>1890132</v>
      </c>
      <c r="E11454">
        <v>1</v>
      </c>
    </row>
    <row r="11455" spans="1:6" x14ac:dyDescent="0.25">
      <c r="A11455" t="s">
        <v>13142</v>
      </c>
      <c r="B11455" t="s">
        <v>11495</v>
      </c>
      <c r="C11455" t="s">
        <v>11494</v>
      </c>
      <c r="D11455" t="str">
        <f>HYPERLINK("http://service.sap.com/sap/support/notes/1893139","1893139")</f>
        <v>1893139</v>
      </c>
      <c r="E11455">
        <v>1</v>
      </c>
    </row>
    <row r="11456" spans="1:6" x14ac:dyDescent="0.25">
      <c r="A11456" t="s">
        <v>13142</v>
      </c>
      <c r="B11456" t="s">
        <v>5889</v>
      </c>
      <c r="C11456" t="s">
        <v>5890</v>
      </c>
      <c r="D11456" t="str">
        <f>HYPERLINK("http://service.sap.com/sap/support/notes/1891238","1891238")</f>
        <v>1891238</v>
      </c>
      <c r="E11456">
        <v>1</v>
      </c>
    </row>
    <row r="11457" spans="1:6" x14ac:dyDescent="0.25">
      <c r="A11457" t="s">
        <v>13142</v>
      </c>
      <c r="B11457" t="s">
        <v>3241</v>
      </c>
      <c r="C11457" t="s">
        <v>3242</v>
      </c>
      <c r="D11457" t="str">
        <f>HYPERLINK("http://service.sap.com/sap/support/notes/1886388","1886388")</f>
        <v>1886388</v>
      </c>
      <c r="E11457">
        <v>3</v>
      </c>
      <c r="F11457" t="s">
        <v>11493</v>
      </c>
    </row>
    <row r="11458" spans="1:6" x14ac:dyDescent="0.25">
      <c r="A11458" t="s">
        <v>13142</v>
      </c>
      <c r="B11458" t="s">
        <v>11492</v>
      </c>
      <c r="C11458" t="s">
        <v>11491</v>
      </c>
      <c r="D11458" t="str">
        <f>HYPERLINK("http://service.sap.com/sap/support/notes/1867464","1867464")</f>
        <v>1867464</v>
      </c>
      <c r="E11458">
        <v>4</v>
      </c>
      <c r="F11458" t="s">
        <v>11490</v>
      </c>
    </row>
    <row r="11459" spans="1:6" x14ac:dyDescent="0.25">
      <c r="A11459" t="s">
        <v>13142</v>
      </c>
      <c r="B11459" t="s">
        <v>8346</v>
      </c>
      <c r="C11459" t="s">
        <v>8347</v>
      </c>
      <c r="D11459" t="str">
        <f>HYPERLINK("http://service.sap.com/sap/support/notes/1872438","1872438")</f>
        <v>1872438</v>
      </c>
      <c r="E11459">
        <v>1</v>
      </c>
      <c r="F11459" t="s">
        <v>11489</v>
      </c>
    </row>
    <row r="11460" spans="1:6" x14ac:dyDescent="0.25">
      <c r="A11460" t="s">
        <v>13142</v>
      </c>
      <c r="B11460" t="s">
        <v>8346</v>
      </c>
      <c r="C11460" t="s">
        <v>8347</v>
      </c>
      <c r="D11460" t="str">
        <f>HYPERLINK("http://service.sap.com/sap/support/notes/1895660","1895660")</f>
        <v>1895660</v>
      </c>
      <c r="E11460">
        <v>2</v>
      </c>
    </row>
    <row r="11461" spans="1:6" x14ac:dyDescent="0.25">
      <c r="A11461" t="s">
        <v>13142</v>
      </c>
      <c r="B11461" t="s">
        <v>3251</v>
      </c>
      <c r="C11461" t="s">
        <v>29</v>
      </c>
    </row>
    <row r="11462" spans="1:6" x14ac:dyDescent="0.25">
      <c r="A11462" t="s">
        <v>13142</v>
      </c>
      <c r="B11462" t="s">
        <v>5895</v>
      </c>
      <c r="C11462" t="s">
        <v>5896</v>
      </c>
      <c r="D11462" t="str">
        <f>HYPERLINK("http://service.sap.com/sap/support/notes/1866090","1866090")</f>
        <v>1866090</v>
      </c>
      <c r="E11462">
        <v>2</v>
      </c>
      <c r="F11462" t="s">
        <v>11488</v>
      </c>
    </row>
    <row r="11463" spans="1:6" x14ac:dyDescent="0.25">
      <c r="A11463" t="s">
        <v>13142</v>
      </c>
      <c r="B11463" t="s">
        <v>3252</v>
      </c>
      <c r="C11463" t="s">
        <v>3253</v>
      </c>
      <c r="D11463" t="str">
        <f>HYPERLINK("http://service.sap.com/sap/support/notes/1864031","1864031")</f>
        <v>1864031</v>
      </c>
      <c r="E11463">
        <v>1</v>
      </c>
      <c r="F11463" t="s">
        <v>11487</v>
      </c>
    </row>
    <row r="11464" spans="1:6" x14ac:dyDescent="0.25">
      <c r="A11464" t="s">
        <v>13142</v>
      </c>
      <c r="B11464" t="s">
        <v>3252</v>
      </c>
      <c r="C11464" t="s">
        <v>3253</v>
      </c>
      <c r="D11464" t="str">
        <f>HYPERLINK("http://service.sap.com/sap/support/notes/1865809","1865809")</f>
        <v>1865809</v>
      </c>
      <c r="E11464">
        <v>2</v>
      </c>
      <c r="F11464" t="s">
        <v>11486</v>
      </c>
    </row>
    <row r="11465" spans="1:6" x14ac:dyDescent="0.25">
      <c r="A11465" t="s">
        <v>13142</v>
      </c>
      <c r="B11465" t="s">
        <v>3252</v>
      </c>
      <c r="C11465" t="s">
        <v>3253</v>
      </c>
      <c r="D11465" t="str">
        <f>HYPERLINK("http://service.sap.com/sap/support/notes/1871187","1871187")</f>
        <v>1871187</v>
      </c>
      <c r="E11465">
        <v>1</v>
      </c>
      <c r="F11465" t="s">
        <v>11485</v>
      </c>
    </row>
    <row r="11466" spans="1:6" x14ac:dyDescent="0.25">
      <c r="A11466" t="s">
        <v>13142</v>
      </c>
      <c r="B11466" t="s">
        <v>3252</v>
      </c>
      <c r="C11466" t="s">
        <v>3253</v>
      </c>
      <c r="D11466" t="str">
        <f>HYPERLINK("http://service.sap.com/sap/support/notes/1871237","1871237")</f>
        <v>1871237</v>
      </c>
      <c r="E11466">
        <v>2</v>
      </c>
      <c r="F11466" t="s">
        <v>11484</v>
      </c>
    </row>
    <row r="11467" spans="1:6" x14ac:dyDescent="0.25">
      <c r="A11467" t="s">
        <v>13142</v>
      </c>
      <c r="B11467" t="s">
        <v>3252</v>
      </c>
      <c r="C11467" t="s">
        <v>3253</v>
      </c>
      <c r="D11467" t="str">
        <f>HYPERLINK("http://service.sap.com/sap/support/notes/1873084","1873084")</f>
        <v>1873084</v>
      </c>
      <c r="E11467">
        <v>1</v>
      </c>
      <c r="F11467" t="s">
        <v>11483</v>
      </c>
    </row>
    <row r="11468" spans="1:6" x14ac:dyDescent="0.25">
      <c r="A11468" t="s">
        <v>13142</v>
      </c>
      <c r="B11468" t="s">
        <v>3252</v>
      </c>
      <c r="C11468" t="s">
        <v>3253</v>
      </c>
      <c r="D11468" t="str">
        <f>HYPERLINK("http://service.sap.com/sap/support/notes/1880277","1880277")</f>
        <v>1880277</v>
      </c>
      <c r="E11468">
        <v>1</v>
      </c>
      <c r="F11468" t="s">
        <v>11482</v>
      </c>
    </row>
    <row r="11469" spans="1:6" x14ac:dyDescent="0.25">
      <c r="A11469" t="s">
        <v>13142</v>
      </c>
      <c r="B11469" t="s">
        <v>3252</v>
      </c>
      <c r="C11469" t="s">
        <v>3253</v>
      </c>
      <c r="D11469" t="str">
        <f>HYPERLINK("http://service.sap.com/sap/support/notes/1883507","1883507")</f>
        <v>1883507</v>
      </c>
      <c r="E11469">
        <v>1</v>
      </c>
      <c r="F11469" t="s">
        <v>11481</v>
      </c>
    </row>
    <row r="11470" spans="1:6" x14ac:dyDescent="0.25">
      <c r="A11470" t="s">
        <v>13142</v>
      </c>
      <c r="B11470" t="s">
        <v>3252</v>
      </c>
      <c r="C11470" t="s">
        <v>3253</v>
      </c>
      <c r="D11470" t="str">
        <f>HYPERLINK("http://service.sap.com/sap/support/notes/1886606","1886606")</f>
        <v>1886606</v>
      </c>
      <c r="E11470">
        <v>2</v>
      </c>
      <c r="F11470" t="s">
        <v>11480</v>
      </c>
    </row>
    <row r="11471" spans="1:6" x14ac:dyDescent="0.25">
      <c r="A11471" t="s">
        <v>13142</v>
      </c>
      <c r="B11471" t="s">
        <v>3252</v>
      </c>
      <c r="C11471" t="s">
        <v>3253</v>
      </c>
      <c r="D11471" t="str">
        <f>HYPERLINK("http://service.sap.com/sap/support/notes/1890267","1890267")</f>
        <v>1890267</v>
      </c>
      <c r="E11471">
        <v>1</v>
      </c>
      <c r="F11471" t="s">
        <v>11479</v>
      </c>
    </row>
    <row r="11472" spans="1:6" x14ac:dyDescent="0.25">
      <c r="A11472" t="s">
        <v>13142</v>
      </c>
      <c r="B11472" t="s">
        <v>3252</v>
      </c>
      <c r="C11472" t="s">
        <v>3253</v>
      </c>
      <c r="D11472" t="str">
        <f>HYPERLINK("http://service.sap.com/sap/support/notes/1895225","1895225")</f>
        <v>1895225</v>
      </c>
      <c r="E11472">
        <v>1</v>
      </c>
      <c r="F11472" t="s">
        <v>11478</v>
      </c>
    </row>
    <row r="11473" spans="1:6" x14ac:dyDescent="0.25">
      <c r="A11473" t="s">
        <v>13142</v>
      </c>
      <c r="B11473" t="s">
        <v>3252</v>
      </c>
      <c r="C11473" t="s">
        <v>3253</v>
      </c>
      <c r="D11473" t="str">
        <f>HYPERLINK("http://service.sap.com/sap/support/notes/1895737","1895737")</f>
        <v>1895737</v>
      </c>
      <c r="E11473">
        <v>1</v>
      </c>
      <c r="F11473" t="s">
        <v>11477</v>
      </c>
    </row>
    <row r="11474" spans="1:6" x14ac:dyDescent="0.25">
      <c r="A11474" t="s">
        <v>13142</v>
      </c>
      <c r="B11474" t="s">
        <v>3252</v>
      </c>
      <c r="C11474" t="s">
        <v>3253</v>
      </c>
      <c r="D11474" t="str">
        <f>HYPERLINK("http://service.sap.com/sap/support/notes/1896384","1896384")</f>
        <v>1896384</v>
      </c>
      <c r="E11474">
        <v>1</v>
      </c>
      <c r="F11474" t="s">
        <v>11476</v>
      </c>
    </row>
    <row r="11475" spans="1:6" x14ac:dyDescent="0.25">
      <c r="A11475" t="s">
        <v>13142</v>
      </c>
      <c r="B11475" t="s">
        <v>8355</v>
      </c>
      <c r="C11475" t="s">
        <v>6468</v>
      </c>
      <c r="D11475" t="str">
        <f>HYPERLINK("http://service.sap.com/sap/support/notes/1866568","1866568")</f>
        <v>1866568</v>
      </c>
      <c r="E11475">
        <v>2</v>
      </c>
      <c r="F11475" t="s">
        <v>11475</v>
      </c>
    </row>
    <row r="11476" spans="1:6" x14ac:dyDescent="0.25">
      <c r="A11476" t="s">
        <v>13142</v>
      </c>
      <c r="B11476" t="s">
        <v>11474</v>
      </c>
      <c r="C11476" t="s">
        <v>11473</v>
      </c>
      <c r="D11476" t="str">
        <f>HYPERLINK("http://service.sap.com/sap/support/notes/1899662","1899662")</f>
        <v>1899662</v>
      </c>
      <c r="E11476">
        <v>1</v>
      </c>
    </row>
    <row r="11477" spans="1:6" x14ac:dyDescent="0.25">
      <c r="A11477" t="s">
        <v>13142</v>
      </c>
      <c r="B11477" t="s">
        <v>8357</v>
      </c>
      <c r="C11477" t="s">
        <v>8358</v>
      </c>
      <c r="D11477" t="str">
        <f>HYPERLINK("http://service.sap.com/sap/support/notes/1625007","1625007")</f>
        <v>1625007</v>
      </c>
      <c r="E11477">
        <v>7</v>
      </c>
      <c r="F11477" t="s">
        <v>11472</v>
      </c>
    </row>
    <row r="11478" spans="1:6" x14ac:dyDescent="0.25">
      <c r="A11478" t="s">
        <v>13142</v>
      </c>
      <c r="B11478" t="s">
        <v>8357</v>
      </c>
      <c r="C11478" t="s">
        <v>8358</v>
      </c>
      <c r="D11478" t="str">
        <f>HYPERLINK("http://service.sap.com/sap/support/notes/1871926","1871926")</f>
        <v>1871926</v>
      </c>
      <c r="E11478">
        <v>1</v>
      </c>
      <c r="F11478" t="s">
        <v>11471</v>
      </c>
    </row>
    <row r="11479" spans="1:6" x14ac:dyDescent="0.25">
      <c r="A11479" t="s">
        <v>13142</v>
      </c>
      <c r="B11479" t="s">
        <v>8357</v>
      </c>
      <c r="C11479" t="s">
        <v>8358</v>
      </c>
      <c r="D11479" t="str">
        <f>HYPERLINK("http://service.sap.com/sap/support/notes/1875337","1875337")</f>
        <v>1875337</v>
      </c>
      <c r="E11479">
        <v>2</v>
      </c>
      <c r="F11479" t="s">
        <v>11470</v>
      </c>
    </row>
    <row r="11480" spans="1:6" x14ac:dyDescent="0.25">
      <c r="A11480" t="s">
        <v>13142</v>
      </c>
      <c r="B11480" t="s">
        <v>8357</v>
      </c>
      <c r="C11480" t="s">
        <v>8358</v>
      </c>
      <c r="D11480" t="str">
        <f>HYPERLINK("http://service.sap.com/sap/support/notes/1893619","1893619")</f>
        <v>1893619</v>
      </c>
      <c r="E11480">
        <v>1</v>
      </c>
      <c r="F11480" t="s">
        <v>11469</v>
      </c>
    </row>
    <row r="11481" spans="1:6" x14ac:dyDescent="0.25">
      <c r="A11481" t="s">
        <v>13142</v>
      </c>
      <c r="B11481" t="s">
        <v>3270</v>
      </c>
      <c r="C11481" t="s">
        <v>3271</v>
      </c>
      <c r="D11481" t="str">
        <f>HYPERLINK("http://service.sap.com/sap/support/notes/1822500","1822500")</f>
        <v>1822500</v>
      </c>
      <c r="E11481">
        <v>4</v>
      </c>
      <c r="F11481" t="s">
        <v>11468</v>
      </c>
    </row>
    <row r="11482" spans="1:6" x14ac:dyDescent="0.25">
      <c r="A11482" t="s">
        <v>13142</v>
      </c>
      <c r="B11482" t="s">
        <v>3270</v>
      </c>
      <c r="C11482" t="s">
        <v>3271</v>
      </c>
      <c r="D11482" t="str">
        <f>HYPERLINK("http://service.sap.com/sap/support/notes/1831837","1831837")</f>
        <v>1831837</v>
      </c>
      <c r="E11482">
        <v>6</v>
      </c>
      <c r="F11482" t="s">
        <v>11467</v>
      </c>
    </row>
    <row r="11483" spans="1:6" x14ac:dyDescent="0.25">
      <c r="A11483" t="s">
        <v>13142</v>
      </c>
      <c r="B11483" t="s">
        <v>3273</v>
      </c>
      <c r="C11483" t="s">
        <v>3274</v>
      </c>
      <c r="D11483" t="str">
        <f>HYPERLINK("http://service.sap.com/sap/support/notes/1868463","1868463")</f>
        <v>1868463</v>
      </c>
      <c r="E11483">
        <v>2</v>
      </c>
      <c r="F11483" t="s">
        <v>11466</v>
      </c>
    </row>
    <row r="11484" spans="1:6" x14ac:dyDescent="0.25">
      <c r="A11484" t="s">
        <v>13142</v>
      </c>
      <c r="B11484" t="s">
        <v>3273</v>
      </c>
      <c r="C11484" t="s">
        <v>3274</v>
      </c>
      <c r="D11484" t="str">
        <f>HYPERLINK("http://service.sap.com/sap/support/notes/1874017","1874017")</f>
        <v>1874017</v>
      </c>
      <c r="E11484">
        <v>3</v>
      </c>
      <c r="F11484" t="s">
        <v>11465</v>
      </c>
    </row>
    <row r="11485" spans="1:6" x14ac:dyDescent="0.25">
      <c r="A11485" t="s">
        <v>13142</v>
      </c>
      <c r="B11485" t="s">
        <v>3289</v>
      </c>
      <c r="C11485" t="s">
        <v>1878</v>
      </c>
      <c r="D11485" t="str">
        <f>HYPERLINK("http://service.sap.com/sap/support/notes/1823529","1823529")</f>
        <v>1823529</v>
      </c>
      <c r="E11485">
        <v>10</v>
      </c>
      <c r="F11485" t="s">
        <v>11464</v>
      </c>
    </row>
    <row r="11486" spans="1:6" x14ac:dyDescent="0.25">
      <c r="A11486" t="s">
        <v>13142</v>
      </c>
      <c r="B11486" t="s">
        <v>3289</v>
      </c>
      <c r="C11486" t="s">
        <v>1878</v>
      </c>
      <c r="D11486" t="str">
        <f>HYPERLINK("http://service.sap.com/sap/support/notes/1851079","1851079")</f>
        <v>1851079</v>
      </c>
      <c r="E11486">
        <v>2</v>
      </c>
      <c r="F11486" t="s">
        <v>11463</v>
      </c>
    </row>
    <row r="11487" spans="1:6" x14ac:dyDescent="0.25">
      <c r="A11487" t="s">
        <v>13142</v>
      </c>
      <c r="B11487" t="s">
        <v>3289</v>
      </c>
      <c r="C11487" t="s">
        <v>1878</v>
      </c>
      <c r="D11487" t="str">
        <f>HYPERLINK("http://service.sap.com/sap/support/notes/1856317","1856317")</f>
        <v>1856317</v>
      </c>
      <c r="E11487">
        <v>3</v>
      </c>
      <c r="F11487" t="s">
        <v>11462</v>
      </c>
    </row>
    <row r="11488" spans="1:6" x14ac:dyDescent="0.25">
      <c r="A11488" t="s">
        <v>13142</v>
      </c>
      <c r="B11488" t="s">
        <v>3289</v>
      </c>
      <c r="C11488" t="s">
        <v>1878</v>
      </c>
      <c r="D11488" t="str">
        <f>HYPERLINK("http://service.sap.com/sap/support/notes/1872531","1872531")</f>
        <v>1872531</v>
      </c>
      <c r="E11488">
        <v>2</v>
      </c>
      <c r="F11488" t="s">
        <v>11461</v>
      </c>
    </row>
    <row r="11489" spans="1:6" x14ac:dyDescent="0.25">
      <c r="A11489" t="s">
        <v>13142</v>
      </c>
      <c r="B11489" t="s">
        <v>11460</v>
      </c>
      <c r="C11489" t="s">
        <v>5890</v>
      </c>
      <c r="D11489" t="str">
        <f>HYPERLINK("http://service.sap.com/sap/support/notes/1867939","1867939")</f>
        <v>1867939</v>
      </c>
      <c r="E11489">
        <v>2</v>
      </c>
      <c r="F11489" t="s">
        <v>11459</v>
      </c>
    </row>
    <row r="11490" spans="1:6" x14ac:dyDescent="0.25">
      <c r="A11490" t="s">
        <v>13142</v>
      </c>
      <c r="B11490" t="s">
        <v>11458</v>
      </c>
      <c r="C11490" t="s">
        <v>11457</v>
      </c>
      <c r="D11490" t="str">
        <f>HYPERLINK("http://service.sap.com/sap/support/notes/1846014","1846014")</f>
        <v>1846014</v>
      </c>
      <c r="E11490">
        <v>5</v>
      </c>
      <c r="F11490" t="s">
        <v>11456</v>
      </c>
    </row>
    <row r="11491" spans="1:6" x14ac:dyDescent="0.25">
      <c r="A11491" t="s">
        <v>13142</v>
      </c>
      <c r="B11491" t="s">
        <v>11455</v>
      </c>
      <c r="C11491" t="s">
        <v>11454</v>
      </c>
    </row>
    <row r="11492" spans="1:6" x14ac:dyDescent="0.25">
      <c r="A11492" t="s">
        <v>13142</v>
      </c>
      <c r="B11492" t="s">
        <v>11453</v>
      </c>
      <c r="C11492" t="s">
        <v>7892</v>
      </c>
    </row>
    <row r="11493" spans="1:6" x14ac:dyDescent="0.25">
      <c r="A11493" t="s">
        <v>13142</v>
      </c>
      <c r="B11493" t="s">
        <v>11452</v>
      </c>
      <c r="C11493" t="s">
        <v>11451</v>
      </c>
      <c r="D11493" t="str">
        <f>HYPERLINK("http://service.sap.com/sap/support/notes/1876440","1876440")</f>
        <v>1876440</v>
      </c>
      <c r="E11493">
        <v>1</v>
      </c>
    </row>
    <row r="11494" spans="1:6" x14ac:dyDescent="0.25">
      <c r="A11494" t="s">
        <v>13142</v>
      </c>
      <c r="B11494" t="s">
        <v>3301</v>
      </c>
      <c r="C11494" t="s">
        <v>3302</v>
      </c>
    </row>
    <row r="11495" spans="1:6" x14ac:dyDescent="0.25">
      <c r="A11495" t="s">
        <v>13142</v>
      </c>
      <c r="B11495" t="s">
        <v>3303</v>
      </c>
      <c r="C11495" t="s">
        <v>3304</v>
      </c>
      <c r="D11495" t="str">
        <f>HYPERLINK("http://service.sap.com/sap/support/notes/1860861","1860861")</f>
        <v>1860861</v>
      </c>
      <c r="E11495">
        <v>3</v>
      </c>
      <c r="F11495" t="s">
        <v>11450</v>
      </c>
    </row>
    <row r="11496" spans="1:6" x14ac:dyDescent="0.25">
      <c r="A11496" t="s">
        <v>13142</v>
      </c>
      <c r="B11496" t="s">
        <v>3303</v>
      </c>
      <c r="C11496" t="s">
        <v>3304</v>
      </c>
      <c r="D11496" t="str">
        <f>HYPERLINK("http://service.sap.com/sap/support/notes/1867966","1867966")</f>
        <v>1867966</v>
      </c>
      <c r="E11496">
        <v>1</v>
      </c>
      <c r="F11496" t="s">
        <v>11449</v>
      </c>
    </row>
    <row r="11497" spans="1:6" x14ac:dyDescent="0.25">
      <c r="A11497" t="s">
        <v>13142</v>
      </c>
      <c r="B11497" t="s">
        <v>3303</v>
      </c>
      <c r="C11497" t="s">
        <v>3304</v>
      </c>
      <c r="D11497" t="str">
        <f>HYPERLINK("http://service.sap.com/sap/support/notes/1868435","1868435")</f>
        <v>1868435</v>
      </c>
      <c r="E11497">
        <v>5</v>
      </c>
      <c r="F11497" t="s">
        <v>11448</v>
      </c>
    </row>
    <row r="11498" spans="1:6" x14ac:dyDescent="0.25">
      <c r="A11498" t="s">
        <v>13142</v>
      </c>
      <c r="B11498" t="s">
        <v>3303</v>
      </c>
      <c r="C11498" t="s">
        <v>3304</v>
      </c>
      <c r="D11498" t="str">
        <f>HYPERLINK("http://service.sap.com/sap/support/notes/1869468","1869468")</f>
        <v>1869468</v>
      </c>
      <c r="E11498">
        <v>1</v>
      </c>
      <c r="F11498" t="s">
        <v>11447</v>
      </c>
    </row>
    <row r="11499" spans="1:6" x14ac:dyDescent="0.25">
      <c r="A11499" t="s">
        <v>13142</v>
      </c>
      <c r="B11499" t="s">
        <v>3303</v>
      </c>
      <c r="C11499" t="s">
        <v>3304</v>
      </c>
      <c r="D11499" t="str">
        <f>HYPERLINK("http://service.sap.com/sap/support/notes/1874515","1874515")</f>
        <v>1874515</v>
      </c>
      <c r="E11499">
        <v>1</v>
      </c>
      <c r="F11499" t="s">
        <v>11446</v>
      </c>
    </row>
    <row r="11500" spans="1:6" x14ac:dyDescent="0.25">
      <c r="A11500" t="s">
        <v>13142</v>
      </c>
      <c r="B11500" t="s">
        <v>3303</v>
      </c>
      <c r="C11500" t="s">
        <v>3304</v>
      </c>
      <c r="D11500" t="str">
        <f>HYPERLINK("http://service.sap.com/sap/support/notes/1876128","1876128")</f>
        <v>1876128</v>
      </c>
      <c r="E11500">
        <v>2</v>
      </c>
      <c r="F11500" t="s">
        <v>11445</v>
      </c>
    </row>
    <row r="11501" spans="1:6" x14ac:dyDescent="0.25">
      <c r="A11501" t="s">
        <v>13142</v>
      </c>
      <c r="B11501" t="s">
        <v>3303</v>
      </c>
      <c r="C11501" t="s">
        <v>3304</v>
      </c>
      <c r="D11501" t="str">
        <f>HYPERLINK("http://service.sap.com/sap/support/notes/1881744","1881744")</f>
        <v>1881744</v>
      </c>
      <c r="E11501">
        <v>1</v>
      </c>
      <c r="F11501" t="s">
        <v>11444</v>
      </c>
    </row>
    <row r="11502" spans="1:6" x14ac:dyDescent="0.25">
      <c r="A11502" t="s">
        <v>13142</v>
      </c>
      <c r="B11502" t="s">
        <v>3303</v>
      </c>
      <c r="C11502" t="s">
        <v>3304</v>
      </c>
      <c r="D11502" t="str">
        <f>HYPERLINK("http://service.sap.com/sap/support/notes/1881832","1881832")</f>
        <v>1881832</v>
      </c>
      <c r="E11502">
        <v>1</v>
      </c>
      <c r="F11502" t="s">
        <v>11443</v>
      </c>
    </row>
    <row r="11503" spans="1:6" x14ac:dyDescent="0.25">
      <c r="A11503" t="s">
        <v>13142</v>
      </c>
      <c r="B11503" t="s">
        <v>3303</v>
      </c>
      <c r="C11503" t="s">
        <v>3304</v>
      </c>
      <c r="D11503" t="str">
        <f>HYPERLINK("http://service.sap.com/sap/support/notes/1885318","1885318")</f>
        <v>1885318</v>
      </c>
      <c r="E11503">
        <v>1</v>
      </c>
      <c r="F11503" t="s">
        <v>11442</v>
      </c>
    </row>
    <row r="11504" spans="1:6" x14ac:dyDescent="0.25">
      <c r="A11504" t="s">
        <v>13142</v>
      </c>
      <c r="B11504" t="s">
        <v>3303</v>
      </c>
      <c r="C11504" t="s">
        <v>3304</v>
      </c>
      <c r="D11504" t="str">
        <f>HYPERLINK("http://service.sap.com/sap/support/notes/1888303","1888303")</f>
        <v>1888303</v>
      </c>
      <c r="E11504">
        <v>2</v>
      </c>
      <c r="F11504" t="s">
        <v>11441</v>
      </c>
    </row>
    <row r="11505" spans="1:6" x14ac:dyDescent="0.25">
      <c r="A11505" t="s">
        <v>13142</v>
      </c>
      <c r="B11505" t="s">
        <v>3303</v>
      </c>
      <c r="C11505" t="s">
        <v>3304</v>
      </c>
      <c r="D11505" t="str">
        <f>HYPERLINK("http://service.sap.com/sap/support/notes/1888489","1888489")</f>
        <v>1888489</v>
      </c>
      <c r="E11505">
        <v>1</v>
      </c>
      <c r="F11505" t="s">
        <v>11440</v>
      </c>
    </row>
    <row r="11506" spans="1:6" x14ac:dyDescent="0.25">
      <c r="A11506" t="s">
        <v>13142</v>
      </c>
      <c r="B11506" t="s">
        <v>3303</v>
      </c>
      <c r="C11506" t="s">
        <v>3304</v>
      </c>
      <c r="D11506" t="str">
        <f>HYPERLINK("http://service.sap.com/sap/support/notes/1896563","1896563")</f>
        <v>1896563</v>
      </c>
      <c r="E11506">
        <v>1</v>
      </c>
      <c r="F11506" t="s">
        <v>11439</v>
      </c>
    </row>
    <row r="11507" spans="1:6" x14ac:dyDescent="0.25">
      <c r="A11507" t="s">
        <v>13142</v>
      </c>
      <c r="B11507" t="s">
        <v>3303</v>
      </c>
      <c r="C11507" t="s">
        <v>3304</v>
      </c>
      <c r="D11507" t="str">
        <f>HYPERLINK("http://service.sap.com/sap/support/notes/1898235","1898235")</f>
        <v>1898235</v>
      </c>
      <c r="E11507">
        <v>2</v>
      </c>
      <c r="F11507" t="s">
        <v>11438</v>
      </c>
    </row>
    <row r="11508" spans="1:6" x14ac:dyDescent="0.25">
      <c r="A11508" t="s">
        <v>13142</v>
      </c>
      <c r="B11508" t="s">
        <v>3319</v>
      </c>
      <c r="C11508" t="s">
        <v>1784</v>
      </c>
      <c r="D11508" t="str">
        <f>HYPERLINK("http://service.sap.com/sap/support/notes/1872305","1872305")</f>
        <v>1872305</v>
      </c>
      <c r="E11508">
        <v>2</v>
      </c>
      <c r="F11508" t="s">
        <v>11437</v>
      </c>
    </row>
    <row r="11509" spans="1:6" x14ac:dyDescent="0.25">
      <c r="A11509" t="s">
        <v>13142</v>
      </c>
      <c r="B11509" t="s">
        <v>3319</v>
      </c>
      <c r="C11509" t="s">
        <v>1784</v>
      </c>
      <c r="D11509" t="str">
        <f>HYPERLINK("http://service.sap.com/sap/support/notes/1898707","1898707")</f>
        <v>1898707</v>
      </c>
      <c r="E11509">
        <v>1</v>
      </c>
      <c r="F11509" t="s">
        <v>11436</v>
      </c>
    </row>
    <row r="11510" spans="1:6" x14ac:dyDescent="0.25">
      <c r="A11510" t="s">
        <v>13142</v>
      </c>
      <c r="B11510" t="s">
        <v>3322</v>
      </c>
      <c r="C11510" t="s">
        <v>3323</v>
      </c>
    </row>
    <row r="11511" spans="1:6" x14ac:dyDescent="0.25">
      <c r="A11511" t="s">
        <v>13142</v>
      </c>
      <c r="B11511" t="s">
        <v>3324</v>
      </c>
      <c r="C11511" t="s">
        <v>3325</v>
      </c>
      <c r="D11511" t="str">
        <f>HYPERLINK("http://service.sap.com/sap/support/notes/1871001","1871001")</f>
        <v>1871001</v>
      </c>
      <c r="E11511">
        <v>2</v>
      </c>
      <c r="F11511" t="s">
        <v>11435</v>
      </c>
    </row>
    <row r="11512" spans="1:6" x14ac:dyDescent="0.25">
      <c r="A11512" t="s">
        <v>13142</v>
      </c>
      <c r="B11512" t="s">
        <v>3324</v>
      </c>
      <c r="C11512" t="s">
        <v>3325</v>
      </c>
      <c r="D11512" t="str">
        <f>HYPERLINK("http://service.sap.com/sap/support/notes/1883416","1883416")</f>
        <v>1883416</v>
      </c>
      <c r="E11512">
        <v>1</v>
      </c>
      <c r="F11512" t="s">
        <v>11434</v>
      </c>
    </row>
    <row r="11513" spans="1:6" x14ac:dyDescent="0.25">
      <c r="A11513" t="s">
        <v>13142</v>
      </c>
      <c r="B11513" t="s">
        <v>3324</v>
      </c>
      <c r="C11513" t="s">
        <v>3325</v>
      </c>
      <c r="D11513" t="str">
        <f>HYPERLINK("http://service.sap.com/sap/support/notes/1884778","1884778")</f>
        <v>1884778</v>
      </c>
      <c r="E11513">
        <v>2</v>
      </c>
      <c r="F11513" t="s">
        <v>11433</v>
      </c>
    </row>
    <row r="11514" spans="1:6" x14ac:dyDescent="0.25">
      <c r="A11514" t="s">
        <v>13142</v>
      </c>
      <c r="B11514" t="s">
        <v>3324</v>
      </c>
      <c r="C11514" t="s">
        <v>3325</v>
      </c>
      <c r="D11514" t="str">
        <f>HYPERLINK("http://service.sap.com/sap/support/notes/1888005","1888005")</f>
        <v>1888005</v>
      </c>
      <c r="E11514">
        <v>2</v>
      </c>
    </row>
    <row r="11515" spans="1:6" x14ac:dyDescent="0.25">
      <c r="A11515" t="s">
        <v>13142</v>
      </c>
      <c r="B11515" t="s">
        <v>3341</v>
      </c>
      <c r="C11515" t="s">
        <v>3342</v>
      </c>
    </row>
    <row r="11516" spans="1:6" x14ac:dyDescent="0.25">
      <c r="A11516" t="s">
        <v>13142</v>
      </c>
      <c r="B11516" t="s">
        <v>3343</v>
      </c>
      <c r="C11516" t="s">
        <v>151</v>
      </c>
    </row>
    <row r="11517" spans="1:6" x14ac:dyDescent="0.25">
      <c r="A11517" t="s">
        <v>13142</v>
      </c>
      <c r="B11517" t="s">
        <v>3344</v>
      </c>
      <c r="C11517" t="s">
        <v>621</v>
      </c>
      <c r="D11517" t="str">
        <f>HYPERLINK("http://service.sap.com/sap/support/notes/1791932","1791932")</f>
        <v>1791932</v>
      </c>
      <c r="E11517">
        <v>2</v>
      </c>
      <c r="F11517" t="s">
        <v>11432</v>
      </c>
    </row>
    <row r="11518" spans="1:6" x14ac:dyDescent="0.25">
      <c r="A11518" t="s">
        <v>13142</v>
      </c>
      <c r="B11518" t="s">
        <v>3344</v>
      </c>
      <c r="C11518" t="s">
        <v>621</v>
      </c>
      <c r="D11518" t="str">
        <f>HYPERLINK("http://service.sap.com/sap/support/notes/1832232","1832232")</f>
        <v>1832232</v>
      </c>
      <c r="E11518">
        <v>3</v>
      </c>
      <c r="F11518" t="s">
        <v>11431</v>
      </c>
    </row>
    <row r="11519" spans="1:6" x14ac:dyDescent="0.25">
      <c r="A11519" t="s">
        <v>13142</v>
      </c>
      <c r="B11519" t="s">
        <v>3344</v>
      </c>
      <c r="C11519" t="s">
        <v>621</v>
      </c>
      <c r="D11519" t="str">
        <f>HYPERLINK("http://service.sap.com/sap/support/notes/1838897","1838897")</f>
        <v>1838897</v>
      </c>
      <c r="E11519">
        <v>3</v>
      </c>
      <c r="F11519" t="s">
        <v>11430</v>
      </c>
    </row>
    <row r="11520" spans="1:6" x14ac:dyDescent="0.25">
      <c r="A11520" t="s">
        <v>13142</v>
      </c>
      <c r="B11520" t="s">
        <v>3344</v>
      </c>
      <c r="C11520" t="s">
        <v>621</v>
      </c>
      <c r="D11520" t="str">
        <f>HYPERLINK("http://service.sap.com/sap/support/notes/1868096","1868096")</f>
        <v>1868096</v>
      </c>
      <c r="E11520">
        <v>3</v>
      </c>
      <c r="F11520" t="s">
        <v>11429</v>
      </c>
    </row>
    <row r="11521" spans="1:6" x14ac:dyDescent="0.25">
      <c r="A11521" t="s">
        <v>13142</v>
      </c>
      <c r="B11521" t="s">
        <v>3344</v>
      </c>
      <c r="C11521" t="s">
        <v>621</v>
      </c>
      <c r="D11521" t="str">
        <f>HYPERLINK("http://service.sap.com/sap/support/notes/1874322","1874322")</f>
        <v>1874322</v>
      </c>
      <c r="E11521">
        <v>3</v>
      </c>
      <c r="F11521" t="s">
        <v>11428</v>
      </c>
    </row>
    <row r="11522" spans="1:6" x14ac:dyDescent="0.25">
      <c r="A11522" t="s">
        <v>13142</v>
      </c>
      <c r="B11522" t="s">
        <v>3351</v>
      </c>
      <c r="C11522" t="s">
        <v>3352</v>
      </c>
      <c r="D11522" t="str">
        <f>HYPERLINK("http://service.sap.com/sap/support/notes/1444611","1444611")</f>
        <v>1444611</v>
      </c>
      <c r="E11522">
        <v>10</v>
      </c>
      <c r="F11522" t="s">
        <v>11427</v>
      </c>
    </row>
    <row r="11523" spans="1:6" x14ac:dyDescent="0.25">
      <c r="A11523" t="s">
        <v>13142</v>
      </c>
      <c r="B11523" t="s">
        <v>3354</v>
      </c>
      <c r="C11523" t="s">
        <v>3226</v>
      </c>
      <c r="D11523" t="str">
        <f>HYPERLINK("http://service.sap.com/sap/support/notes/1769396","1769396")</f>
        <v>1769396</v>
      </c>
      <c r="E11523">
        <v>2</v>
      </c>
      <c r="F11523" t="s">
        <v>11426</v>
      </c>
    </row>
    <row r="11524" spans="1:6" x14ac:dyDescent="0.25">
      <c r="A11524" t="s">
        <v>13142</v>
      </c>
      <c r="B11524" t="s">
        <v>5966</v>
      </c>
      <c r="C11524" t="s">
        <v>5967</v>
      </c>
      <c r="D11524" t="str">
        <f>HYPERLINK("http://service.sap.com/sap/support/notes/1781883","1781883")</f>
        <v>1781883</v>
      </c>
      <c r="E11524">
        <v>5</v>
      </c>
      <c r="F11524" t="s">
        <v>11425</v>
      </c>
    </row>
    <row r="11525" spans="1:6" x14ac:dyDescent="0.25">
      <c r="A11525" t="s">
        <v>13142</v>
      </c>
      <c r="B11525" t="s">
        <v>5966</v>
      </c>
      <c r="C11525" t="s">
        <v>5967</v>
      </c>
      <c r="D11525" t="str">
        <f>HYPERLINK("http://service.sap.com/sap/support/notes/1884796","1884796")</f>
        <v>1884796</v>
      </c>
      <c r="E11525">
        <v>4</v>
      </c>
      <c r="F11525" t="s">
        <v>11424</v>
      </c>
    </row>
    <row r="11526" spans="1:6" x14ac:dyDescent="0.25">
      <c r="A11526" t="s">
        <v>13142</v>
      </c>
      <c r="B11526" t="s">
        <v>3365</v>
      </c>
      <c r="C11526" t="s">
        <v>998</v>
      </c>
      <c r="D11526" t="str">
        <f>HYPERLINK("http://service.sap.com/sap/support/notes/1673004","1673004")</f>
        <v>1673004</v>
      </c>
      <c r="E11526">
        <v>4</v>
      </c>
      <c r="F11526" t="s">
        <v>11423</v>
      </c>
    </row>
    <row r="11527" spans="1:6" x14ac:dyDescent="0.25">
      <c r="A11527" t="s">
        <v>13142</v>
      </c>
      <c r="B11527" t="s">
        <v>3365</v>
      </c>
      <c r="C11527" t="s">
        <v>998</v>
      </c>
      <c r="D11527" t="str">
        <f>HYPERLINK("http://service.sap.com/sap/support/notes/1850088","1850088")</f>
        <v>1850088</v>
      </c>
      <c r="E11527">
        <v>3</v>
      </c>
    </row>
    <row r="11528" spans="1:6" x14ac:dyDescent="0.25">
      <c r="A11528" t="s">
        <v>13142</v>
      </c>
      <c r="B11528" t="s">
        <v>3365</v>
      </c>
      <c r="C11528" t="s">
        <v>998</v>
      </c>
      <c r="D11528" t="str">
        <f>HYPERLINK("http://service.sap.com/sap/support/notes/1859470","1859470")</f>
        <v>1859470</v>
      </c>
      <c r="E11528">
        <v>1</v>
      </c>
      <c r="F11528" t="s">
        <v>11422</v>
      </c>
    </row>
    <row r="11529" spans="1:6" x14ac:dyDescent="0.25">
      <c r="A11529" t="s">
        <v>13142</v>
      </c>
      <c r="B11529" t="s">
        <v>3365</v>
      </c>
      <c r="C11529" t="s">
        <v>998</v>
      </c>
      <c r="D11529" t="str">
        <f>HYPERLINK("http://service.sap.com/sap/support/notes/1866597","1866597")</f>
        <v>1866597</v>
      </c>
      <c r="E11529">
        <v>1</v>
      </c>
    </row>
    <row r="11530" spans="1:6" x14ac:dyDescent="0.25">
      <c r="A11530" t="s">
        <v>13142</v>
      </c>
      <c r="B11530" t="s">
        <v>3365</v>
      </c>
      <c r="C11530" t="s">
        <v>998</v>
      </c>
      <c r="D11530" t="str">
        <f>HYPERLINK("http://service.sap.com/sap/support/notes/1866637","1866637")</f>
        <v>1866637</v>
      </c>
      <c r="E11530">
        <v>1</v>
      </c>
      <c r="F11530" t="s">
        <v>11421</v>
      </c>
    </row>
    <row r="11531" spans="1:6" x14ac:dyDescent="0.25">
      <c r="A11531" t="s">
        <v>13142</v>
      </c>
      <c r="B11531" t="s">
        <v>3365</v>
      </c>
      <c r="C11531" t="s">
        <v>998</v>
      </c>
      <c r="D11531" t="str">
        <f>HYPERLINK("http://service.sap.com/sap/support/notes/1874884","1874884")</f>
        <v>1874884</v>
      </c>
      <c r="E11531">
        <v>1</v>
      </c>
    </row>
    <row r="11532" spans="1:6" x14ac:dyDescent="0.25">
      <c r="A11532" t="s">
        <v>13142</v>
      </c>
      <c r="B11532" t="s">
        <v>5970</v>
      </c>
      <c r="C11532" t="s">
        <v>5971</v>
      </c>
      <c r="D11532" t="str">
        <f>HYPERLINK("http://service.sap.com/sap/support/notes/1879955","1879955")</f>
        <v>1879955</v>
      </c>
      <c r="E11532">
        <v>1</v>
      </c>
      <c r="F11532" t="s">
        <v>11420</v>
      </c>
    </row>
    <row r="11533" spans="1:6" x14ac:dyDescent="0.25">
      <c r="A11533" t="s">
        <v>13142</v>
      </c>
      <c r="B11533" t="s">
        <v>5970</v>
      </c>
      <c r="C11533" t="s">
        <v>5971</v>
      </c>
      <c r="D11533" t="str">
        <f>HYPERLINK("http://service.sap.com/sap/support/notes/1898240","1898240")</f>
        <v>1898240</v>
      </c>
      <c r="E11533">
        <v>1</v>
      </c>
      <c r="F11533" t="s">
        <v>11419</v>
      </c>
    </row>
    <row r="11534" spans="1:6" x14ac:dyDescent="0.25">
      <c r="A11534" t="s">
        <v>13142</v>
      </c>
      <c r="B11534" t="s">
        <v>5970</v>
      </c>
      <c r="C11534" t="s">
        <v>5971</v>
      </c>
      <c r="D11534" t="str">
        <f>HYPERLINK("http://service.sap.com/sap/support/notes/1898586","1898586")</f>
        <v>1898586</v>
      </c>
      <c r="E11534">
        <v>1</v>
      </c>
      <c r="F11534" t="s">
        <v>11418</v>
      </c>
    </row>
    <row r="11535" spans="1:6" x14ac:dyDescent="0.25">
      <c r="A11535" t="s">
        <v>13142</v>
      </c>
      <c r="B11535" t="s">
        <v>5984</v>
      </c>
      <c r="C11535" t="s">
        <v>5089</v>
      </c>
      <c r="D11535" t="str">
        <f>HYPERLINK("http://service.sap.com/sap/support/notes/1853187","1853187")</f>
        <v>1853187</v>
      </c>
      <c r="E11535">
        <v>2</v>
      </c>
      <c r="F11535" t="s">
        <v>11417</v>
      </c>
    </row>
    <row r="11536" spans="1:6" x14ac:dyDescent="0.25">
      <c r="A11536" t="s">
        <v>13142</v>
      </c>
      <c r="B11536" t="s">
        <v>3372</v>
      </c>
      <c r="C11536" t="s">
        <v>3373</v>
      </c>
      <c r="D11536" t="str">
        <f>HYPERLINK("http://service.sap.com/sap/support/notes/1701710","1701710")</f>
        <v>1701710</v>
      </c>
      <c r="E11536">
        <v>4</v>
      </c>
      <c r="F11536" t="s">
        <v>11416</v>
      </c>
    </row>
    <row r="11537" spans="1:6" x14ac:dyDescent="0.25">
      <c r="A11537" t="s">
        <v>13142</v>
      </c>
      <c r="B11537" t="s">
        <v>3372</v>
      </c>
      <c r="C11537" t="s">
        <v>3373</v>
      </c>
      <c r="D11537" t="str">
        <f>HYPERLINK("http://service.sap.com/sap/support/notes/1882095","1882095")</f>
        <v>1882095</v>
      </c>
      <c r="E11537">
        <v>1</v>
      </c>
      <c r="F11537" t="s">
        <v>11415</v>
      </c>
    </row>
    <row r="11538" spans="1:6" x14ac:dyDescent="0.25">
      <c r="A11538" t="s">
        <v>13142</v>
      </c>
      <c r="B11538" t="s">
        <v>3378</v>
      </c>
      <c r="C11538" t="s">
        <v>48</v>
      </c>
      <c r="D11538" t="str">
        <f>HYPERLINK("http://service.sap.com/sap/support/notes/1762920","1762920")</f>
        <v>1762920</v>
      </c>
      <c r="E11538">
        <v>4</v>
      </c>
      <c r="F11538" t="s">
        <v>11414</v>
      </c>
    </row>
    <row r="11539" spans="1:6" x14ac:dyDescent="0.25">
      <c r="A11539" t="s">
        <v>13142</v>
      </c>
      <c r="B11539" t="s">
        <v>3378</v>
      </c>
      <c r="C11539" t="s">
        <v>48</v>
      </c>
      <c r="D11539" t="str">
        <f>HYPERLINK("http://service.sap.com/sap/support/notes/1876700","1876700")</f>
        <v>1876700</v>
      </c>
      <c r="E11539">
        <v>3</v>
      </c>
      <c r="F11539" t="s">
        <v>11413</v>
      </c>
    </row>
    <row r="11540" spans="1:6" x14ac:dyDescent="0.25">
      <c r="A11540" t="s">
        <v>13142</v>
      </c>
      <c r="B11540" t="s">
        <v>3387</v>
      </c>
      <c r="C11540" t="s">
        <v>612</v>
      </c>
      <c r="D11540" t="str">
        <f>HYPERLINK("http://service.sap.com/sap/support/notes/1864235","1864235")</f>
        <v>1864235</v>
      </c>
      <c r="E11540">
        <v>2</v>
      </c>
      <c r="F11540" t="s">
        <v>11412</v>
      </c>
    </row>
    <row r="11541" spans="1:6" x14ac:dyDescent="0.25">
      <c r="A11541" t="s">
        <v>13142</v>
      </c>
      <c r="B11541" t="s">
        <v>3387</v>
      </c>
      <c r="C11541" t="s">
        <v>612</v>
      </c>
      <c r="D11541" t="str">
        <f>HYPERLINK("http://service.sap.com/sap/support/notes/1887468","1887468")</f>
        <v>1887468</v>
      </c>
      <c r="E11541">
        <v>2</v>
      </c>
      <c r="F11541" t="s">
        <v>11411</v>
      </c>
    </row>
    <row r="11542" spans="1:6" x14ac:dyDescent="0.25">
      <c r="A11542" t="s">
        <v>13142</v>
      </c>
      <c r="B11542" t="s">
        <v>3387</v>
      </c>
      <c r="C11542" t="s">
        <v>612</v>
      </c>
      <c r="D11542" t="str">
        <f>HYPERLINK("http://service.sap.com/sap/support/notes/1887744","1887744")</f>
        <v>1887744</v>
      </c>
      <c r="E11542">
        <v>1</v>
      </c>
      <c r="F11542" t="s">
        <v>11410</v>
      </c>
    </row>
    <row r="11543" spans="1:6" x14ac:dyDescent="0.25">
      <c r="A11543" t="s">
        <v>13142</v>
      </c>
      <c r="B11543" t="s">
        <v>3387</v>
      </c>
      <c r="C11543" t="s">
        <v>612</v>
      </c>
      <c r="D11543" t="str">
        <f>HYPERLINK("http://service.sap.com/sap/support/notes/1890308","1890308")</f>
        <v>1890308</v>
      </c>
      <c r="E11543">
        <v>4</v>
      </c>
      <c r="F11543" t="s">
        <v>11409</v>
      </c>
    </row>
    <row r="11544" spans="1:6" x14ac:dyDescent="0.25">
      <c r="A11544" t="s">
        <v>13142</v>
      </c>
      <c r="B11544" t="s">
        <v>3387</v>
      </c>
      <c r="C11544" t="s">
        <v>612</v>
      </c>
      <c r="D11544" t="str">
        <f>HYPERLINK("http://service.sap.com/sap/support/notes/1895643","1895643")</f>
        <v>1895643</v>
      </c>
      <c r="E11544">
        <v>3</v>
      </c>
      <c r="F11544" t="s">
        <v>11408</v>
      </c>
    </row>
    <row r="11545" spans="1:6" x14ac:dyDescent="0.25">
      <c r="A11545" t="s">
        <v>13142</v>
      </c>
      <c r="B11545" t="s">
        <v>3387</v>
      </c>
      <c r="C11545" t="s">
        <v>612</v>
      </c>
      <c r="D11545" t="str">
        <f>HYPERLINK("http://service.sap.com/sap/support/notes/1897610","1897610")</f>
        <v>1897610</v>
      </c>
      <c r="E11545">
        <v>1</v>
      </c>
      <c r="F11545" t="s">
        <v>11407</v>
      </c>
    </row>
    <row r="11546" spans="1:6" x14ac:dyDescent="0.25">
      <c r="A11546" t="s">
        <v>13142</v>
      </c>
      <c r="B11546" t="s">
        <v>3391</v>
      </c>
      <c r="C11546" t="s">
        <v>151</v>
      </c>
    </row>
    <row r="11547" spans="1:6" x14ac:dyDescent="0.25">
      <c r="A11547" t="s">
        <v>13142</v>
      </c>
      <c r="B11547" t="s">
        <v>3394</v>
      </c>
      <c r="C11547" t="s">
        <v>3395</v>
      </c>
      <c r="D11547" t="str">
        <f>HYPERLINK("http://service.sap.com/sap/support/notes/1881141","1881141")</f>
        <v>1881141</v>
      </c>
      <c r="E11547">
        <v>1</v>
      </c>
      <c r="F11547" t="s">
        <v>11406</v>
      </c>
    </row>
    <row r="11548" spans="1:6" x14ac:dyDescent="0.25">
      <c r="A11548" t="s">
        <v>13142</v>
      </c>
      <c r="B11548" t="s">
        <v>3397</v>
      </c>
      <c r="C11548" t="s">
        <v>3398</v>
      </c>
      <c r="D11548" t="str">
        <f>HYPERLINK("http://service.sap.com/sap/support/notes/1284946","1284946")</f>
        <v>1284946</v>
      </c>
      <c r="E11548">
        <v>9</v>
      </c>
      <c r="F11548" t="s">
        <v>11405</v>
      </c>
    </row>
    <row r="11549" spans="1:6" x14ac:dyDescent="0.25">
      <c r="A11549" t="s">
        <v>13142</v>
      </c>
      <c r="B11549" t="s">
        <v>3397</v>
      </c>
      <c r="C11549" t="s">
        <v>3398</v>
      </c>
      <c r="D11549" t="str">
        <f>HYPERLINK("http://service.sap.com/sap/support/notes/1866362","1866362")</f>
        <v>1866362</v>
      </c>
      <c r="E11549">
        <v>5</v>
      </c>
      <c r="F11549" t="s">
        <v>11404</v>
      </c>
    </row>
    <row r="11550" spans="1:6" x14ac:dyDescent="0.25">
      <c r="A11550" t="s">
        <v>13142</v>
      </c>
      <c r="B11550" t="s">
        <v>3401</v>
      </c>
      <c r="C11550" t="s">
        <v>3402</v>
      </c>
      <c r="D11550" t="str">
        <f>HYPERLINK("http://service.sap.com/sap/support/notes/1558793","1558793")</f>
        <v>1558793</v>
      </c>
      <c r="E11550">
        <v>6</v>
      </c>
      <c r="F11550" t="s">
        <v>11403</v>
      </c>
    </row>
    <row r="11551" spans="1:6" x14ac:dyDescent="0.25">
      <c r="A11551" t="s">
        <v>13142</v>
      </c>
      <c r="B11551" t="s">
        <v>3401</v>
      </c>
      <c r="C11551" t="s">
        <v>3402</v>
      </c>
      <c r="D11551" t="str">
        <f>HYPERLINK("http://service.sap.com/sap/support/notes/1612432","1612432")</f>
        <v>1612432</v>
      </c>
      <c r="E11551">
        <v>4</v>
      </c>
      <c r="F11551" t="s">
        <v>11402</v>
      </c>
    </row>
    <row r="11552" spans="1:6" x14ac:dyDescent="0.25">
      <c r="A11552" t="s">
        <v>13142</v>
      </c>
      <c r="B11552" t="s">
        <v>3401</v>
      </c>
      <c r="C11552" t="s">
        <v>3402</v>
      </c>
      <c r="D11552" t="str">
        <f>HYPERLINK("http://service.sap.com/sap/support/notes/1872177","1872177")</f>
        <v>1872177</v>
      </c>
      <c r="E11552">
        <v>2</v>
      </c>
      <c r="F11552" t="s">
        <v>11401</v>
      </c>
    </row>
    <row r="11553" spans="1:6" x14ac:dyDescent="0.25">
      <c r="A11553" t="s">
        <v>13142</v>
      </c>
      <c r="B11553" t="s">
        <v>3401</v>
      </c>
      <c r="C11553" t="s">
        <v>3402</v>
      </c>
      <c r="D11553" t="str">
        <f>HYPERLINK("http://service.sap.com/sap/support/notes/1884761","1884761")</f>
        <v>1884761</v>
      </c>
      <c r="E11553">
        <v>1</v>
      </c>
      <c r="F11553" t="s">
        <v>11400</v>
      </c>
    </row>
    <row r="11554" spans="1:6" x14ac:dyDescent="0.25">
      <c r="A11554" t="s">
        <v>13142</v>
      </c>
      <c r="B11554" t="s">
        <v>3401</v>
      </c>
      <c r="C11554" t="s">
        <v>3402</v>
      </c>
      <c r="D11554" t="str">
        <f>HYPERLINK("http://service.sap.com/sap/support/notes/1888857","1888857")</f>
        <v>1888857</v>
      </c>
      <c r="E11554">
        <v>2</v>
      </c>
      <c r="F11554" t="s">
        <v>11399</v>
      </c>
    </row>
    <row r="11555" spans="1:6" x14ac:dyDescent="0.25">
      <c r="A11555" t="s">
        <v>13142</v>
      </c>
      <c r="B11555" t="s">
        <v>3413</v>
      </c>
      <c r="C11555" t="s">
        <v>3414</v>
      </c>
      <c r="D11555" t="str">
        <f>HYPERLINK("http://service.sap.com/sap/support/notes/1851000","1851000")</f>
        <v>1851000</v>
      </c>
      <c r="E11555">
        <v>2</v>
      </c>
      <c r="F11555" t="s">
        <v>11398</v>
      </c>
    </row>
    <row r="11556" spans="1:6" x14ac:dyDescent="0.25">
      <c r="A11556" t="s">
        <v>13142</v>
      </c>
      <c r="B11556" t="s">
        <v>3413</v>
      </c>
      <c r="C11556" t="s">
        <v>3414</v>
      </c>
      <c r="D11556" t="str">
        <f>HYPERLINK("http://service.sap.com/sap/support/notes/1867971","1867971")</f>
        <v>1867971</v>
      </c>
      <c r="E11556">
        <v>4</v>
      </c>
      <c r="F11556" t="s">
        <v>11397</v>
      </c>
    </row>
    <row r="11557" spans="1:6" x14ac:dyDescent="0.25">
      <c r="A11557" t="s">
        <v>13142</v>
      </c>
      <c r="B11557" t="s">
        <v>3418</v>
      </c>
      <c r="C11557" t="s">
        <v>3419</v>
      </c>
      <c r="D11557" t="str">
        <f>HYPERLINK("http://service.sap.com/sap/support/notes/1723811","1723811")</f>
        <v>1723811</v>
      </c>
      <c r="E11557">
        <v>3</v>
      </c>
      <c r="F11557" t="s">
        <v>11396</v>
      </c>
    </row>
    <row r="11558" spans="1:6" x14ac:dyDescent="0.25">
      <c r="A11558" t="s">
        <v>13142</v>
      </c>
      <c r="B11558" t="s">
        <v>3418</v>
      </c>
      <c r="C11558" t="s">
        <v>3419</v>
      </c>
      <c r="D11558" t="str">
        <f>HYPERLINK("http://service.sap.com/sap/support/notes/1728469","1728469")</f>
        <v>1728469</v>
      </c>
      <c r="E11558">
        <v>4</v>
      </c>
      <c r="F11558" t="s">
        <v>11395</v>
      </c>
    </row>
    <row r="11559" spans="1:6" x14ac:dyDescent="0.25">
      <c r="A11559" t="s">
        <v>13142</v>
      </c>
      <c r="B11559" t="s">
        <v>3420</v>
      </c>
      <c r="C11559" t="s">
        <v>3421</v>
      </c>
      <c r="D11559" t="str">
        <f>HYPERLINK("http://service.sap.com/sap/support/notes/1849013","1849013")</f>
        <v>1849013</v>
      </c>
      <c r="E11559">
        <v>4</v>
      </c>
      <c r="F11559" t="s">
        <v>11394</v>
      </c>
    </row>
    <row r="11560" spans="1:6" x14ac:dyDescent="0.25">
      <c r="A11560" t="s">
        <v>13142</v>
      </c>
      <c r="B11560" t="s">
        <v>3423</v>
      </c>
      <c r="C11560" t="s">
        <v>3424</v>
      </c>
      <c r="D11560" t="str">
        <f>HYPERLINK("http://service.sap.com/sap/support/notes/1739708","1739708")</f>
        <v>1739708</v>
      </c>
      <c r="E11560">
        <v>5</v>
      </c>
      <c r="F11560" t="s">
        <v>11393</v>
      </c>
    </row>
    <row r="11561" spans="1:6" x14ac:dyDescent="0.25">
      <c r="A11561" t="s">
        <v>13142</v>
      </c>
      <c r="B11561" t="s">
        <v>3423</v>
      </c>
      <c r="C11561" t="s">
        <v>3424</v>
      </c>
      <c r="D11561" t="str">
        <f>HYPERLINK("http://service.sap.com/sap/support/notes/1800304","1800304")</f>
        <v>1800304</v>
      </c>
      <c r="E11561">
        <v>6</v>
      </c>
      <c r="F11561" t="s">
        <v>11392</v>
      </c>
    </row>
    <row r="11562" spans="1:6" x14ac:dyDescent="0.25">
      <c r="A11562" t="s">
        <v>13142</v>
      </c>
      <c r="B11562" t="s">
        <v>3423</v>
      </c>
      <c r="C11562" t="s">
        <v>3424</v>
      </c>
      <c r="D11562" t="str">
        <f>HYPERLINK("http://service.sap.com/sap/support/notes/1868508","1868508")</f>
        <v>1868508</v>
      </c>
      <c r="E11562">
        <v>2</v>
      </c>
      <c r="F11562" t="s">
        <v>11391</v>
      </c>
    </row>
    <row r="11563" spans="1:6" x14ac:dyDescent="0.25">
      <c r="A11563" t="s">
        <v>13142</v>
      </c>
      <c r="B11563" t="s">
        <v>3423</v>
      </c>
      <c r="C11563" t="s">
        <v>3424</v>
      </c>
      <c r="D11563" t="str">
        <f>HYPERLINK("http://service.sap.com/sap/support/notes/1873802","1873802")</f>
        <v>1873802</v>
      </c>
      <c r="E11563">
        <v>2</v>
      </c>
      <c r="F11563" t="s">
        <v>11390</v>
      </c>
    </row>
    <row r="11564" spans="1:6" x14ac:dyDescent="0.25">
      <c r="A11564" t="s">
        <v>13142</v>
      </c>
      <c r="B11564" t="s">
        <v>3423</v>
      </c>
      <c r="C11564" t="s">
        <v>3424</v>
      </c>
      <c r="D11564" t="str">
        <f>HYPERLINK("http://service.sap.com/sap/support/notes/1874914","1874914")</f>
        <v>1874914</v>
      </c>
      <c r="E11564">
        <v>4</v>
      </c>
      <c r="F11564" t="s">
        <v>11389</v>
      </c>
    </row>
    <row r="11565" spans="1:6" x14ac:dyDescent="0.25">
      <c r="A11565" t="s">
        <v>13142</v>
      </c>
      <c r="B11565" t="s">
        <v>3439</v>
      </c>
      <c r="C11565" t="s">
        <v>3440</v>
      </c>
    </row>
    <row r="11566" spans="1:6" x14ac:dyDescent="0.25">
      <c r="A11566" t="s">
        <v>13142</v>
      </c>
      <c r="B11566" t="s">
        <v>8459</v>
      </c>
      <c r="C11566" t="s">
        <v>8460</v>
      </c>
      <c r="D11566" t="str">
        <f>HYPERLINK("http://service.sap.com/sap/support/notes/1771978","1771978")</f>
        <v>1771978</v>
      </c>
      <c r="E11566">
        <v>4</v>
      </c>
      <c r="F11566" t="s">
        <v>11388</v>
      </c>
    </row>
    <row r="11567" spans="1:6" x14ac:dyDescent="0.25">
      <c r="A11567" t="s">
        <v>13142</v>
      </c>
      <c r="B11567" t="s">
        <v>3441</v>
      </c>
      <c r="C11567" t="s">
        <v>3442</v>
      </c>
    </row>
    <row r="11568" spans="1:6" x14ac:dyDescent="0.25">
      <c r="A11568" t="s">
        <v>13142</v>
      </c>
      <c r="B11568" t="s">
        <v>3443</v>
      </c>
      <c r="C11568" t="s">
        <v>3444</v>
      </c>
      <c r="D11568" t="str">
        <f>HYPERLINK("http://service.sap.com/sap/support/notes/1872209","1872209")</f>
        <v>1872209</v>
      </c>
      <c r="E11568">
        <v>4</v>
      </c>
      <c r="F11568" t="s">
        <v>11387</v>
      </c>
    </row>
    <row r="11569" spans="1:6" x14ac:dyDescent="0.25">
      <c r="A11569" t="s">
        <v>13142</v>
      </c>
      <c r="B11569" t="s">
        <v>3447</v>
      </c>
      <c r="C11569" t="s">
        <v>2205</v>
      </c>
    </row>
    <row r="11570" spans="1:6" x14ac:dyDescent="0.25">
      <c r="A11570" t="s">
        <v>13142</v>
      </c>
      <c r="B11570" t="s">
        <v>3448</v>
      </c>
      <c r="C11570" t="s">
        <v>3449</v>
      </c>
      <c r="D11570" t="str">
        <f>HYPERLINK("http://service.sap.com/sap/support/notes/1872761","1872761")</f>
        <v>1872761</v>
      </c>
      <c r="E11570">
        <v>1</v>
      </c>
    </row>
    <row r="11571" spans="1:6" x14ac:dyDescent="0.25">
      <c r="A11571" t="s">
        <v>13142</v>
      </c>
      <c r="B11571" t="s">
        <v>3455</v>
      </c>
      <c r="C11571" t="s">
        <v>2207</v>
      </c>
      <c r="D11571" t="str">
        <f>HYPERLINK("http://service.sap.com/sap/support/notes/1830893","1830893")</f>
        <v>1830893</v>
      </c>
      <c r="E11571">
        <v>1</v>
      </c>
      <c r="F11571" t="s">
        <v>11386</v>
      </c>
    </row>
    <row r="11572" spans="1:6" x14ac:dyDescent="0.25">
      <c r="A11572" t="s">
        <v>13142</v>
      </c>
      <c r="B11572" t="s">
        <v>3455</v>
      </c>
      <c r="C11572" t="s">
        <v>2207</v>
      </c>
      <c r="D11572" t="str">
        <f>HYPERLINK("http://service.sap.com/sap/support/notes/1873041","1873041")</f>
        <v>1873041</v>
      </c>
      <c r="E11572">
        <v>2</v>
      </c>
      <c r="F11572" t="s">
        <v>11385</v>
      </c>
    </row>
    <row r="11573" spans="1:6" x14ac:dyDescent="0.25">
      <c r="A11573" t="s">
        <v>13142</v>
      </c>
      <c r="B11573" t="s">
        <v>3455</v>
      </c>
      <c r="C11573" t="s">
        <v>2207</v>
      </c>
      <c r="D11573" t="str">
        <f>HYPERLINK("http://service.sap.com/sap/support/notes/1882227","1882227")</f>
        <v>1882227</v>
      </c>
      <c r="E11573">
        <v>2</v>
      </c>
    </row>
    <row r="11574" spans="1:6" x14ac:dyDescent="0.25">
      <c r="A11574" t="s">
        <v>13142</v>
      </c>
      <c r="B11574" t="s">
        <v>3469</v>
      </c>
      <c r="C11574" t="s">
        <v>824</v>
      </c>
      <c r="D11574" t="str">
        <f>HYPERLINK("http://service.sap.com/sap/support/notes/1873043","1873043")</f>
        <v>1873043</v>
      </c>
      <c r="E11574">
        <v>1</v>
      </c>
    </row>
    <row r="11575" spans="1:6" x14ac:dyDescent="0.25">
      <c r="A11575" t="s">
        <v>13142</v>
      </c>
      <c r="B11575" t="s">
        <v>3471</v>
      </c>
      <c r="C11575" t="s">
        <v>29</v>
      </c>
    </row>
    <row r="11576" spans="1:6" x14ac:dyDescent="0.25">
      <c r="A11576" t="s">
        <v>13142</v>
      </c>
      <c r="B11576" t="s">
        <v>3472</v>
      </c>
      <c r="C11576" t="s">
        <v>3473</v>
      </c>
    </row>
    <row r="11577" spans="1:6" x14ac:dyDescent="0.25">
      <c r="A11577" t="s">
        <v>13142</v>
      </c>
      <c r="B11577" t="s">
        <v>8471</v>
      </c>
      <c r="C11577" t="s">
        <v>8472</v>
      </c>
      <c r="D11577" t="str">
        <f>HYPERLINK("http://service.sap.com/sap/support/notes/1876874","1876874")</f>
        <v>1876874</v>
      </c>
      <c r="E11577">
        <v>1</v>
      </c>
      <c r="F11577" t="s">
        <v>11384</v>
      </c>
    </row>
    <row r="11578" spans="1:6" x14ac:dyDescent="0.25">
      <c r="A11578" t="s">
        <v>13142</v>
      </c>
      <c r="B11578" t="s">
        <v>3481</v>
      </c>
      <c r="C11578" t="s">
        <v>3482</v>
      </c>
      <c r="D11578" t="str">
        <f>HYPERLINK("http://service.sap.com/sap/support/notes/1496197","1496197")</f>
        <v>1496197</v>
      </c>
      <c r="E11578">
        <v>3</v>
      </c>
      <c r="F11578" t="s">
        <v>11383</v>
      </c>
    </row>
    <row r="11579" spans="1:6" x14ac:dyDescent="0.25">
      <c r="A11579" t="s">
        <v>13142</v>
      </c>
      <c r="B11579" t="s">
        <v>3481</v>
      </c>
      <c r="C11579" t="s">
        <v>3482</v>
      </c>
      <c r="D11579" t="str">
        <f>HYPERLINK("http://service.sap.com/sap/support/notes/1628742","1628742")</f>
        <v>1628742</v>
      </c>
      <c r="E11579">
        <v>2</v>
      </c>
      <c r="F11579" t="s">
        <v>11382</v>
      </c>
    </row>
    <row r="11580" spans="1:6" x14ac:dyDescent="0.25">
      <c r="A11580" t="s">
        <v>13142</v>
      </c>
      <c r="B11580" t="s">
        <v>3481</v>
      </c>
      <c r="C11580" t="s">
        <v>3482</v>
      </c>
      <c r="D11580" t="str">
        <f>HYPERLINK("http://service.sap.com/sap/support/notes/1657970","1657970")</f>
        <v>1657970</v>
      </c>
      <c r="E11580">
        <v>1</v>
      </c>
      <c r="F11580" t="s">
        <v>11381</v>
      </c>
    </row>
    <row r="11581" spans="1:6" x14ac:dyDescent="0.25">
      <c r="A11581" t="s">
        <v>13142</v>
      </c>
      <c r="B11581" t="s">
        <v>3481</v>
      </c>
      <c r="C11581" t="s">
        <v>3482</v>
      </c>
      <c r="D11581" t="str">
        <f>HYPERLINK("http://service.sap.com/sap/support/notes/1708269","1708269")</f>
        <v>1708269</v>
      </c>
      <c r="E11581">
        <v>3</v>
      </c>
      <c r="F11581" t="s">
        <v>11380</v>
      </c>
    </row>
    <row r="11582" spans="1:6" x14ac:dyDescent="0.25">
      <c r="A11582" t="s">
        <v>13142</v>
      </c>
      <c r="B11582" t="s">
        <v>3481</v>
      </c>
      <c r="C11582" t="s">
        <v>3482</v>
      </c>
      <c r="D11582" t="str">
        <f>HYPERLINK("http://service.sap.com/sap/support/notes/1741997","1741997")</f>
        <v>1741997</v>
      </c>
      <c r="E11582">
        <v>5</v>
      </c>
      <c r="F11582" t="s">
        <v>11379</v>
      </c>
    </row>
    <row r="11583" spans="1:6" x14ac:dyDescent="0.25">
      <c r="A11583" t="s">
        <v>13142</v>
      </c>
      <c r="B11583" t="s">
        <v>3481</v>
      </c>
      <c r="C11583" t="s">
        <v>3482</v>
      </c>
      <c r="D11583" t="str">
        <f>HYPERLINK("http://service.sap.com/sap/support/notes/1825994","1825994")</f>
        <v>1825994</v>
      </c>
      <c r="E11583">
        <v>4</v>
      </c>
      <c r="F11583" t="s">
        <v>11378</v>
      </c>
    </row>
    <row r="11584" spans="1:6" x14ac:dyDescent="0.25">
      <c r="A11584" t="s">
        <v>13142</v>
      </c>
      <c r="B11584" t="s">
        <v>3495</v>
      </c>
      <c r="C11584" t="s">
        <v>3496</v>
      </c>
    </row>
    <row r="11585" spans="1:6" x14ac:dyDescent="0.25">
      <c r="A11585" t="s">
        <v>13142</v>
      </c>
      <c r="B11585" t="s">
        <v>11377</v>
      </c>
      <c r="C11585" t="s">
        <v>11376</v>
      </c>
      <c r="D11585" t="str">
        <f>HYPERLINK("http://service.sap.com/sap/support/notes/1856948","1856948")</f>
        <v>1856948</v>
      </c>
      <c r="E11585">
        <v>1</v>
      </c>
    </row>
    <row r="11586" spans="1:6" x14ac:dyDescent="0.25">
      <c r="A11586" t="s">
        <v>13142</v>
      </c>
      <c r="B11586" t="s">
        <v>3499</v>
      </c>
      <c r="C11586" t="s">
        <v>1878</v>
      </c>
      <c r="D11586" t="str">
        <f>HYPERLINK("http://service.sap.com/sap/support/notes/1246484","1246484")</f>
        <v>1246484</v>
      </c>
      <c r="E11586">
        <v>7</v>
      </c>
      <c r="F11586" t="s">
        <v>11375</v>
      </c>
    </row>
    <row r="11587" spans="1:6" x14ac:dyDescent="0.25">
      <c r="A11587" t="s">
        <v>13142</v>
      </c>
      <c r="B11587" t="s">
        <v>3499</v>
      </c>
      <c r="C11587" t="s">
        <v>1878</v>
      </c>
      <c r="D11587" t="str">
        <f>HYPERLINK("http://service.sap.com/sap/support/notes/1781948","1781948")</f>
        <v>1781948</v>
      </c>
      <c r="E11587">
        <v>1</v>
      </c>
      <c r="F11587" t="s">
        <v>11374</v>
      </c>
    </row>
    <row r="11588" spans="1:6" x14ac:dyDescent="0.25">
      <c r="A11588" t="s">
        <v>13142</v>
      </c>
      <c r="B11588" t="s">
        <v>3499</v>
      </c>
      <c r="C11588" t="s">
        <v>1878</v>
      </c>
      <c r="D11588" t="str">
        <f>HYPERLINK("http://service.sap.com/sap/support/notes/1781949","1781949")</f>
        <v>1781949</v>
      </c>
      <c r="E11588">
        <v>2</v>
      </c>
      <c r="F11588" t="s">
        <v>11373</v>
      </c>
    </row>
    <row r="11589" spans="1:6" x14ac:dyDescent="0.25">
      <c r="A11589" t="s">
        <v>13142</v>
      </c>
      <c r="B11589" t="s">
        <v>3499</v>
      </c>
      <c r="C11589" t="s">
        <v>1878</v>
      </c>
      <c r="D11589" t="str">
        <f>HYPERLINK("http://service.sap.com/sap/support/notes/1835534","1835534")</f>
        <v>1835534</v>
      </c>
      <c r="E11589">
        <v>1</v>
      </c>
      <c r="F11589" t="s">
        <v>11372</v>
      </c>
    </row>
    <row r="11590" spans="1:6" x14ac:dyDescent="0.25">
      <c r="A11590" t="s">
        <v>13142</v>
      </c>
      <c r="B11590" t="s">
        <v>3499</v>
      </c>
      <c r="C11590" t="s">
        <v>1878</v>
      </c>
      <c r="D11590" t="str">
        <f>HYPERLINK("http://service.sap.com/sap/support/notes/1857254","1857254")</f>
        <v>1857254</v>
      </c>
      <c r="E11590">
        <v>6</v>
      </c>
      <c r="F11590" t="s">
        <v>11371</v>
      </c>
    </row>
    <row r="11591" spans="1:6" x14ac:dyDescent="0.25">
      <c r="A11591" t="s">
        <v>13142</v>
      </c>
      <c r="B11591" t="s">
        <v>3499</v>
      </c>
      <c r="C11591" t="s">
        <v>1878</v>
      </c>
      <c r="D11591" t="str">
        <f>HYPERLINK("http://service.sap.com/sap/support/notes/1875178","1875178")</f>
        <v>1875178</v>
      </c>
      <c r="E11591">
        <v>2</v>
      </c>
      <c r="F11591" t="s">
        <v>11370</v>
      </c>
    </row>
    <row r="11592" spans="1:6" x14ac:dyDescent="0.25">
      <c r="A11592" t="s">
        <v>13142</v>
      </c>
      <c r="B11592" t="s">
        <v>3499</v>
      </c>
      <c r="C11592" t="s">
        <v>1878</v>
      </c>
      <c r="D11592" t="str">
        <f>HYPERLINK("http://service.sap.com/sap/support/notes/1881106","1881106")</f>
        <v>1881106</v>
      </c>
      <c r="E11592">
        <v>1</v>
      </c>
      <c r="F11592" t="s">
        <v>11369</v>
      </c>
    </row>
    <row r="11593" spans="1:6" x14ac:dyDescent="0.25">
      <c r="A11593" t="s">
        <v>13142</v>
      </c>
      <c r="B11593" t="s">
        <v>3499</v>
      </c>
      <c r="C11593" t="s">
        <v>1878</v>
      </c>
      <c r="D11593" t="str">
        <f>HYPERLINK("http://service.sap.com/sap/support/notes/1885042","1885042")</f>
        <v>1885042</v>
      </c>
      <c r="E11593">
        <v>1</v>
      </c>
      <c r="F11593" t="s">
        <v>11368</v>
      </c>
    </row>
    <row r="11594" spans="1:6" x14ac:dyDescent="0.25">
      <c r="A11594" t="s">
        <v>13142</v>
      </c>
      <c r="B11594" t="s">
        <v>3499</v>
      </c>
      <c r="C11594" t="s">
        <v>1878</v>
      </c>
      <c r="D11594" t="str">
        <f>HYPERLINK("http://service.sap.com/sap/support/notes/1891839","1891839")</f>
        <v>1891839</v>
      </c>
      <c r="E11594">
        <v>1</v>
      </c>
    </row>
    <row r="11595" spans="1:6" x14ac:dyDescent="0.25">
      <c r="A11595" t="s">
        <v>13142</v>
      </c>
      <c r="B11595" t="s">
        <v>3503</v>
      </c>
      <c r="C11595" t="s">
        <v>3504</v>
      </c>
      <c r="D11595" t="str">
        <f>HYPERLINK("http://service.sap.com/sap/support/notes/1606753","1606753")</f>
        <v>1606753</v>
      </c>
      <c r="E11595">
        <v>5</v>
      </c>
      <c r="F11595" t="s">
        <v>11367</v>
      </c>
    </row>
    <row r="11596" spans="1:6" x14ac:dyDescent="0.25">
      <c r="A11596" t="s">
        <v>13142</v>
      </c>
      <c r="B11596" t="s">
        <v>3503</v>
      </c>
      <c r="C11596" t="s">
        <v>3504</v>
      </c>
      <c r="D11596" t="str">
        <f>HYPERLINK("http://service.sap.com/sap/support/notes/1610767","1610767")</f>
        <v>1610767</v>
      </c>
      <c r="E11596">
        <v>3</v>
      </c>
      <c r="F11596" t="s">
        <v>11366</v>
      </c>
    </row>
    <row r="11597" spans="1:6" x14ac:dyDescent="0.25">
      <c r="A11597" t="s">
        <v>13142</v>
      </c>
      <c r="B11597" t="s">
        <v>3503</v>
      </c>
      <c r="C11597" t="s">
        <v>3504</v>
      </c>
      <c r="D11597" t="str">
        <f>HYPERLINK("http://service.sap.com/sap/support/notes/1742722","1742722")</f>
        <v>1742722</v>
      </c>
      <c r="E11597">
        <v>2</v>
      </c>
      <c r="F11597" t="s">
        <v>11365</v>
      </c>
    </row>
    <row r="11598" spans="1:6" x14ac:dyDescent="0.25">
      <c r="A11598" t="s">
        <v>13142</v>
      </c>
      <c r="B11598" t="s">
        <v>3503</v>
      </c>
      <c r="C11598" t="s">
        <v>3504</v>
      </c>
      <c r="D11598" t="str">
        <f>HYPERLINK("http://service.sap.com/sap/support/notes/1761722","1761722")</f>
        <v>1761722</v>
      </c>
      <c r="E11598">
        <v>2</v>
      </c>
      <c r="F11598" t="s">
        <v>11364</v>
      </c>
    </row>
    <row r="11599" spans="1:6" x14ac:dyDescent="0.25">
      <c r="A11599" t="s">
        <v>13142</v>
      </c>
      <c r="B11599" t="s">
        <v>3503</v>
      </c>
      <c r="C11599" t="s">
        <v>3504</v>
      </c>
      <c r="D11599" t="str">
        <f>HYPERLINK("http://service.sap.com/sap/support/notes/1819151","1819151")</f>
        <v>1819151</v>
      </c>
      <c r="E11599">
        <v>2</v>
      </c>
      <c r="F11599" t="s">
        <v>11363</v>
      </c>
    </row>
    <row r="11600" spans="1:6" x14ac:dyDescent="0.25">
      <c r="A11600" t="s">
        <v>13142</v>
      </c>
      <c r="B11600" t="s">
        <v>3503</v>
      </c>
      <c r="C11600" t="s">
        <v>3504</v>
      </c>
      <c r="D11600" t="str">
        <f>HYPERLINK("http://service.sap.com/sap/support/notes/1824002","1824002")</f>
        <v>1824002</v>
      </c>
      <c r="E11600">
        <v>2</v>
      </c>
      <c r="F11600" t="s">
        <v>11362</v>
      </c>
    </row>
    <row r="11601" spans="1:6" x14ac:dyDescent="0.25">
      <c r="A11601" t="s">
        <v>13142</v>
      </c>
      <c r="B11601" t="s">
        <v>3503</v>
      </c>
      <c r="C11601" t="s">
        <v>3504</v>
      </c>
      <c r="D11601" t="str">
        <f>HYPERLINK("http://service.sap.com/sap/support/notes/1845219","1845219")</f>
        <v>1845219</v>
      </c>
      <c r="E11601">
        <v>5</v>
      </c>
      <c r="F11601" t="s">
        <v>11361</v>
      </c>
    </row>
    <row r="11602" spans="1:6" x14ac:dyDescent="0.25">
      <c r="A11602" t="s">
        <v>13142</v>
      </c>
      <c r="B11602" t="s">
        <v>3503</v>
      </c>
      <c r="C11602" t="s">
        <v>3504</v>
      </c>
      <c r="D11602" t="str">
        <f>HYPERLINK("http://service.sap.com/sap/support/notes/1871982","1871982")</f>
        <v>1871982</v>
      </c>
      <c r="E11602">
        <v>2</v>
      </c>
      <c r="F11602" t="s">
        <v>11360</v>
      </c>
    </row>
    <row r="11603" spans="1:6" x14ac:dyDescent="0.25">
      <c r="A11603" t="s">
        <v>13142</v>
      </c>
      <c r="B11603" t="s">
        <v>3503</v>
      </c>
      <c r="C11603" t="s">
        <v>3504</v>
      </c>
      <c r="D11603" t="str">
        <f>HYPERLINK("http://service.sap.com/sap/support/notes/1888462","1888462")</f>
        <v>1888462</v>
      </c>
      <c r="E11603">
        <v>1</v>
      </c>
      <c r="F11603" t="s">
        <v>11359</v>
      </c>
    </row>
    <row r="11604" spans="1:6" x14ac:dyDescent="0.25">
      <c r="A11604" t="s">
        <v>13142</v>
      </c>
      <c r="B11604" t="s">
        <v>3503</v>
      </c>
      <c r="C11604" t="s">
        <v>3504</v>
      </c>
      <c r="D11604" t="str">
        <f>HYPERLINK("http://service.sap.com/sap/support/notes/1894330","1894330")</f>
        <v>1894330</v>
      </c>
      <c r="E11604">
        <v>1</v>
      </c>
    </row>
    <row r="11605" spans="1:6" x14ac:dyDescent="0.25">
      <c r="A11605" t="s">
        <v>13142</v>
      </c>
      <c r="B11605" t="s">
        <v>3503</v>
      </c>
      <c r="C11605" t="s">
        <v>3504</v>
      </c>
      <c r="D11605" t="str">
        <f>HYPERLINK("http://service.sap.com/sap/support/notes/1894681","1894681")</f>
        <v>1894681</v>
      </c>
      <c r="E11605">
        <v>2</v>
      </c>
    </row>
    <row r="11606" spans="1:6" x14ac:dyDescent="0.25">
      <c r="A11606" t="s">
        <v>13142</v>
      </c>
      <c r="B11606" t="s">
        <v>8493</v>
      </c>
      <c r="C11606" t="s">
        <v>1743</v>
      </c>
      <c r="D11606" t="str">
        <f>HYPERLINK("http://service.sap.com/sap/support/notes/1831224","1831224")</f>
        <v>1831224</v>
      </c>
      <c r="E11606">
        <v>2</v>
      </c>
      <c r="F11606" t="s">
        <v>11358</v>
      </c>
    </row>
    <row r="11607" spans="1:6" x14ac:dyDescent="0.25">
      <c r="A11607" t="s">
        <v>13142</v>
      </c>
      <c r="B11607" t="s">
        <v>3508</v>
      </c>
      <c r="C11607" t="s">
        <v>151</v>
      </c>
    </row>
    <row r="11608" spans="1:6" x14ac:dyDescent="0.25">
      <c r="A11608" t="s">
        <v>13142</v>
      </c>
      <c r="B11608" t="s">
        <v>6038</v>
      </c>
      <c r="C11608" t="s">
        <v>6039</v>
      </c>
      <c r="D11608" t="str">
        <f>HYPERLINK("http://service.sap.com/sap/support/notes/1889377","1889377")</f>
        <v>1889377</v>
      </c>
      <c r="E11608">
        <v>1</v>
      </c>
    </row>
    <row r="11609" spans="1:6" x14ac:dyDescent="0.25">
      <c r="A11609" t="s">
        <v>13142</v>
      </c>
      <c r="B11609" t="s">
        <v>6044</v>
      </c>
      <c r="C11609" t="s">
        <v>6045</v>
      </c>
      <c r="D11609" t="str">
        <f>HYPERLINK("http://service.sap.com/sap/support/notes/1863223","1863223")</f>
        <v>1863223</v>
      </c>
      <c r="E11609">
        <v>2</v>
      </c>
      <c r="F11609" t="s">
        <v>11357</v>
      </c>
    </row>
    <row r="11610" spans="1:6" x14ac:dyDescent="0.25">
      <c r="A11610" t="s">
        <v>13142</v>
      </c>
      <c r="B11610" t="s">
        <v>6044</v>
      </c>
      <c r="C11610" t="s">
        <v>6045</v>
      </c>
      <c r="D11610" t="str">
        <f>HYPERLINK("http://service.sap.com/sap/support/notes/1873972","1873972")</f>
        <v>1873972</v>
      </c>
      <c r="E11610">
        <v>3</v>
      </c>
      <c r="F11610" t="s">
        <v>11356</v>
      </c>
    </row>
    <row r="11611" spans="1:6" x14ac:dyDescent="0.25">
      <c r="A11611" t="s">
        <v>13142</v>
      </c>
      <c r="B11611" t="s">
        <v>6044</v>
      </c>
      <c r="C11611" t="s">
        <v>6045</v>
      </c>
      <c r="D11611" t="str">
        <f>HYPERLINK("http://service.sap.com/sap/support/notes/1885714","1885714")</f>
        <v>1885714</v>
      </c>
      <c r="E11611">
        <v>1</v>
      </c>
      <c r="F11611" t="s">
        <v>11355</v>
      </c>
    </row>
    <row r="11612" spans="1:6" x14ac:dyDescent="0.25">
      <c r="A11612" t="s">
        <v>13142</v>
      </c>
      <c r="B11612" t="s">
        <v>6044</v>
      </c>
      <c r="C11612" t="s">
        <v>6045</v>
      </c>
      <c r="D11612" t="str">
        <f>HYPERLINK("http://service.sap.com/sap/support/notes/1893849","1893849")</f>
        <v>1893849</v>
      </c>
      <c r="E11612">
        <v>1</v>
      </c>
      <c r="F11612" t="s">
        <v>11355</v>
      </c>
    </row>
    <row r="11613" spans="1:6" x14ac:dyDescent="0.25">
      <c r="A11613" t="s">
        <v>13142</v>
      </c>
      <c r="B11613" t="s">
        <v>3509</v>
      </c>
      <c r="C11613" t="s">
        <v>3510</v>
      </c>
      <c r="D11613" t="str">
        <f>HYPERLINK("http://service.sap.com/sap/support/notes/1865704","1865704")</f>
        <v>1865704</v>
      </c>
      <c r="E11613">
        <v>2</v>
      </c>
      <c r="F11613" t="s">
        <v>11354</v>
      </c>
    </row>
    <row r="11614" spans="1:6" x14ac:dyDescent="0.25">
      <c r="A11614" t="s">
        <v>13142</v>
      </c>
      <c r="B11614" t="s">
        <v>3509</v>
      </c>
      <c r="C11614" t="s">
        <v>3510</v>
      </c>
      <c r="D11614" t="str">
        <f>HYPERLINK("http://service.sap.com/sap/support/notes/1869289","1869289")</f>
        <v>1869289</v>
      </c>
      <c r="E11614">
        <v>3</v>
      </c>
      <c r="F11614" t="s">
        <v>11353</v>
      </c>
    </row>
    <row r="11615" spans="1:6" x14ac:dyDescent="0.25">
      <c r="A11615" t="s">
        <v>13142</v>
      </c>
      <c r="B11615" t="s">
        <v>3509</v>
      </c>
      <c r="C11615" t="s">
        <v>3510</v>
      </c>
      <c r="D11615" t="str">
        <f>HYPERLINK("http://service.sap.com/sap/support/notes/1884527","1884527")</f>
        <v>1884527</v>
      </c>
      <c r="E11615">
        <v>2</v>
      </c>
      <c r="F11615" t="s">
        <v>11352</v>
      </c>
    </row>
    <row r="11616" spans="1:6" x14ac:dyDescent="0.25">
      <c r="A11616" t="s">
        <v>13142</v>
      </c>
      <c r="B11616" t="s">
        <v>3516</v>
      </c>
      <c r="C11616" t="s">
        <v>3517</v>
      </c>
      <c r="D11616" t="str">
        <f>HYPERLINK("http://service.sap.com/sap/support/notes/1581536","1581536")</f>
        <v>1581536</v>
      </c>
      <c r="E11616">
        <v>2</v>
      </c>
      <c r="F11616" t="s">
        <v>11351</v>
      </c>
    </row>
    <row r="11617" spans="1:6" x14ac:dyDescent="0.25">
      <c r="A11617" t="s">
        <v>13142</v>
      </c>
      <c r="B11617" t="s">
        <v>3516</v>
      </c>
      <c r="C11617" t="s">
        <v>3517</v>
      </c>
      <c r="D11617" t="str">
        <f>HYPERLINK("http://service.sap.com/sap/support/notes/1877511","1877511")</f>
        <v>1877511</v>
      </c>
      <c r="E11617">
        <v>3</v>
      </c>
      <c r="F11617" t="s">
        <v>11350</v>
      </c>
    </row>
    <row r="11618" spans="1:6" x14ac:dyDescent="0.25">
      <c r="A11618" t="s">
        <v>13142</v>
      </c>
      <c r="B11618" t="s">
        <v>3516</v>
      </c>
      <c r="C11618" t="s">
        <v>3517</v>
      </c>
      <c r="D11618" t="str">
        <f>HYPERLINK("http://service.sap.com/sap/support/notes/1900694","1900694")</f>
        <v>1900694</v>
      </c>
      <c r="E11618">
        <v>1</v>
      </c>
      <c r="F11618" t="s">
        <v>11349</v>
      </c>
    </row>
    <row r="11619" spans="1:6" x14ac:dyDescent="0.25">
      <c r="A11619" t="s">
        <v>13142</v>
      </c>
      <c r="B11619" t="s">
        <v>3523</v>
      </c>
      <c r="C11619" t="s">
        <v>3524</v>
      </c>
      <c r="D11619" t="str">
        <f>HYPERLINK("http://service.sap.com/sap/support/notes/1816962","1816962")</f>
        <v>1816962</v>
      </c>
      <c r="E11619">
        <v>2</v>
      </c>
      <c r="F11619" t="s">
        <v>11348</v>
      </c>
    </row>
    <row r="11620" spans="1:6" x14ac:dyDescent="0.25">
      <c r="A11620" t="s">
        <v>13142</v>
      </c>
      <c r="B11620" t="s">
        <v>3523</v>
      </c>
      <c r="C11620" t="s">
        <v>3524</v>
      </c>
      <c r="D11620" t="str">
        <f>HYPERLINK("http://service.sap.com/sap/support/notes/1863450","1863450")</f>
        <v>1863450</v>
      </c>
      <c r="E11620">
        <v>1</v>
      </c>
    </row>
    <row r="11621" spans="1:6" x14ac:dyDescent="0.25">
      <c r="A11621" t="s">
        <v>13142</v>
      </c>
      <c r="B11621" t="s">
        <v>3523</v>
      </c>
      <c r="C11621" t="s">
        <v>3524</v>
      </c>
      <c r="D11621" t="str">
        <f>HYPERLINK("http://service.sap.com/sap/support/notes/1864161","1864161")</f>
        <v>1864161</v>
      </c>
      <c r="E11621">
        <v>1</v>
      </c>
    </row>
    <row r="11622" spans="1:6" x14ac:dyDescent="0.25">
      <c r="A11622" t="s">
        <v>13142</v>
      </c>
      <c r="B11622" t="s">
        <v>3523</v>
      </c>
      <c r="C11622" t="s">
        <v>3524</v>
      </c>
      <c r="D11622" t="str">
        <f>HYPERLINK("http://service.sap.com/sap/support/notes/1870046","1870046")</f>
        <v>1870046</v>
      </c>
      <c r="E11622">
        <v>1</v>
      </c>
    </row>
    <row r="11623" spans="1:6" x14ac:dyDescent="0.25">
      <c r="A11623" t="s">
        <v>13142</v>
      </c>
      <c r="B11623" t="s">
        <v>3523</v>
      </c>
      <c r="C11623" t="s">
        <v>3524</v>
      </c>
      <c r="D11623" t="str">
        <f>HYPERLINK("http://service.sap.com/sap/support/notes/1882174","1882174")</f>
        <v>1882174</v>
      </c>
      <c r="E11623">
        <v>1</v>
      </c>
    </row>
    <row r="11624" spans="1:6" x14ac:dyDescent="0.25">
      <c r="A11624" t="s">
        <v>13142</v>
      </c>
      <c r="B11624" t="s">
        <v>3523</v>
      </c>
      <c r="C11624" t="s">
        <v>3524</v>
      </c>
      <c r="D11624" t="str">
        <f>HYPERLINK("http://service.sap.com/sap/support/notes/1887142","1887142")</f>
        <v>1887142</v>
      </c>
      <c r="E11624">
        <v>1</v>
      </c>
    </row>
    <row r="11625" spans="1:6" x14ac:dyDescent="0.25">
      <c r="A11625" t="s">
        <v>13142</v>
      </c>
      <c r="B11625" t="s">
        <v>11346</v>
      </c>
      <c r="C11625" t="s">
        <v>11345</v>
      </c>
      <c r="D11625" t="str">
        <f>HYPERLINK("http://service.sap.com/sap/support/notes/1872458","1872458")</f>
        <v>1872458</v>
      </c>
      <c r="E11625">
        <v>2</v>
      </c>
      <c r="F11625" t="s">
        <v>11347</v>
      </c>
    </row>
    <row r="11626" spans="1:6" x14ac:dyDescent="0.25">
      <c r="A11626" t="s">
        <v>13142</v>
      </c>
      <c r="B11626" t="s">
        <v>11346</v>
      </c>
      <c r="C11626" t="s">
        <v>11345</v>
      </c>
      <c r="D11626" t="str">
        <f>HYPERLINK("http://service.sap.com/sap/support/notes/1884642","1884642")</f>
        <v>1884642</v>
      </c>
      <c r="E11626">
        <v>2</v>
      </c>
    </row>
    <row r="11627" spans="1:6" x14ac:dyDescent="0.25">
      <c r="A11627" t="s">
        <v>13142</v>
      </c>
      <c r="B11627" t="s">
        <v>3531</v>
      </c>
      <c r="C11627" t="s">
        <v>3532</v>
      </c>
      <c r="D11627" t="str">
        <f>HYPERLINK("http://service.sap.com/sap/support/notes/1774447","1774447")</f>
        <v>1774447</v>
      </c>
      <c r="E11627">
        <v>1</v>
      </c>
      <c r="F11627" t="s">
        <v>10618</v>
      </c>
    </row>
    <row r="11628" spans="1:6" x14ac:dyDescent="0.25">
      <c r="A11628" t="s">
        <v>13142</v>
      </c>
      <c r="B11628" t="s">
        <v>3531</v>
      </c>
      <c r="C11628" t="s">
        <v>3532</v>
      </c>
      <c r="D11628" t="str">
        <f>HYPERLINK("http://service.sap.com/sap/support/notes/1845827","1845827")</f>
        <v>1845827</v>
      </c>
      <c r="E11628">
        <v>2</v>
      </c>
    </row>
    <row r="11629" spans="1:6" x14ac:dyDescent="0.25">
      <c r="A11629" t="s">
        <v>13142</v>
      </c>
      <c r="B11629" t="s">
        <v>3531</v>
      </c>
      <c r="C11629" t="s">
        <v>3532</v>
      </c>
      <c r="D11629" t="str">
        <f>HYPERLINK("http://service.sap.com/sap/support/notes/1861005","1861005")</f>
        <v>1861005</v>
      </c>
      <c r="E11629">
        <v>3</v>
      </c>
      <c r="F11629" t="s">
        <v>11344</v>
      </c>
    </row>
    <row r="11630" spans="1:6" x14ac:dyDescent="0.25">
      <c r="A11630" t="s">
        <v>13142</v>
      </c>
      <c r="B11630" t="s">
        <v>3531</v>
      </c>
      <c r="C11630" t="s">
        <v>3532</v>
      </c>
      <c r="D11630" t="str">
        <f>HYPERLINK("http://service.sap.com/sap/support/notes/1872594","1872594")</f>
        <v>1872594</v>
      </c>
      <c r="E11630">
        <v>3</v>
      </c>
    </row>
    <row r="11631" spans="1:6" x14ac:dyDescent="0.25">
      <c r="A11631" t="s">
        <v>13142</v>
      </c>
      <c r="B11631" t="s">
        <v>3531</v>
      </c>
      <c r="C11631" t="s">
        <v>3532</v>
      </c>
      <c r="D11631" t="str">
        <f>HYPERLINK("http://service.sap.com/sap/support/notes/1881369","1881369")</f>
        <v>1881369</v>
      </c>
      <c r="E11631">
        <v>1</v>
      </c>
      <c r="F11631" t="s">
        <v>11343</v>
      </c>
    </row>
    <row r="11632" spans="1:6" x14ac:dyDescent="0.25">
      <c r="A11632" t="s">
        <v>13142</v>
      </c>
      <c r="B11632" t="s">
        <v>11342</v>
      </c>
      <c r="C11632" t="s">
        <v>11341</v>
      </c>
      <c r="D11632" t="str">
        <f>HYPERLINK("http://service.sap.com/sap/support/notes/1860593","1860593")</f>
        <v>1860593</v>
      </c>
      <c r="E11632">
        <v>2</v>
      </c>
      <c r="F11632" t="s">
        <v>11340</v>
      </c>
    </row>
    <row r="11633" spans="1:6" x14ac:dyDescent="0.25">
      <c r="A11633" t="s">
        <v>13142</v>
      </c>
      <c r="B11633" t="s">
        <v>3542</v>
      </c>
      <c r="C11633" t="s">
        <v>3543</v>
      </c>
      <c r="D11633" t="str">
        <f>HYPERLINK("http://service.sap.com/sap/support/notes/1890162","1890162")</f>
        <v>1890162</v>
      </c>
      <c r="E11633">
        <v>1</v>
      </c>
      <c r="F11633" t="s">
        <v>11339</v>
      </c>
    </row>
    <row r="11634" spans="1:6" x14ac:dyDescent="0.25">
      <c r="A11634" t="s">
        <v>13142</v>
      </c>
      <c r="B11634" t="s">
        <v>3545</v>
      </c>
      <c r="C11634" t="s">
        <v>3546</v>
      </c>
      <c r="D11634" t="str">
        <f>HYPERLINK("http://service.sap.com/sap/support/notes/1877623","1877623")</f>
        <v>1877623</v>
      </c>
      <c r="E11634">
        <v>1</v>
      </c>
    </row>
    <row r="11635" spans="1:6" x14ac:dyDescent="0.25">
      <c r="A11635" t="s">
        <v>13142</v>
      </c>
      <c r="B11635" t="s">
        <v>3545</v>
      </c>
      <c r="C11635" t="s">
        <v>3546</v>
      </c>
      <c r="D11635" t="str">
        <f>HYPERLINK("http://service.sap.com/sap/support/notes/1880487","1880487")</f>
        <v>1880487</v>
      </c>
      <c r="E11635">
        <v>1</v>
      </c>
    </row>
    <row r="11636" spans="1:6" x14ac:dyDescent="0.25">
      <c r="A11636" t="s">
        <v>13142</v>
      </c>
      <c r="B11636" t="s">
        <v>3545</v>
      </c>
      <c r="C11636" t="s">
        <v>3546</v>
      </c>
      <c r="D11636" t="str">
        <f>HYPERLINK("http://service.sap.com/sap/support/notes/1883325","1883325")</f>
        <v>1883325</v>
      </c>
      <c r="E11636">
        <v>1</v>
      </c>
    </row>
    <row r="11637" spans="1:6" x14ac:dyDescent="0.25">
      <c r="A11637" t="s">
        <v>13142</v>
      </c>
      <c r="B11637" t="s">
        <v>3545</v>
      </c>
      <c r="C11637" t="s">
        <v>3546</v>
      </c>
      <c r="D11637" t="str">
        <f>HYPERLINK("http://service.sap.com/sap/support/notes/1885754","1885754")</f>
        <v>1885754</v>
      </c>
      <c r="E11637">
        <v>2</v>
      </c>
    </row>
    <row r="11638" spans="1:6" x14ac:dyDescent="0.25">
      <c r="A11638" t="s">
        <v>13142</v>
      </c>
      <c r="B11638" t="s">
        <v>3545</v>
      </c>
      <c r="C11638" t="s">
        <v>3546</v>
      </c>
      <c r="D11638" t="str">
        <f>HYPERLINK("http://service.sap.com/sap/support/notes/1892024","1892024")</f>
        <v>1892024</v>
      </c>
      <c r="E11638">
        <v>1</v>
      </c>
    </row>
    <row r="11639" spans="1:6" x14ac:dyDescent="0.25">
      <c r="A11639" t="s">
        <v>13142</v>
      </c>
      <c r="B11639" t="s">
        <v>3545</v>
      </c>
      <c r="C11639" t="s">
        <v>3546</v>
      </c>
      <c r="D11639" t="str">
        <f>HYPERLINK("http://service.sap.com/sap/support/notes/1895659","1895659")</f>
        <v>1895659</v>
      </c>
      <c r="E11639">
        <v>2</v>
      </c>
    </row>
    <row r="11640" spans="1:6" x14ac:dyDescent="0.25">
      <c r="A11640" t="s">
        <v>13142</v>
      </c>
      <c r="B11640" t="s">
        <v>11338</v>
      </c>
      <c r="C11640" t="s">
        <v>11337</v>
      </c>
    </row>
    <row r="11641" spans="1:6" x14ac:dyDescent="0.25">
      <c r="A11641" t="s">
        <v>13142</v>
      </c>
      <c r="B11641" t="s">
        <v>11336</v>
      </c>
      <c r="C11641" t="s">
        <v>11335</v>
      </c>
    </row>
    <row r="11642" spans="1:6" x14ac:dyDescent="0.25">
      <c r="A11642" t="s">
        <v>13142</v>
      </c>
      <c r="B11642" t="s">
        <v>11334</v>
      </c>
      <c r="C11642" t="s">
        <v>11333</v>
      </c>
    </row>
    <row r="11643" spans="1:6" x14ac:dyDescent="0.25">
      <c r="A11643" t="s">
        <v>13142</v>
      </c>
      <c r="B11643" t="s">
        <v>11332</v>
      </c>
      <c r="C11643" t="s">
        <v>11331</v>
      </c>
      <c r="D11643" t="str">
        <f>HYPERLINK("http://service.sap.com/sap/support/notes/1818490","1818490")</f>
        <v>1818490</v>
      </c>
      <c r="E11643">
        <v>2</v>
      </c>
      <c r="F11643" t="s">
        <v>11330</v>
      </c>
    </row>
    <row r="11644" spans="1:6" x14ac:dyDescent="0.25">
      <c r="A11644" t="s">
        <v>13142</v>
      </c>
      <c r="B11644" t="s">
        <v>3549</v>
      </c>
      <c r="C11644" t="s">
        <v>3550</v>
      </c>
    </row>
    <row r="11645" spans="1:6" x14ac:dyDescent="0.25">
      <c r="A11645" t="s">
        <v>13142</v>
      </c>
      <c r="B11645" t="s">
        <v>3551</v>
      </c>
      <c r="C11645" t="s">
        <v>169</v>
      </c>
    </row>
    <row r="11646" spans="1:6" x14ac:dyDescent="0.25">
      <c r="A11646" t="s">
        <v>13142</v>
      </c>
      <c r="B11646" t="s">
        <v>3558</v>
      </c>
      <c r="C11646" t="s">
        <v>3559</v>
      </c>
    </row>
    <row r="11647" spans="1:6" x14ac:dyDescent="0.25">
      <c r="A11647" t="s">
        <v>13142</v>
      </c>
      <c r="B11647" t="s">
        <v>6070</v>
      </c>
      <c r="C11647" t="s">
        <v>3389</v>
      </c>
      <c r="D11647" t="str">
        <f>HYPERLINK("http://service.sap.com/sap/support/notes/1867154","1867154")</f>
        <v>1867154</v>
      </c>
      <c r="E11647">
        <v>4</v>
      </c>
      <c r="F11647" t="s">
        <v>11329</v>
      </c>
    </row>
    <row r="11648" spans="1:6" x14ac:dyDescent="0.25">
      <c r="A11648" t="s">
        <v>13142</v>
      </c>
      <c r="B11648" t="s">
        <v>3560</v>
      </c>
      <c r="C11648" t="s">
        <v>2961</v>
      </c>
      <c r="D11648" t="str">
        <f>HYPERLINK("http://service.sap.com/sap/support/notes/1716548","1716548")</f>
        <v>1716548</v>
      </c>
      <c r="E11648">
        <v>4</v>
      </c>
      <c r="F11648" t="s">
        <v>11328</v>
      </c>
    </row>
    <row r="11649" spans="1:6" x14ac:dyDescent="0.25">
      <c r="A11649" t="s">
        <v>13142</v>
      </c>
      <c r="B11649" t="s">
        <v>10630</v>
      </c>
      <c r="C11649" t="s">
        <v>2333</v>
      </c>
      <c r="D11649" t="str">
        <f>HYPERLINK("http://service.sap.com/sap/support/notes/1846190","1846190")</f>
        <v>1846190</v>
      </c>
      <c r="E11649">
        <v>3</v>
      </c>
      <c r="F11649" t="s">
        <v>11327</v>
      </c>
    </row>
    <row r="11650" spans="1:6" x14ac:dyDescent="0.25">
      <c r="A11650" t="s">
        <v>13142</v>
      </c>
      <c r="B11650" t="s">
        <v>3571</v>
      </c>
      <c r="C11650" t="s">
        <v>3572</v>
      </c>
      <c r="D11650" t="str">
        <f>HYPERLINK("http://service.sap.com/sap/support/notes/1880768","1880768")</f>
        <v>1880768</v>
      </c>
      <c r="E11650">
        <v>1</v>
      </c>
      <c r="F11650" t="s">
        <v>11326</v>
      </c>
    </row>
    <row r="11651" spans="1:6" x14ac:dyDescent="0.25">
      <c r="A11651" t="s">
        <v>13142</v>
      </c>
      <c r="B11651" t="s">
        <v>3571</v>
      </c>
      <c r="C11651" t="s">
        <v>3572</v>
      </c>
      <c r="D11651" t="str">
        <f>HYPERLINK("http://service.sap.com/sap/support/notes/1883257","1883257")</f>
        <v>1883257</v>
      </c>
      <c r="E11651">
        <v>3</v>
      </c>
      <c r="F11651" t="s">
        <v>11325</v>
      </c>
    </row>
    <row r="11652" spans="1:6" x14ac:dyDescent="0.25">
      <c r="A11652" t="s">
        <v>13142</v>
      </c>
      <c r="B11652" t="s">
        <v>3571</v>
      </c>
      <c r="C11652" t="s">
        <v>3572</v>
      </c>
      <c r="D11652" t="str">
        <f>HYPERLINK("http://service.sap.com/sap/support/notes/1898372","1898372")</f>
        <v>1898372</v>
      </c>
      <c r="E11652">
        <v>3</v>
      </c>
      <c r="F11652" t="s">
        <v>11324</v>
      </c>
    </row>
    <row r="11653" spans="1:6" x14ac:dyDescent="0.25">
      <c r="A11653" t="s">
        <v>13142</v>
      </c>
      <c r="B11653" t="s">
        <v>3571</v>
      </c>
      <c r="C11653" t="s">
        <v>3572</v>
      </c>
      <c r="D11653" t="str">
        <f>HYPERLINK("http://service.sap.com/sap/support/notes/1899451","1899451")</f>
        <v>1899451</v>
      </c>
      <c r="E11653">
        <v>1</v>
      </c>
      <c r="F11653" t="s">
        <v>11323</v>
      </c>
    </row>
    <row r="11654" spans="1:6" x14ac:dyDescent="0.25">
      <c r="A11654" t="s">
        <v>13142</v>
      </c>
      <c r="B11654" t="s">
        <v>3577</v>
      </c>
      <c r="C11654" t="s">
        <v>3578</v>
      </c>
      <c r="D11654" t="str">
        <f>HYPERLINK("http://service.sap.com/sap/support/notes/1863951","1863951")</f>
        <v>1863951</v>
      </c>
      <c r="E11654">
        <v>2</v>
      </c>
      <c r="F11654" t="s">
        <v>11322</v>
      </c>
    </row>
    <row r="11655" spans="1:6" x14ac:dyDescent="0.25">
      <c r="A11655" t="s">
        <v>13142</v>
      </c>
      <c r="B11655" t="s">
        <v>3577</v>
      </c>
      <c r="C11655" t="s">
        <v>3578</v>
      </c>
      <c r="D11655" t="str">
        <f>HYPERLINK("http://service.sap.com/sap/support/notes/1876362","1876362")</f>
        <v>1876362</v>
      </c>
      <c r="E11655">
        <v>2</v>
      </c>
      <c r="F11655" t="s">
        <v>11321</v>
      </c>
    </row>
    <row r="11656" spans="1:6" x14ac:dyDescent="0.25">
      <c r="A11656" t="s">
        <v>13142</v>
      </c>
      <c r="B11656" t="s">
        <v>3603</v>
      </c>
      <c r="C11656" t="s">
        <v>3604</v>
      </c>
    </row>
    <row r="11657" spans="1:6" x14ac:dyDescent="0.25">
      <c r="A11657" t="s">
        <v>13142</v>
      </c>
      <c r="B11657" t="s">
        <v>3605</v>
      </c>
      <c r="C11657" t="s">
        <v>3606</v>
      </c>
    </row>
    <row r="11658" spans="1:6" x14ac:dyDescent="0.25">
      <c r="A11658" t="s">
        <v>13142</v>
      </c>
      <c r="B11658" t="s">
        <v>3607</v>
      </c>
      <c r="C11658" t="s">
        <v>3608</v>
      </c>
    </row>
    <row r="11659" spans="1:6" x14ac:dyDescent="0.25">
      <c r="A11659" t="s">
        <v>13142</v>
      </c>
      <c r="B11659" t="s">
        <v>3609</v>
      </c>
      <c r="C11659" t="s">
        <v>3610</v>
      </c>
    </row>
    <row r="11660" spans="1:6" x14ac:dyDescent="0.25">
      <c r="A11660" t="s">
        <v>13142</v>
      </c>
      <c r="B11660" t="s">
        <v>11317</v>
      </c>
      <c r="C11660" t="s">
        <v>11316</v>
      </c>
      <c r="D11660" t="str">
        <f>HYPERLINK("http://service.sap.com/sap/support/notes/1607472","1607472")</f>
        <v>1607472</v>
      </c>
      <c r="E11660">
        <v>4</v>
      </c>
      <c r="F11660" t="s">
        <v>11320</v>
      </c>
    </row>
    <row r="11661" spans="1:6" x14ac:dyDescent="0.25">
      <c r="A11661" t="s">
        <v>13142</v>
      </c>
      <c r="B11661" t="s">
        <v>11317</v>
      </c>
      <c r="C11661" t="s">
        <v>11316</v>
      </c>
      <c r="D11661" t="str">
        <f>HYPERLINK("http://service.sap.com/sap/support/notes/1607543","1607543")</f>
        <v>1607543</v>
      </c>
      <c r="E11661">
        <v>4</v>
      </c>
      <c r="F11661" t="s">
        <v>11319</v>
      </c>
    </row>
    <row r="11662" spans="1:6" x14ac:dyDescent="0.25">
      <c r="A11662" t="s">
        <v>13142</v>
      </c>
      <c r="B11662" t="s">
        <v>11317</v>
      </c>
      <c r="C11662" t="s">
        <v>11316</v>
      </c>
      <c r="D11662" t="str">
        <f>HYPERLINK("http://service.sap.com/sap/support/notes/1840199","1840199")</f>
        <v>1840199</v>
      </c>
      <c r="E11662">
        <v>1</v>
      </c>
      <c r="F11662" t="s">
        <v>11318</v>
      </c>
    </row>
    <row r="11663" spans="1:6" x14ac:dyDescent="0.25">
      <c r="A11663" t="s">
        <v>13142</v>
      </c>
      <c r="B11663" t="s">
        <v>11317</v>
      </c>
      <c r="C11663" t="s">
        <v>11316</v>
      </c>
      <c r="D11663" t="str">
        <f>HYPERLINK("http://service.sap.com/sap/support/notes/1862839","1862839")</f>
        <v>1862839</v>
      </c>
      <c r="E11663">
        <v>1</v>
      </c>
    </row>
    <row r="11664" spans="1:6" x14ac:dyDescent="0.25">
      <c r="A11664" t="s">
        <v>13142</v>
      </c>
      <c r="B11664" t="s">
        <v>3616</v>
      </c>
      <c r="C11664" t="s">
        <v>3617</v>
      </c>
    </row>
    <row r="11665" spans="1:6" x14ac:dyDescent="0.25">
      <c r="A11665" t="s">
        <v>13142</v>
      </c>
      <c r="B11665" t="s">
        <v>8530</v>
      </c>
      <c r="C11665" t="s">
        <v>151</v>
      </c>
      <c r="D11665" t="str">
        <f>HYPERLINK("http://service.sap.com/sap/support/notes/1898703","1898703")</f>
        <v>1898703</v>
      </c>
      <c r="E11665">
        <v>2</v>
      </c>
      <c r="F11665" t="s">
        <v>11315</v>
      </c>
    </row>
    <row r="11666" spans="1:6" x14ac:dyDescent="0.25">
      <c r="A11666" t="s">
        <v>13142</v>
      </c>
      <c r="B11666" t="s">
        <v>3618</v>
      </c>
      <c r="C11666" t="s">
        <v>3619</v>
      </c>
      <c r="D11666" t="str">
        <f>HYPERLINK("http://service.sap.com/sap/support/notes/1898457","1898457")</f>
        <v>1898457</v>
      </c>
      <c r="E11666">
        <v>2</v>
      </c>
      <c r="F11666" t="s">
        <v>11314</v>
      </c>
    </row>
    <row r="11667" spans="1:6" x14ac:dyDescent="0.25">
      <c r="A11667" t="s">
        <v>13142</v>
      </c>
      <c r="B11667" t="s">
        <v>3626</v>
      </c>
      <c r="C11667" t="s">
        <v>3627</v>
      </c>
    </row>
    <row r="11668" spans="1:6" x14ac:dyDescent="0.25">
      <c r="A11668" t="s">
        <v>13142</v>
      </c>
      <c r="B11668" t="s">
        <v>3628</v>
      </c>
      <c r="C11668" t="s">
        <v>3629</v>
      </c>
      <c r="D11668" t="str">
        <f>HYPERLINK("http://service.sap.com/sap/support/notes/1876451","1876451")</f>
        <v>1876451</v>
      </c>
      <c r="E11668">
        <v>1</v>
      </c>
      <c r="F11668" t="s">
        <v>11313</v>
      </c>
    </row>
    <row r="11669" spans="1:6" x14ac:dyDescent="0.25">
      <c r="A11669" t="s">
        <v>13142</v>
      </c>
      <c r="B11669" t="s">
        <v>3631</v>
      </c>
      <c r="C11669" t="s">
        <v>3632</v>
      </c>
      <c r="D11669" t="str">
        <f>HYPERLINK("http://service.sap.com/sap/support/notes/1872677","1872677")</f>
        <v>1872677</v>
      </c>
      <c r="E11669">
        <v>1</v>
      </c>
      <c r="F11669" t="s">
        <v>11312</v>
      </c>
    </row>
    <row r="11670" spans="1:6" x14ac:dyDescent="0.25">
      <c r="A11670" t="s">
        <v>13142</v>
      </c>
      <c r="B11670" t="s">
        <v>3631</v>
      </c>
      <c r="C11670" t="s">
        <v>3632</v>
      </c>
      <c r="D11670" t="str">
        <f>HYPERLINK("http://service.sap.com/sap/support/notes/1872765","1872765")</f>
        <v>1872765</v>
      </c>
      <c r="E11670">
        <v>1</v>
      </c>
      <c r="F11670" t="s">
        <v>11311</v>
      </c>
    </row>
    <row r="11671" spans="1:6" x14ac:dyDescent="0.25">
      <c r="A11671" t="s">
        <v>13142</v>
      </c>
      <c r="B11671" t="s">
        <v>3631</v>
      </c>
      <c r="C11671" t="s">
        <v>3632</v>
      </c>
      <c r="D11671" t="str">
        <f>HYPERLINK("http://service.sap.com/sap/support/notes/1891179","1891179")</f>
        <v>1891179</v>
      </c>
      <c r="E11671">
        <v>1</v>
      </c>
      <c r="F11671" t="s">
        <v>11310</v>
      </c>
    </row>
    <row r="11672" spans="1:6" x14ac:dyDescent="0.25">
      <c r="A11672" t="s">
        <v>13142</v>
      </c>
      <c r="B11672" t="s">
        <v>3631</v>
      </c>
      <c r="C11672" t="s">
        <v>3632</v>
      </c>
      <c r="D11672" t="str">
        <f>HYPERLINK("http://service.sap.com/sap/support/notes/1897588","1897588")</f>
        <v>1897588</v>
      </c>
      <c r="E11672">
        <v>1</v>
      </c>
      <c r="F11672" t="s">
        <v>11309</v>
      </c>
    </row>
    <row r="11673" spans="1:6" x14ac:dyDescent="0.25">
      <c r="A11673" t="s">
        <v>13142</v>
      </c>
      <c r="B11673" t="s">
        <v>3638</v>
      </c>
      <c r="C11673" t="s">
        <v>3639</v>
      </c>
      <c r="D11673" t="str">
        <f>HYPERLINK("http://service.sap.com/sap/support/notes/1821114","1821114")</f>
        <v>1821114</v>
      </c>
      <c r="E11673">
        <v>2</v>
      </c>
      <c r="F11673" t="s">
        <v>8536</v>
      </c>
    </row>
    <row r="11674" spans="1:6" x14ac:dyDescent="0.25">
      <c r="A11674" t="s">
        <v>13142</v>
      </c>
      <c r="B11674" t="s">
        <v>3638</v>
      </c>
      <c r="C11674" t="s">
        <v>3639</v>
      </c>
      <c r="D11674" t="str">
        <f>HYPERLINK("http://service.sap.com/sap/support/notes/1830587","1830587")</f>
        <v>1830587</v>
      </c>
      <c r="E11674">
        <v>1</v>
      </c>
      <c r="F11674" t="s">
        <v>11308</v>
      </c>
    </row>
    <row r="11675" spans="1:6" x14ac:dyDescent="0.25">
      <c r="A11675" t="s">
        <v>13142</v>
      </c>
      <c r="B11675" t="s">
        <v>3638</v>
      </c>
      <c r="C11675" t="s">
        <v>3639</v>
      </c>
      <c r="D11675" t="str">
        <f>HYPERLINK("http://service.sap.com/sap/support/notes/1885503","1885503")</f>
        <v>1885503</v>
      </c>
      <c r="E11675">
        <v>2</v>
      </c>
      <c r="F11675" t="s">
        <v>11307</v>
      </c>
    </row>
    <row r="11676" spans="1:6" x14ac:dyDescent="0.25">
      <c r="A11676" t="s">
        <v>13142</v>
      </c>
      <c r="B11676" t="s">
        <v>3638</v>
      </c>
      <c r="C11676" t="s">
        <v>3639</v>
      </c>
      <c r="D11676" t="str">
        <f>HYPERLINK("http://service.sap.com/sap/support/notes/1894970","1894970")</f>
        <v>1894970</v>
      </c>
      <c r="E11676">
        <v>1</v>
      </c>
      <c r="F11676" t="s">
        <v>11306</v>
      </c>
    </row>
    <row r="11677" spans="1:6" x14ac:dyDescent="0.25">
      <c r="A11677" t="s">
        <v>13142</v>
      </c>
      <c r="B11677" t="s">
        <v>3649</v>
      </c>
      <c r="C11677" t="s">
        <v>3650</v>
      </c>
    </row>
    <row r="11678" spans="1:6" x14ac:dyDescent="0.25">
      <c r="A11678" t="s">
        <v>13142</v>
      </c>
      <c r="B11678" t="s">
        <v>3651</v>
      </c>
      <c r="C11678" t="s">
        <v>3652</v>
      </c>
    </row>
    <row r="11679" spans="1:6" x14ac:dyDescent="0.25">
      <c r="A11679" t="s">
        <v>13142</v>
      </c>
      <c r="B11679" t="s">
        <v>3653</v>
      </c>
      <c r="C11679" t="s">
        <v>1588</v>
      </c>
      <c r="D11679" t="str">
        <f>HYPERLINK("http://service.sap.com/sap/support/notes/1888794","1888794")</f>
        <v>1888794</v>
      </c>
      <c r="E11679">
        <v>2</v>
      </c>
      <c r="F11679" t="s">
        <v>11305</v>
      </c>
    </row>
    <row r="11680" spans="1:6" x14ac:dyDescent="0.25">
      <c r="A11680" t="s">
        <v>13142</v>
      </c>
      <c r="B11680" t="s">
        <v>3655</v>
      </c>
      <c r="C11680" t="s">
        <v>6099</v>
      </c>
    </row>
    <row r="11681" spans="1:6" x14ac:dyDescent="0.25">
      <c r="A11681" t="s">
        <v>13142</v>
      </c>
      <c r="B11681" t="s">
        <v>3658</v>
      </c>
      <c r="C11681" t="s">
        <v>3659</v>
      </c>
    </row>
    <row r="11682" spans="1:6" x14ac:dyDescent="0.25">
      <c r="A11682" t="s">
        <v>13142</v>
      </c>
      <c r="B11682" t="s">
        <v>3669</v>
      </c>
      <c r="C11682" t="s">
        <v>11298</v>
      </c>
      <c r="D11682" t="str">
        <f>HYPERLINK("http://service.sap.com/sap/support/notes/1863395","1863395")</f>
        <v>1863395</v>
      </c>
      <c r="E11682">
        <v>3</v>
      </c>
      <c r="F11682" t="s">
        <v>11304</v>
      </c>
    </row>
    <row r="11683" spans="1:6" x14ac:dyDescent="0.25">
      <c r="A11683" t="s">
        <v>13142</v>
      </c>
      <c r="B11683" t="s">
        <v>3669</v>
      </c>
      <c r="C11683" t="s">
        <v>11298</v>
      </c>
      <c r="D11683" t="str">
        <f>HYPERLINK("http://service.sap.com/sap/support/notes/1871806","1871806")</f>
        <v>1871806</v>
      </c>
      <c r="E11683">
        <v>1</v>
      </c>
      <c r="F11683" t="s">
        <v>11303</v>
      </c>
    </row>
    <row r="11684" spans="1:6" x14ac:dyDescent="0.25">
      <c r="A11684" t="s">
        <v>13142</v>
      </c>
      <c r="B11684" t="s">
        <v>3669</v>
      </c>
      <c r="C11684" t="s">
        <v>11298</v>
      </c>
      <c r="D11684" t="str">
        <f>HYPERLINK("http://service.sap.com/sap/support/notes/1875141","1875141")</f>
        <v>1875141</v>
      </c>
      <c r="E11684">
        <v>1</v>
      </c>
      <c r="F11684" t="s">
        <v>11302</v>
      </c>
    </row>
    <row r="11685" spans="1:6" x14ac:dyDescent="0.25">
      <c r="A11685" t="s">
        <v>13142</v>
      </c>
      <c r="B11685" t="s">
        <v>3669</v>
      </c>
      <c r="C11685" t="s">
        <v>11298</v>
      </c>
      <c r="D11685" t="str">
        <f>HYPERLINK("http://service.sap.com/sap/support/notes/1887633","1887633")</f>
        <v>1887633</v>
      </c>
      <c r="E11685">
        <v>1</v>
      </c>
      <c r="F11685" t="s">
        <v>11301</v>
      </c>
    </row>
    <row r="11686" spans="1:6" x14ac:dyDescent="0.25">
      <c r="A11686" t="s">
        <v>13142</v>
      </c>
      <c r="B11686" t="s">
        <v>3669</v>
      </c>
      <c r="C11686" t="s">
        <v>11298</v>
      </c>
      <c r="D11686" t="str">
        <f>HYPERLINK("http://service.sap.com/sap/support/notes/1890771","1890771")</f>
        <v>1890771</v>
      </c>
      <c r="E11686">
        <v>1</v>
      </c>
      <c r="F11686" t="s">
        <v>11300</v>
      </c>
    </row>
    <row r="11687" spans="1:6" x14ac:dyDescent="0.25">
      <c r="A11687" t="s">
        <v>13142</v>
      </c>
      <c r="B11687" t="s">
        <v>3669</v>
      </c>
      <c r="C11687" t="s">
        <v>11298</v>
      </c>
      <c r="D11687" t="str">
        <f>HYPERLINK("http://service.sap.com/sap/support/notes/1895428","1895428")</f>
        <v>1895428</v>
      </c>
      <c r="E11687">
        <v>1</v>
      </c>
      <c r="F11687" t="s">
        <v>11299</v>
      </c>
    </row>
    <row r="11688" spans="1:6" x14ac:dyDescent="0.25">
      <c r="A11688" t="s">
        <v>13142</v>
      </c>
      <c r="B11688" t="s">
        <v>3669</v>
      </c>
      <c r="C11688" t="s">
        <v>11298</v>
      </c>
      <c r="D11688" t="str">
        <f>HYPERLINK("http://service.sap.com/sap/support/notes/1895665","1895665")</f>
        <v>1895665</v>
      </c>
      <c r="E11688">
        <v>1</v>
      </c>
      <c r="F11688" t="s">
        <v>11297</v>
      </c>
    </row>
    <row r="11689" spans="1:6" x14ac:dyDescent="0.25">
      <c r="A11689" t="s">
        <v>13142</v>
      </c>
      <c r="B11689" t="s">
        <v>3671</v>
      </c>
      <c r="C11689" t="s">
        <v>3672</v>
      </c>
      <c r="D11689" t="str">
        <f>HYPERLINK("http://service.sap.com/sap/support/notes/1596164","1596164")</f>
        <v>1596164</v>
      </c>
      <c r="E11689">
        <v>1</v>
      </c>
      <c r="F11689" t="s">
        <v>3673</v>
      </c>
    </row>
    <row r="11690" spans="1:6" x14ac:dyDescent="0.25">
      <c r="A11690" t="s">
        <v>13142</v>
      </c>
      <c r="B11690" t="s">
        <v>3674</v>
      </c>
      <c r="C11690" t="s">
        <v>3675</v>
      </c>
      <c r="D11690" t="str">
        <f>HYPERLINK("http://service.sap.com/sap/support/notes/1864025","1864025")</f>
        <v>1864025</v>
      </c>
      <c r="E11690">
        <v>1</v>
      </c>
      <c r="F11690" t="s">
        <v>10661</v>
      </c>
    </row>
    <row r="11691" spans="1:6" x14ac:dyDescent="0.25">
      <c r="A11691" t="s">
        <v>13142</v>
      </c>
      <c r="B11691" t="s">
        <v>3674</v>
      </c>
      <c r="C11691" t="s">
        <v>3675</v>
      </c>
      <c r="D11691" t="str">
        <f>HYPERLINK("http://service.sap.com/sap/support/notes/1869319","1869319")</f>
        <v>1869319</v>
      </c>
      <c r="E11691">
        <v>2</v>
      </c>
      <c r="F11691" t="s">
        <v>11296</v>
      </c>
    </row>
    <row r="11692" spans="1:6" x14ac:dyDescent="0.25">
      <c r="A11692" t="s">
        <v>13142</v>
      </c>
      <c r="B11692" t="s">
        <v>70</v>
      </c>
      <c r="C11692" t="s">
        <v>71</v>
      </c>
    </row>
    <row r="11693" spans="1:6" x14ac:dyDescent="0.25">
      <c r="A11693" t="s">
        <v>13142</v>
      </c>
      <c r="B11693" t="s">
        <v>3693</v>
      </c>
      <c r="C11693" t="s">
        <v>3694</v>
      </c>
    </row>
    <row r="11694" spans="1:6" x14ac:dyDescent="0.25">
      <c r="A11694" t="s">
        <v>13142</v>
      </c>
      <c r="B11694" t="s">
        <v>3700</v>
      </c>
      <c r="C11694" t="s">
        <v>3701</v>
      </c>
      <c r="D11694" t="str">
        <f>HYPERLINK("http://service.sap.com/sap/support/notes/1344872","1344872")</f>
        <v>1344872</v>
      </c>
      <c r="E11694">
        <v>1</v>
      </c>
      <c r="F11694" t="s">
        <v>3702</v>
      </c>
    </row>
    <row r="11695" spans="1:6" x14ac:dyDescent="0.25">
      <c r="A11695" t="s">
        <v>13142</v>
      </c>
      <c r="B11695" t="s">
        <v>3700</v>
      </c>
      <c r="C11695" t="s">
        <v>3701</v>
      </c>
      <c r="D11695" t="str">
        <f>HYPERLINK("http://service.sap.com/sap/support/notes/1866226","1866226")</f>
        <v>1866226</v>
      </c>
      <c r="E11695">
        <v>2</v>
      </c>
      <c r="F11695" t="s">
        <v>11295</v>
      </c>
    </row>
    <row r="11696" spans="1:6" x14ac:dyDescent="0.25">
      <c r="A11696" t="s">
        <v>13142</v>
      </c>
      <c r="B11696" t="s">
        <v>3700</v>
      </c>
      <c r="C11696" t="s">
        <v>3701</v>
      </c>
      <c r="D11696" t="str">
        <f>HYPERLINK("http://service.sap.com/sap/support/notes/1883449","1883449")</f>
        <v>1883449</v>
      </c>
      <c r="E11696">
        <v>1</v>
      </c>
      <c r="F11696" t="s">
        <v>11294</v>
      </c>
    </row>
    <row r="11697" spans="1:6" x14ac:dyDescent="0.25">
      <c r="A11697" t="s">
        <v>13142</v>
      </c>
      <c r="B11697" t="s">
        <v>11290</v>
      </c>
      <c r="C11697" t="s">
        <v>198</v>
      </c>
      <c r="D11697" t="str">
        <f>HYPERLINK("http://service.sap.com/sap/support/notes/1810656","1810656")</f>
        <v>1810656</v>
      </c>
      <c r="E11697">
        <v>4</v>
      </c>
      <c r="F11697" t="s">
        <v>11293</v>
      </c>
    </row>
    <row r="11698" spans="1:6" x14ac:dyDescent="0.25">
      <c r="A11698" t="s">
        <v>13142</v>
      </c>
      <c r="B11698" t="s">
        <v>11290</v>
      </c>
      <c r="C11698" t="s">
        <v>198</v>
      </c>
      <c r="D11698" t="str">
        <f>HYPERLINK("http://service.sap.com/sap/support/notes/1869257","1869257")</f>
        <v>1869257</v>
      </c>
      <c r="E11698">
        <v>6</v>
      </c>
      <c r="F11698" t="s">
        <v>11292</v>
      </c>
    </row>
    <row r="11699" spans="1:6" x14ac:dyDescent="0.25">
      <c r="A11699" t="s">
        <v>13142</v>
      </c>
      <c r="B11699" t="s">
        <v>11290</v>
      </c>
      <c r="C11699" t="s">
        <v>198</v>
      </c>
      <c r="D11699" t="str">
        <f>HYPERLINK("http://service.sap.com/sap/support/notes/1869258","1869258")</f>
        <v>1869258</v>
      </c>
      <c r="E11699">
        <v>11</v>
      </c>
      <c r="F11699" t="s">
        <v>11291</v>
      </c>
    </row>
    <row r="11700" spans="1:6" x14ac:dyDescent="0.25">
      <c r="A11700" t="s">
        <v>13142</v>
      </c>
      <c r="B11700" t="s">
        <v>11290</v>
      </c>
      <c r="C11700" t="s">
        <v>198</v>
      </c>
      <c r="D11700" t="str">
        <f>HYPERLINK("http://service.sap.com/sap/support/notes/1870867","1870867")</f>
        <v>1870867</v>
      </c>
      <c r="E11700">
        <v>3</v>
      </c>
      <c r="F11700" t="s">
        <v>11289</v>
      </c>
    </row>
    <row r="11701" spans="1:6" x14ac:dyDescent="0.25">
      <c r="A11701" t="s">
        <v>13142</v>
      </c>
      <c r="B11701" t="s">
        <v>3719</v>
      </c>
      <c r="C11701" t="s">
        <v>2999</v>
      </c>
      <c r="D11701" t="str">
        <f>HYPERLINK("http://service.sap.com/sap/support/notes/1787628","1787628")</f>
        <v>1787628</v>
      </c>
      <c r="E11701">
        <v>8</v>
      </c>
      <c r="F11701" t="s">
        <v>11288</v>
      </c>
    </row>
    <row r="11702" spans="1:6" x14ac:dyDescent="0.25">
      <c r="A11702" t="s">
        <v>13142</v>
      </c>
      <c r="B11702" t="s">
        <v>3719</v>
      </c>
      <c r="C11702" t="s">
        <v>2999</v>
      </c>
      <c r="D11702" t="str">
        <f>HYPERLINK("http://service.sap.com/sap/support/notes/1788373","1788373")</f>
        <v>1788373</v>
      </c>
      <c r="E11702">
        <v>3</v>
      </c>
      <c r="F11702" t="s">
        <v>11287</v>
      </c>
    </row>
    <row r="11703" spans="1:6" x14ac:dyDescent="0.25">
      <c r="A11703" t="s">
        <v>13142</v>
      </c>
      <c r="B11703" t="s">
        <v>3719</v>
      </c>
      <c r="C11703" t="s">
        <v>2999</v>
      </c>
      <c r="D11703" t="str">
        <f>HYPERLINK("http://service.sap.com/sap/support/notes/1790013","1790013")</f>
        <v>1790013</v>
      </c>
      <c r="E11703">
        <v>10</v>
      </c>
      <c r="F11703" t="s">
        <v>11286</v>
      </c>
    </row>
    <row r="11704" spans="1:6" x14ac:dyDescent="0.25">
      <c r="A11704" t="s">
        <v>13142</v>
      </c>
      <c r="B11704" t="s">
        <v>3719</v>
      </c>
      <c r="C11704" t="s">
        <v>2999</v>
      </c>
      <c r="D11704" t="str">
        <f>HYPERLINK("http://service.sap.com/sap/support/notes/1796866","1796866")</f>
        <v>1796866</v>
      </c>
      <c r="E11704">
        <v>3</v>
      </c>
      <c r="F11704" t="s">
        <v>11285</v>
      </c>
    </row>
    <row r="11705" spans="1:6" x14ac:dyDescent="0.25">
      <c r="A11705" t="s">
        <v>13142</v>
      </c>
      <c r="B11705" t="s">
        <v>3719</v>
      </c>
      <c r="C11705" t="s">
        <v>2999</v>
      </c>
      <c r="D11705" t="str">
        <f>HYPERLINK("http://service.sap.com/sap/support/notes/1804976","1804976")</f>
        <v>1804976</v>
      </c>
      <c r="E11705">
        <v>12</v>
      </c>
      <c r="F11705" t="s">
        <v>11284</v>
      </c>
    </row>
    <row r="11706" spans="1:6" x14ac:dyDescent="0.25">
      <c r="A11706" t="s">
        <v>13142</v>
      </c>
      <c r="B11706" t="s">
        <v>3719</v>
      </c>
      <c r="C11706" t="s">
        <v>2999</v>
      </c>
      <c r="D11706" t="str">
        <f>HYPERLINK("http://service.sap.com/sap/support/notes/1830095","1830095")</f>
        <v>1830095</v>
      </c>
      <c r="E11706">
        <v>3</v>
      </c>
      <c r="F11706" t="s">
        <v>11283</v>
      </c>
    </row>
    <row r="11707" spans="1:6" x14ac:dyDescent="0.25">
      <c r="A11707" t="s">
        <v>13142</v>
      </c>
      <c r="B11707" t="s">
        <v>3719</v>
      </c>
      <c r="C11707" t="s">
        <v>2999</v>
      </c>
      <c r="D11707" t="str">
        <f>HYPERLINK("http://service.sap.com/sap/support/notes/1837028","1837028")</f>
        <v>1837028</v>
      </c>
      <c r="E11707">
        <v>3</v>
      </c>
      <c r="F11707" t="s">
        <v>11282</v>
      </c>
    </row>
    <row r="11708" spans="1:6" x14ac:dyDescent="0.25">
      <c r="A11708" t="s">
        <v>13142</v>
      </c>
      <c r="B11708" t="s">
        <v>3719</v>
      </c>
      <c r="C11708" t="s">
        <v>2999</v>
      </c>
      <c r="D11708" t="str">
        <f>HYPERLINK("http://service.sap.com/sap/support/notes/1844256","1844256")</f>
        <v>1844256</v>
      </c>
      <c r="E11708">
        <v>2</v>
      </c>
      <c r="F11708" t="s">
        <v>11281</v>
      </c>
    </row>
    <row r="11709" spans="1:6" x14ac:dyDescent="0.25">
      <c r="A11709" t="s">
        <v>13142</v>
      </c>
      <c r="B11709" t="s">
        <v>3719</v>
      </c>
      <c r="C11709" t="s">
        <v>2999</v>
      </c>
      <c r="D11709" t="str">
        <f>HYPERLINK("http://service.sap.com/sap/support/notes/1855435","1855435")</f>
        <v>1855435</v>
      </c>
      <c r="E11709">
        <v>3</v>
      </c>
      <c r="F11709" t="s">
        <v>11280</v>
      </c>
    </row>
    <row r="11710" spans="1:6" x14ac:dyDescent="0.25">
      <c r="A11710" t="s">
        <v>13142</v>
      </c>
      <c r="B11710" t="s">
        <v>3727</v>
      </c>
      <c r="C11710" t="s">
        <v>3728</v>
      </c>
      <c r="D11710" t="str">
        <f>HYPERLINK("http://service.sap.com/sap/support/notes/1856625","1856625")</f>
        <v>1856625</v>
      </c>
      <c r="E11710">
        <v>12</v>
      </c>
      <c r="F11710" t="s">
        <v>11279</v>
      </c>
    </row>
    <row r="11711" spans="1:6" x14ac:dyDescent="0.25">
      <c r="A11711" t="s">
        <v>13142</v>
      </c>
      <c r="B11711" t="s">
        <v>3727</v>
      </c>
      <c r="C11711" t="s">
        <v>3728</v>
      </c>
      <c r="D11711" t="str">
        <f>HYPERLINK("http://service.sap.com/sap/support/notes/1856635","1856635")</f>
        <v>1856635</v>
      </c>
      <c r="E11711">
        <v>8</v>
      </c>
      <c r="F11711" t="s">
        <v>11278</v>
      </c>
    </row>
    <row r="11712" spans="1:6" x14ac:dyDescent="0.25">
      <c r="A11712" t="s">
        <v>13142</v>
      </c>
      <c r="B11712" t="s">
        <v>3727</v>
      </c>
      <c r="C11712" t="s">
        <v>3728</v>
      </c>
      <c r="D11712" t="str">
        <f>HYPERLINK("http://service.sap.com/sap/support/notes/1857633","1857633")</f>
        <v>1857633</v>
      </c>
      <c r="E11712">
        <v>1</v>
      </c>
      <c r="F11712" t="s">
        <v>11277</v>
      </c>
    </row>
    <row r="11713" spans="1:6" x14ac:dyDescent="0.25">
      <c r="A11713" t="s">
        <v>13142</v>
      </c>
      <c r="B11713" t="s">
        <v>3727</v>
      </c>
      <c r="C11713" t="s">
        <v>3728</v>
      </c>
      <c r="D11713" t="str">
        <f>HYPERLINK("http://service.sap.com/sap/support/notes/1863640","1863640")</f>
        <v>1863640</v>
      </c>
      <c r="E11713">
        <v>2</v>
      </c>
      <c r="F11713" t="s">
        <v>11276</v>
      </c>
    </row>
    <row r="11714" spans="1:6" x14ac:dyDescent="0.25">
      <c r="A11714" t="s">
        <v>13142</v>
      </c>
      <c r="B11714" t="s">
        <v>3727</v>
      </c>
      <c r="C11714" t="s">
        <v>3728</v>
      </c>
      <c r="D11714" t="str">
        <f>HYPERLINK("http://service.sap.com/sap/support/notes/1869386","1869386")</f>
        <v>1869386</v>
      </c>
      <c r="E11714">
        <v>2</v>
      </c>
      <c r="F11714" t="s">
        <v>11275</v>
      </c>
    </row>
    <row r="11715" spans="1:6" x14ac:dyDescent="0.25">
      <c r="A11715" t="s">
        <v>13142</v>
      </c>
      <c r="B11715" t="s">
        <v>3727</v>
      </c>
      <c r="C11715" t="s">
        <v>3728</v>
      </c>
      <c r="D11715" t="str">
        <f>HYPERLINK("http://service.sap.com/sap/support/notes/1869452","1869452")</f>
        <v>1869452</v>
      </c>
      <c r="E11715">
        <v>6</v>
      </c>
      <c r="F11715" t="s">
        <v>11274</v>
      </c>
    </row>
    <row r="11716" spans="1:6" x14ac:dyDescent="0.25">
      <c r="A11716" t="s">
        <v>13142</v>
      </c>
      <c r="B11716" t="s">
        <v>3727</v>
      </c>
      <c r="C11716" t="s">
        <v>3728</v>
      </c>
      <c r="D11716" t="str">
        <f>HYPERLINK("http://service.sap.com/sap/support/notes/1869555","1869555")</f>
        <v>1869555</v>
      </c>
      <c r="E11716">
        <v>7</v>
      </c>
      <c r="F11716" t="s">
        <v>11273</v>
      </c>
    </row>
    <row r="11717" spans="1:6" x14ac:dyDescent="0.25">
      <c r="A11717" t="s">
        <v>13142</v>
      </c>
      <c r="B11717" t="s">
        <v>3727</v>
      </c>
      <c r="C11717" t="s">
        <v>3728</v>
      </c>
      <c r="D11717" t="str">
        <f>HYPERLINK("http://service.sap.com/sap/support/notes/1869901","1869901")</f>
        <v>1869901</v>
      </c>
      <c r="E11717">
        <v>1</v>
      </c>
      <c r="F11717" t="s">
        <v>11272</v>
      </c>
    </row>
    <row r="11718" spans="1:6" x14ac:dyDescent="0.25">
      <c r="A11718" t="s">
        <v>13142</v>
      </c>
      <c r="B11718" t="s">
        <v>3727</v>
      </c>
      <c r="C11718" t="s">
        <v>3728</v>
      </c>
      <c r="D11718" t="str">
        <f>HYPERLINK("http://service.sap.com/sap/support/notes/1872472","1872472")</f>
        <v>1872472</v>
      </c>
      <c r="E11718">
        <v>1</v>
      </c>
      <c r="F11718" t="s">
        <v>11271</v>
      </c>
    </row>
    <row r="11719" spans="1:6" x14ac:dyDescent="0.25">
      <c r="A11719" t="s">
        <v>13142</v>
      </c>
      <c r="B11719" t="s">
        <v>3727</v>
      </c>
      <c r="C11719" t="s">
        <v>3728</v>
      </c>
      <c r="D11719" t="str">
        <f>HYPERLINK("http://service.sap.com/sap/support/notes/1873294","1873294")</f>
        <v>1873294</v>
      </c>
      <c r="E11719">
        <v>10</v>
      </c>
      <c r="F11719" t="s">
        <v>11270</v>
      </c>
    </row>
    <row r="11720" spans="1:6" x14ac:dyDescent="0.25">
      <c r="A11720" t="s">
        <v>13142</v>
      </c>
      <c r="B11720" t="s">
        <v>3727</v>
      </c>
      <c r="C11720" t="s">
        <v>3728</v>
      </c>
      <c r="D11720" t="str">
        <f>HYPERLINK("http://service.sap.com/sap/support/notes/1875160","1875160")</f>
        <v>1875160</v>
      </c>
      <c r="E11720">
        <v>2</v>
      </c>
      <c r="F11720" t="s">
        <v>11269</v>
      </c>
    </row>
    <row r="11721" spans="1:6" x14ac:dyDescent="0.25">
      <c r="A11721" t="s">
        <v>13142</v>
      </c>
      <c r="B11721" t="s">
        <v>3727</v>
      </c>
      <c r="C11721" t="s">
        <v>3728</v>
      </c>
      <c r="D11721" t="str">
        <f>HYPERLINK("http://service.sap.com/sap/support/notes/1890980","1890980")</f>
        <v>1890980</v>
      </c>
      <c r="E11721">
        <v>2</v>
      </c>
      <c r="F11721" t="s">
        <v>11268</v>
      </c>
    </row>
    <row r="11722" spans="1:6" x14ac:dyDescent="0.25">
      <c r="A11722" t="s">
        <v>13142</v>
      </c>
      <c r="B11722" t="s">
        <v>3727</v>
      </c>
      <c r="C11722" t="s">
        <v>3728</v>
      </c>
      <c r="D11722" t="str">
        <f>HYPERLINK("http://service.sap.com/sap/support/notes/1894253","1894253")</f>
        <v>1894253</v>
      </c>
      <c r="E11722">
        <v>1</v>
      </c>
      <c r="F11722" t="s">
        <v>11267</v>
      </c>
    </row>
    <row r="11723" spans="1:6" x14ac:dyDescent="0.25">
      <c r="A11723" t="s">
        <v>13142</v>
      </c>
      <c r="B11723" t="s">
        <v>3738</v>
      </c>
      <c r="C11723" t="s">
        <v>3739</v>
      </c>
      <c r="D11723" t="str">
        <f>HYPERLINK("http://service.sap.com/sap/support/notes/1872337","1872337")</f>
        <v>1872337</v>
      </c>
      <c r="E11723">
        <v>5</v>
      </c>
      <c r="F11723" t="s">
        <v>11266</v>
      </c>
    </row>
    <row r="11724" spans="1:6" x14ac:dyDescent="0.25">
      <c r="A11724" t="s">
        <v>13142</v>
      </c>
      <c r="B11724" t="s">
        <v>3738</v>
      </c>
      <c r="C11724" t="s">
        <v>3739</v>
      </c>
      <c r="D11724" t="str">
        <f>HYPERLINK("http://service.sap.com/sap/support/notes/1887451","1887451")</f>
        <v>1887451</v>
      </c>
      <c r="E11724">
        <v>1</v>
      </c>
      <c r="F11724" t="s">
        <v>11265</v>
      </c>
    </row>
    <row r="11725" spans="1:6" x14ac:dyDescent="0.25">
      <c r="A11725" t="s">
        <v>13142</v>
      </c>
      <c r="B11725" t="s">
        <v>3751</v>
      </c>
      <c r="C11725" t="s">
        <v>218</v>
      </c>
      <c r="D11725" t="str">
        <f>HYPERLINK("http://service.sap.com/sap/support/notes/1816560","1816560")</f>
        <v>1816560</v>
      </c>
      <c r="E11725">
        <v>2</v>
      </c>
      <c r="F11725" t="s">
        <v>8611</v>
      </c>
    </row>
    <row r="11726" spans="1:6" x14ac:dyDescent="0.25">
      <c r="A11726" t="s">
        <v>13142</v>
      </c>
      <c r="B11726" t="s">
        <v>3751</v>
      </c>
      <c r="C11726" t="s">
        <v>218</v>
      </c>
      <c r="D11726" t="str">
        <f>HYPERLINK("http://service.sap.com/sap/support/notes/1826009","1826009")</f>
        <v>1826009</v>
      </c>
      <c r="E11726">
        <v>5</v>
      </c>
      <c r="F11726" t="s">
        <v>11264</v>
      </c>
    </row>
    <row r="11727" spans="1:6" x14ac:dyDescent="0.25">
      <c r="A11727" t="s">
        <v>13142</v>
      </c>
      <c r="B11727" t="s">
        <v>3751</v>
      </c>
      <c r="C11727" t="s">
        <v>218</v>
      </c>
      <c r="D11727" t="str">
        <f>HYPERLINK("http://service.sap.com/sap/support/notes/1836886","1836886")</f>
        <v>1836886</v>
      </c>
      <c r="E11727">
        <v>3</v>
      </c>
      <c r="F11727" t="s">
        <v>11263</v>
      </c>
    </row>
    <row r="11728" spans="1:6" x14ac:dyDescent="0.25">
      <c r="A11728" t="s">
        <v>13142</v>
      </c>
      <c r="B11728" t="s">
        <v>3751</v>
      </c>
      <c r="C11728" t="s">
        <v>218</v>
      </c>
      <c r="D11728" t="str">
        <f>HYPERLINK("http://service.sap.com/sap/support/notes/1852362","1852362")</f>
        <v>1852362</v>
      </c>
      <c r="E11728">
        <v>1</v>
      </c>
      <c r="F11728" t="s">
        <v>11262</v>
      </c>
    </row>
    <row r="11729" spans="1:6" x14ac:dyDescent="0.25">
      <c r="A11729" t="s">
        <v>13142</v>
      </c>
      <c r="B11729" t="s">
        <v>3751</v>
      </c>
      <c r="C11729" t="s">
        <v>218</v>
      </c>
      <c r="D11729" t="str">
        <f>HYPERLINK("http://service.sap.com/sap/support/notes/1855267","1855267")</f>
        <v>1855267</v>
      </c>
      <c r="E11729">
        <v>3</v>
      </c>
      <c r="F11729" t="s">
        <v>11261</v>
      </c>
    </row>
    <row r="11730" spans="1:6" x14ac:dyDescent="0.25">
      <c r="A11730" t="s">
        <v>13142</v>
      </c>
      <c r="B11730" t="s">
        <v>3751</v>
      </c>
      <c r="C11730" t="s">
        <v>218</v>
      </c>
      <c r="D11730" t="str">
        <f>HYPERLINK("http://service.sap.com/sap/support/notes/1863045","1863045")</f>
        <v>1863045</v>
      </c>
      <c r="E11730">
        <v>1</v>
      </c>
      <c r="F11730" t="s">
        <v>11260</v>
      </c>
    </row>
    <row r="11731" spans="1:6" x14ac:dyDescent="0.25">
      <c r="A11731" t="s">
        <v>13142</v>
      </c>
      <c r="B11731" t="s">
        <v>3751</v>
      </c>
      <c r="C11731" t="s">
        <v>218</v>
      </c>
      <c r="D11731" t="str">
        <f>HYPERLINK("http://service.sap.com/sap/support/notes/1863641","1863641")</f>
        <v>1863641</v>
      </c>
      <c r="E11731">
        <v>1</v>
      </c>
      <c r="F11731" t="s">
        <v>11259</v>
      </c>
    </row>
    <row r="11732" spans="1:6" x14ac:dyDescent="0.25">
      <c r="A11732" t="s">
        <v>13142</v>
      </c>
      <c r="B11732" t="s">
        <v>3751</v>
      </c>
      <c r="C11732" t="s">
        <v>218</v>
      </c>
      <c r="D11732" t="str">
        <f>HYPERLINK("http://service.sap.com/sap/support/notes/1864860","1864860")</f>
        <v>1864860</v>
      </c>
      <c r="E11732">
        <v>2</v>
      </c>
      <c r="F11732" t="s">
        <v>11258</v>
      </c>
    </row>
    <row r="11733" spans="1:6" x14ac:dyDescent="0.25">
      <c r="A11733" t="s">
        <v>13142</v>
      </c>
      <c r="B11733" t="s">
        <v>3751</v>
      </c>
      <c r="C11733" t="s">
        <v>218</v>
      </c>
      <c r="D11733" t="str">
        <f>HYPERLINK("http://service.sap.com/sap/support/notes/1864894","1864894")</f>
        <v>1864894</v>
      </c>
      <c r="E11733">
        <v>2</v>
      </c>
      <c r="F11733" t="s">
        <v>11257</v>
      </c>
    </row>
    <row r="11734" spans="1:6" x14ac:dyDescent="0.25">
      <c r="A11734" t="s">
        <v>13142</v>
      </c>
      <c r="B11734" t="s">
        <v>3751</v>
      </c>
      <c r="C11734" t="s">
        <v>218</v>
      </c>
      <c r="D11734" t="str">
        <f>HYPERLINK("http://service.sap.com/sap/support/notes/1871470","1871470")</f>
        <v>1871470</v>
      </c>
      <c r="E11734">
        <v>1</v>
      </c>
      <c r="F11734" t="s">
        <v>11256</v>
      </c>
    </row>
    <row r="11735" spans="1:6" x14ac:dyDescent="0.25">
      <c r="A11735" t="s">
        <v>13142</v>
      </c>
      <c r="B11735" t="s">
        <v>3751</v>
      </c>
      <c r="C11735" t="s">
        <v>218</v>
      </c>
      <c r="D11735" t="str">
        <f>HYPERLINK("http://service.sap.com/sap/support/notes/1876338","1876338")</f>
        <v>1876338</v>
      </c>
      <c r="E11735">
        <v>3</v>
      </c>
      <c r="F11735" t="s">
        <v>11255</v>
      </c>
    </row>
    <row r="11736" spans="1:6" x14ac:dyDescent="0.25">
      <c r="A11736" t="s">
        <v>13142</v>
      </c>
      <c r="B11736" t="s">
        <v>3751</v>
      </c>
      <c r="C11736" t="s">
        <v>218</v>
      </c>
      <c r="D11736" t="str">
        <f>HYPERLINK("http://service.sap.com/sap/support/notes/1878424","1878424")</f>
        <v>1878424</v>
      </c>
      <c r="E11736">
        <v>1</v>
      </c>
      <c r="F11736" t="s">
        <v>11254</v>
      </c>
    </row>
    <row r="11737" spans="1:6" x14ac:dyDescent="0.25">
      <c r="A11737" t="s">
        <v>13142</v>
      </c>
      <c r="B11737" t="s">
        <v>3751</v>
      </c>
      <c r="C11737" t="s">
        <v>218</v>
      </c>
      <c r="D11737" t="str">
        <f>HYPERLINK("http://service.sap.com/sap/support/notes/1878648","1878648")</f>
        <v>1878648</v>
      </c>
      <c r="E11737">
        <v>4</v>
      </c>
      <c r="F11737" t="s">
        <v>11253</v>
      </c>
    </row>
    <row r="11738" spans="1:6" x14ac:dyDescent="0.25">
      <c r="A11738" t="s">
        <v>13142</v>
      </c>
      <c r="B11738" t="s">
        <v>3751</v>
      </c>
      <c r="C11738" t="s">
        <v>218</v>
      </c>
      <c r="D11738" t="str">
        <f>HYPERLINK("http://service.sap.com/sap/support/notes/1879100","1879100")</f>
        <v>1879100</v>
      </c>
      <c r="E11738">
        <v>4</v>
      </c>
      <c r="F11738" t="s">
        <v>11252</v>
      </c>
    </row>
    <row r="11739" spans="1:6" x14ac:dyDescent="0.25">
      <c r="A11739" t="s">
        <v>13142</v>
      </c>
      <c r="B11739" t="s">
        <v>3751</v>
      </c>
      <c r="C11739" t="s">
        <v>218</v>
      </c>
      <c r="D11739" t="str">
        <f>HYPERLINK("http://service.sap.com/sap/support/notes/1882543","1882543")</f>
        <v>1882543</v>
      </c>
      <c r="E11739">
        <v>2</v>
      </c>
      <c r="F11739" t="s">
        <v>11251</v>
      </c>
    </row>
    <row r="11740" spans="1:6" x14ac:dyDescent="0.25">
      <c r="A11740" t="s">
        <v>13142</v>
      </c>
      <c r="B11740" t="s">
        <v>3751</v>
      </c>
      <c r="C11740" t="s">
        <v>218</v>
      </c>
      <c r="D11740" t="str">
        <f>HYPERLINK("http://service.sap.com/sap/support/notes/1884266","1884266")</f>
        <v>1884266</v>
      </c>
      <c r="E11740">
        <v>3</v>
      </c>
      <c r="F11740" t="s">
        <v>11250</v>
      </c>
    </row>
    <row r="11741" spans="1:6" x14ac:dyDescent="0.25">
      <c r="A11741" t="s">
        <v>13142</v>
      </c>
      <c r="B11741" t="s">
        <v>3751</v>
      </c>
      <c r="C11741" t="s">
        <v>218</v>
      </c>
      <c r="D11741" t="str">
        <f>HYPERLINK("http://service.sap.com/sap/support/notes/1885959","1885959")</f>
        <v>1885959</v>
      </c>
      <c r="E11741">
        <v>4</v>
      </c>
      <c r="F11741" t="s">
        <v>11249</v>
      </c>
    </row>
    <row r="11742" spans="1:6" x14ac:dyDescent="0.25">
      <c r="A11742" t="s">
        <v>13142</v>
      </c>
      <c r="B11742" t="s">
        <v>3751</v>
      </c>
      <c r="C11742" t="s">
        <v>218</v>
      </c>
      <c r="D11742" t="str">
        <f>HYPERLINK("http://service.sap.com/sap/support/notes/1892623","1892623")</f>
        <v>1892623</v>
      </c>
      <c r="E11742">
        <v>1</v>
      </c>
      <c r="F11742" t="s">
        <v>11248</v>
      </c>
    </row>
    <row r="11743" spans="1:6" x14ac:dyDescent="0.25">
      <c r="A11743" t="s">
        <v>13142</v>
      </c>
      <c r="B11743" t="s">
        <v>3751</v>
      </c>
      <c r="C11743" t="s">
        <v>218</v>
      </c>
      <c r="D11743" t="str">
        <f>HYPERLINK("http://service.sap.com/sap/support/notes/1894154","1894154")</f>
        <v>1894154</v>
      </c>
      <c r="E11743">
        <v>1</v>
      </c>
      <c r="F11743" t="s">
        <v>11247</v>
      </c>
    </row>
    <row r="11744" spans="1:6" x14ac:dyDescent="0.25">
      <c r="A11744" t="s">
        <v>13142</v>
      </c>
      <c r="B11744" t="s">
        <v>3751</v>
      </c>
      <c r="C11744" t="s">
        <v>218</v>
      </c>
      <c r="D11744" t="str">
        <f>HYPERLINK("http://service.sap.com/sap/support/notes/1894710","1894710")</f>
        <v>1894710</v>
      </c>
      <c r="E11744">
        <v>1</v>
      </c>
      <c r="F11744" t="s">
        <v>11246</v>
      </c>
    </row>
    <row r="11745" spans="1:6" x14ac:dyDescent="0.25">
      <c r="A11745" t="s">
        <v>13142</v>
      </c>
      <c r="B11745" t="s">
        <v>3751</v>
      </c>
      <c r="C11745" t="s">
        <v>218</v>
      </c>
      <c r="D11745" t="str">
        <f>HYPERLINK("http://service.sap.com/sap/support/notes/1894754","1894754")</f>
        <v>1894754</v>
      </c>
      <c r="E11745">
        <v>1</v>
      </c>
      <c r="F11745" t="s">
        <v>11245</v>
      </c>
    </row>
    <row r="11746" spans="1:6" x14ac:dyDescent="0.25">
      <c r="A11746" t="s">
        <v>13142</v>
      </c>
      <c r="B11746" t="s">
        <v>3751</v>
      </c>
      <c r="C11746" t="s">
        <v>218</v>
      </c>
      <c r="D11746" t="str">
        <f>HYPERLINK("http://service.sap.com/sap/support/notes/1894760","1894760")</f>
        <v>1894760</v>
      </c>
      <c r="E11746">
        <v>1</v>
      </c>
      <c r="F11746" t="s">
        <v>11244</v>
      </c>
    </row>
    <row r="11747" spans="1:6" x14ac:dyDescent="0.25">
      <c r="A11747" t="s">
        <v>13142</v>
      </c>
      <c r="B11747" t="s">
        <v>3751</v>
      </c>
      <c r="C11747" t="s">
        <v>218</v>
      </c>
      <c r="D11747" t="str">
        <f>HYPERLINK("http://service.sap.com/sap/support/notes/1894773","1894773")</f>
        <v>1894773</v>
      </c>
      <c r="E11747">
        <v>1</v>
      </c>
      <c r="F11747" t="s">
        <v>11243</v>
      </c>
    </row>
    <row r="11748" spans="1:6" x14ac:dyDescent="0.25">
      <c r="A11748" t="s">
        <v>13142</v>
      </c>
      <c r="B11748" t="s">
        <v>3751</v>
      </c>
      <c r="C11748" t="s">
        <v>218</v>
      </c>
      <c r="D11748" t="str">
        <f>HYPERLINK("http://service.sap.com/sap/support/notes/1894776","1894776")</f>
        <v>1894776</v>
      </c>
      <c r="E11748">
        <v>1</v>
      </c>
      <c r="F11748" t="s">
        <v>11242</v>
      </c>
    </row>
    <row r="11749" spans="1:6" x14ac:dyDescent="0.25">
      <c r="A11749" t="s">
        <v>13142</v>
      </c>
      <c r="B11749" t="s">
        <v>3751</v>
      </c>
      <c r="C11749" t="s">
        <v>218</v>
      </c>
      <c r="D11749" t="str">
        <f>HYPERLINK("http://service.sap.com/sap/support/notes/1894777","1894777")</f>
        <v>1894777</v>
      </c>
      <c r="E11749">
        <v>1</v>
      </c>
      <c r="F11749" t="s">
        <v>11241</v>
      </c>
    </row>
    <row r="11750" spans="1:6" x14ac:dyDescent="0.25">
      <c r="A11750" t="s">
        <v>13142</v>
      </c>
      <c r="B11750" t="s">
        <v>3751</v>
      </c>
      <c r="C11750" t="s">
        <v>218</v>
      </c>
      <c r="D11750" t="str">
        <f>HYPERLINK("http://service.sap.com/sap/support/notes/1899211","1899211")</f>
        <v>1899211</v>
      </c>
      <c r="E11750">
        <v>2</v>
      </c>
      <c r="F11750" t="s">
        <v>11240</v>
      </c>
    </row>
    <row r="11751" spans="1:6" x14ac:dyDescent="0.25">
      <c r="A11751" t="s">
        <v>13142</v>
      </c>
      <c r="B11751" t="s">
        <v>3751</v>
      </c>
      <c r="C11751" t="s">
        <v>218</v>
      </c>
      <c r="D11751" t="str">
        <f>HYPERLINK("http://service.sap.com/sap/support/notes/1900965","1900965")</f>
        <v>1900965</v>
      </c>
      <c r="E11751">
        <v>1</v>
      </c>
      <c r="F11751" t="s">
        <v>11180</v>
      </c>
    </row>
    <row r="11752" spans="1:6" x14ac:dyDescent="0.25">
      <c r="A11752" t="s">
        <v>13142</v>
      </c>
      <c r="B11752" t="s">
        <v>3764</v>
      </c>
      <c r="C11752" t="s">
        <v>3765</v>
      </c>
      <c r="D11752" t="str">
        <f>HYPERLINK("http://service.sap.com/sap/support/notes/1844619","1844619")</f>
        <v>1844619</v>
      </c>
      <c r="E11752">
        <v>3</v>
      </c>
      <c r="F11752" t="s">
        <v>11239</v>
      </c>
    </row>
    <row r="11753" spans="1:6" x14ac:dyDescent="0.25">
      <c r="A11753" t="s">
        <v>13142</v>
      </c>
      <c r="B11753" t="s">
        <v>3764</v>
      </c>
      <c r="C11753" t="s">
        <v>3765</v>
      </c>
      <c r="D11753" t="str">
        <f>HYPERLINK("http://service.sap.com/sap/support/notes/1844621","1844621")</f>
        <v>1844621</v>
      </c>
      <c r="E11753">
        <v>2</v>
      </c>
      <c r="F11753" t="s">
        <v>11238</v>
      </c>
    </row>
    <row r="11754" spans="1:6" x14ac:dyDescent="0.25">
      <c r="A11754" t="s">
        <v>13142</v>
      </c>
      <c r="B11754" t="s">
        <v>3764</v>
      </c>
      <c r="C11754" t="s">
        <v>3765</v>
      </c>
      <c r="D11754" t="str">
        <f>HYPERLINK("http://service.sap.com/sap/support/notes/1859126","1859126")</f>
        <v>1859126</v>
      </c>
      <c r="E11754">
        <v>7</v>
      </c>
      <c r="F11754" t="s">
        <v>11237</v>
      </c>
    </row>
    <row r="11755" spans="1:6" x14ac:dyDescent="0.25">
      <c r="A11755" t="s">
        <v>13142</v>
      </c>
      <c r="B11755" t="s">
        <v>3764</v>
      </c>
      <c r="C11755" t="s">
        <v>3765</v>
      </c>
      <c r="D11755" t="str">
        <f>HYPERLINK("http://service.sap.com/sap/support/notes/1860360","1860360")</f>
        <v>1860360</v>
      </c>
      <c r="E11755">
        <v>2</v>
      </c>
      <c r="F11755" t="s">
        <v>11236</v>
      </c>
    </row>
    <row r="11756" spans="1:6" x14ac:dyDescent="0.25">
      <c r="A11756" t="s">
        <v>13142</v>
      </c>
      <c r="B11756" t="s">
        <v>3764</v>
      </c>
      <c r="C11756" t="s">
        <v>3765</v>
      </c>
      <c r="D11756" t="str">
        <f>HYPERLINK("http://service.sap.com/sap/support/notes/1860362","1860362")</f>
        <v>1860362</v>
      </c>
      <c r="E11756">
        <v>2</v>
      </c>
      <c r="F11756" t="s">
        <v>11235</v>
      </c>
    </row>
    <row r="11757" spans="1:6" x14ac:dyDescent="0.25">
      <c r="A11757" t="s">
        <v>13142</v>
      </c>
      <c r="B11757" t="s">
        <v>3764</v>
      </c>
      <c r="C11757" t="s">
        <v>3765</v>
      </c>
      <c r="D11757" t="str">
        <f>HYPERLINK("http://service.sap.com/sap/support/notes/1861522","1861522")</f>
        <v>1861522</v>
      </c>
      <c r="E11757">
        <v>1</v>
      </c>
      <c r="F11757" t="s">
        <v>11234</v>
      </c>
    </row>
    <row r="11758" spans="1:6" x14ac:dyDescent="0.25">
      <c r="A11758" t="s">
        <v>13142</v>
      </c>
      <c r="B11758" t="s">
        <v>3764</v>
      </c>
      <c r="C11758" t="s">
        <v>3765</v>
      </c>
      <c r="D11758" t="str">
        <f>HYPERLINK("http://service.sap.com/sap/support/notes/1865657","1865657")</f>
        <v>1865657</v>
      </c>
      <c r="E11758">
        <v>3</v>
      </c>
      <c r="F11758" t="s">
        <v>11214</v>
      </c>
    </row>
    <row r="11759" spans="1:6" x14ac:dyDescent="0.25">
      <c r="A11759" t="s">
        <v>13142</v>
      </c>
      <c r="B11759" t="s">
        <v>3764</v>
      </c>
      <c r="C11759" t="s">
        <v>3765</v>
      </c>
      <c r="D11759" t="str">
        <f>HYPERLINK("http://service.sap.com/sap/support/notes/1868824","1868824")</f>
        <v>1868824</v>
      </c>
      <c r="E11759">
        <v>1</v>
      </c>
      <c r="F11759" t="s">
        <v>11233</v>
      </c>
    </row>
    <row r="11760" spans="1:6" x14ac:dyDescent="0.25">
      <c r="A11760" t="s">
        <v>13142</v>
      </c>
      <c r="B11760" t="s">
        <v>3764</v>
      </c>
      <c r="C11760" t="s">
        <v>3765</v>
      </c>
      <c r="D11760" t="str">
        <f>HYPERLINK("http://service.sap.com/sap/support/notes/1869063","1869063")</f>
        <v>1869063</v>
      </c>
      <c r="E11760">
        <v>1</v>
      </c>
      <c r="F11760" t="s">
        <v>11232</v>
      </c>
    </row>
    <row r="11761" spans="1:6" x14ac:dyDescent="0.25">
      <c r="A11761" t="s">
        <v>13142</v>
      </c>
      <c r="B11761" t="s">
        <v>3764</v>
      </c>
      <c r="C11761" t="s">
        <v>3765</v>
      </c>
      <c r="D11761" t="str">
        <f>HYPERLINK("http://service.sap.com/sap/support/notes/1870338","1870338")</f>
        <v>1870338</v>
      </c>
      <c r="E11761">
        <v>1</v>
      </c>
      <c r="F11761" t="s">
        <v>11231</v>
      </c>
    </row>
    <row r="11762" spans="1:6" x14ac:dyDescent="0.25">
      <c r="A11762" t="s">
        <v>13142</v>
      </c>
      <c r="B11762" t="s">
        <v>3764</v>
      </c>
      <c r="C11762" t="s">
        <v>3765</v>
      </c>
      <c r="D11762" t="str">
        <f>HYPERLINK("http://service.sap.com/sap/support/notes/1870653","1870653")</f>
        <v>1870653</v>
      </c>
      <c r="E11762">
        <v>2</v>
      </c>
      <c r="F11762" t="s">
        <v>11230</v>
      </c>
    </row>
    <row r="11763" spans="1:6" x14ac:dyDescent="0.25">
      <c r="A11763" t="s">
        <v>13142</v>
      </c>
      <c r="B11763" t="s">
        <v>3764</v>
      </c>
      <c r="C11763" t="s">
        <v>3765</v>
      </c>
      <c r="D11763" t="str">
        <f>HYPERLINK("http://service.sap.com/sap/support/notes/1871347","1871347")</f>
        <v>1871347</v>
      </c>
      <c r="E11763">
        <v>1</v>
      </c>
      <c r="F11763" t="s">
        <v>11229</v>
      </c>
    </row>
    <row r="11764" spans="1:6" x14ac:dyDescent="0.25">
      <c r="A11764" t="s">
        <v>13142</v>
      </c>
      <c r="B11764" t="s">
        <v>3764</v>
      </c>
      <c r="C11764" t="s">
        <v>3765</v>
      </c>
      <c r="D11764" t="str">
        <f>HYPERLINK("http://service.sap.com/sap/support/notes/1872953","1872953")</f>
        <v>1872953</v>
      </c>
      <c r="E11764">
        <v>1</v>
      </c>
      <c r="F11764" t="s">
        <v>11228</v>
      </c>
    </row>
    <row r="11765" spans="1:6" x14ac:dyDescent="0.25">
      <c r="A11765" t="s">
        <v>13142</v>
      </c>
      <c r="B11765" t="s">
        <v>3764</v>
      </c>
      <c r="C11765" t="s">
        <v>3765</v>
      </c>
      <c r="D11765" t="str">
        <f>HYPERLINK("http://service.sap.com/sap/support/notes/1873005","1873005")</f>
        <v>1873005</v>
      </c>
      <c r="E11765">
        <v>1</v>
      </c>
      <c r="F11765" t="s">
        <v>11227</v>
      </c>
    </row>
    <row r="11766" spans="1:6" x14ac:dyDescent="0.25">
      <c r="A11766" t="s">
        <v>13142</v>
      </c>
      <c r="B11766" t="s">
        <v>3764</v>
      </c>
      <c r="C11766" t="s">
        <v>3765</v>
      </c>
      <c r="D11766" t="str">
        <f>HYPERLINK("http://service.sap.com/sap/support/notes/1874366","1874366")</f>
        <v>1874366</v>
      </c>
      <c r="E11766">
        <v>2</v>
      </c>
      <c r="F11766" t="s">
        <v>11226</v>
      </c>
    </row>
    <row r="11767" spans="1:6" x14ac:dyDescent="0.25">
      <c r="A11767" t="s">
        <v>13142</v>
      </c>
      <c r="B11767" t="s">
        <v>3764</v>
      </c>
      <c r="C11767" t="s">
        <v>3765</v>
      </c>
      <c r="D11767" t="str">
        <f>HYPERLINK("http://service.sap.com/sap/support/notes/1876777","1876777")</f>
        <v>1876777</v>
      </c>
      <c r="E11767">
        <v>2</v>
      </c>
      <c r="F11767" t="s">
        <v>11225</v>
      </c>
    </row>
    <row r="11768" spans="1:6" x14ac:dyDescent="0.25">
      <c r="A11768" t="s">
        <v>13142</v>
      </c>
      <c r="B11768" t="s">
        <v>3764</v>
      </c>
      <c r="C11768" t="s">
        <v>3765</v>
      </c>
      <c r="D11768" t="str">
        <f>HYPERLINK("http://service.sap.com/sap/support/notes/1877404","1877404")</f>
        <v>1877404</v>
      </c>
      <c r="E11768">
        <v>4</v>
      </c>
      <c r="F11768" t="s">
        <v>11224</v>
      </c>
    </row>
    <row r="11769" spans="1:6" x14ac:dyDescent="0.25">
      <c r="A11769" t="s">
        <v>13142</v>
      </c>
      <c r="B11769" t="s">
        <v>3764</v>
      </c>
      <c r="C11769" t="s">
        <v>3765</v>
      </c>
      <c r="D11769" t="str">
        <f>HYPERLINK("http://service.sap.com/sap/support/notes/1882947","1882947")</f>
        <v>1882947</v>
      </c>
      <c r="E11769">
        <v>1</v>
      </c>
      <c r="F11769" t="s">
        <v>11223</v>
      </c>
    </row>
    <row r="11770" spans="1:6" x14ac:dyDescent="0.25">
      <c r="A11770" t="s">
        <v>13142</v>
      </c>
      <c r="B11770" t="s">
        <v>3764</v>
      </c>
      <c r="C11770" t="s">
        <v>3765</v>
      </c>
      <c r="D11770" t="str">
        <f>HYPERLINK("http://service.sap.com/sap/support/notes/1883364","1883364")</f>
        <v>1883364</v>
      </c>
      <c r="E11770">
        <v>2</v>
      </c>
      <c r="F11770" t="s">
        <v>11222</v>
      </c>
    </row>
    <row r="11771" spans="1:6" x14ac:dyDescent="0.25">
      <c r="A11771" t="s">
        <v>13142</v>
      </c>
      <c r="B11771" t="s">
        <v>3764</v>
      </c>
      <c r="C11771" t="s">
        <v>3765</v>
      </c>
      <c r="D11771" t="str">
        <f>HYPERLINK("http://service.sap.com/sap/support/notes/1883752","1883752")</f>
        <v>1883752</v>
      </c>
      <c r="E11771">
        <v>1</v>
      </c>
      <c r="F11771" t="s">
        <v>11221</v>
      </c>
    </row>
    <row r="11772" spans="1:6" x14ac:dyDescent="0.25">
      <c r="A11772" t="s">
        <v>13142</v>
      </c>
      <c r="B11772" t="s">
        <v>3764</v>
      </c>
      <c r="C11772" t="s">
        <v>3765</v>
      </c>
      <c r="D11772" t="str">
        <f>HYPERLINK("http://service.sap.com/sap/support/notes/1884082","1884082")</f>
        <v>1884082</v>
      </c>
      <c r="E11772">
        <v>4</v>
      </c>
      <c r="F11772" t="s">
        <v>11220</v>
      </c>
    </row>
    <row r="11773" spans="1:6" x14ac:dyDescent="0.25">
      <c r="A11773" t="s">
        <v>13142</v>
      </c>
      <c r="B11773" t="s">
        <v>3764</v>
      </c>
      <c r="C11773" t="s">
        <v>3765</v>
      </c>
      <c r="D11773" t="str">
        <f>HYPERLINK("http://service.sap.com/sap/support/notes/1884155","1884155")</f>
        <v>1884155</v>
      </c>
      <c r="E11773">
        <v>1</v>
      </c>
      <c r="F11773" t="s">
        <v>11219</v>
      </c>
    </row>
    <row r="11774" spans="1:6" x14ac:dyDescent="0.25">
      <c r="A11774" t="s">
        <v>13142</v>
      </c>
      <c r="B11774" t="s">
        <v>3764</v>
      </c>
      <c r="C11774" t="s">
        <v>3765</v>
      </c>
      <c r="D11774" t="str">
        <f>HYPERLINK("http://service.sap.com/sap/support/notes/1885164","1885164")</f>
        <v>1885164</v>
      </c>
      <c r="E11774">
        <v>1</v>
      </c>
      <c r="F11774" t="s">
        <v>11218</v>
      </c>
    </row>
    <row r="11775" spans="1:6" x14ac:dyDescent="0.25">
      <c r="A11775" t="s">
        <v>13142</v>
      </c>
      <c r="B11775" t="s">
        <v>3764</v>
      </c>
      <c r="C11775" t="s">
        <v>3765</v>
      </c>
      <c r="D11775" t="str">
        <f>HYPERLINK("http://service.sap.com/sap/support/notes/1885307","1885307")</f>
        <v>1885307</v>
      </c>
      <c r="E11775">
        <v>1</v>
      </c>
      <c r="F11775" t="s">
        <v>11217</v>
      </c>
    </row>
    <row r="11776" spans="1:6" x14ac:dyDescent="0.25">
      <c r="A11776" t="s">
        <v>13142</v>
      </c>
      <c r="B11776" t="s">
        <v>3764</v>
      </c>
      <c r="C11776" t="s">
        <v>3765</v>
      </c>
      <c r="D11776" t="str">
        <f>HYPERLINK("http://service.sap.com/sap/support/notes/1885909","1885909")</f>
        <v>1885909</v>
      </c>
      <c r="E11776">
        <v>1</v>
      </c>
      <c r="F11776" t="s">
        <v>11216</v>
      </c>
    </row>
    <row r="11777" spans="1:6" x14ac:dyDescent="0.25">
      <c r="A11777" t="s">
        <v>13142</v>
      </c>
      <c r="B11777" t="s">
        <v>3764</v>
      </c>
      <c r="C11777" t="s">
        <v>3765</v>
      </c>
      <c r="D11777" t="str">
        <f>HYPERLINK("http://service.sap.com/sap/support/notes/1886881","1886881")</f>
        <v>1886881</v>
      </c>
      <c r="E11777">
        <v>1</v>
      </c>
      <c r="F11777" t="s">
        <v>11215</v>
      </c>
    </row>
    <row r="11778" spans="1:6" x14ac:dyDescent="0.25">
      <c r="A11778" t="s">
        <v>13142</v>
      </c>
      <c r="B11778" t="s">
        <v>3764</v>
      </c>
      <c r="C11778" t="s">
        <v>3765</v>
      </c>
      <c r="D11778" t="str">
        <f>HYPERLINK("http://service.sap.com/sap/support/notes/1889990","1889990")</f>
        <v>1889990</v>
      </c>
      <c r="E11778">
        <v>3</v>
      </c>
      <c r="F11778" t="s">
        <v>11214</v>
      </c>
    </row>
    <row r="11779" spans="1:6" x14ac:dyDescent="0.25">
      <c r="A11779" t="s">
        <v>13142</v>
      </c>
      <c r="B11779" t="s">
        <v>3764</v>
      </c>
      <c r="C11779" t="s">
        <v>3765</v>
      </c>
      <c r="D11779" t="str">
        <f>HYPERLINK("http://service.sap.com/sap/support/notes/1890096","1890096")</f>
        <v>1890096</v>
      </c>
      <c r="E11779">
        <v>2</v>
      </c>
      <c r="F11779" t="s">
        <v>11213</v>
      </c>
    </row>
    <row r="11780" spans="1:6" x14ac:dyDescent="0.25">
      <c r="A11780" t="s">
        <v>13142</v>
      </c>
      <c r="B11780" t="s">
        <v>3764</v>
      </c>
      <c r="C11780" t="s">
        <v>3765</v>
      </c>
      <c r="D11780" t="str">
        <f>HYPERLINK("http://service.sap.com/sap/support/notes/1891184","1891184")</f>
        <v>1891184</v>
      </c>
      <c r="E11780">
        <v>2</v>
      </c>
      <c r="F11780" t="s">
        <v>11212</v>
      </c>
    </row>
    <row r="11781" spans="1:6" x14ac:dyDescent="0.25">
      <c r="A11781" t="s">
        <v>13142</v>
      </c>
      <c r="B11781" t="s">
        <v>3764</v>
      </c>
      <c r="C11781" t="s">
        <v>3765</v>
      </c>
      <c r="D11781" t="str">
        <f>HYPERLINK("http://service.sap.com/sap/support/notes/1892279","1892279")</f>
        <v>1892279</v>
      </c>
      <c r="E11781">
        <v>1</v>
      </c>
      <c r="F11781" t="s">
        <v>11211</v>
      </c>
    </row>
    <row r="11782" spans="1:6" x14ac:dyDescent="0.25">
      <c r="A11782" t="s">
        <v>13142</v>
      </c>
      <c r="B11782" t="s">
        <v>3764</v>
      </c>
      <c r="C11782" t="s">
        <v>3765</v>
      </c>
      <c r="D11782" t="str">
        <f>HYPERLINK("http://service.sap.com/sap/support/notes/1896354","1896354")</f>
        <v>1896354</v>
      </c>
      <c r="E11782">
        <v>1</v>
      </c>
      <c r="F11782" t="s">
        <v>11210</v>
      </c>
    </row>
    <row r="11783" spans="1:6" x14ac:dyDescent="0.25">
      <c r="A11783" t="s">
        <v>13142</v>
      </c>
      <c r="B11783" t="s">
        <v>3764</v>
      </c>
      <c r="C11783" t="s">
        <v>3765</v>
      </c>
      <c r="D11783" t="str">
        <f>HYPERLINK("http://service.sap.com/sap/support/notes/1896367","1896367")</f>
        <v>1896367</v>
      </c>
      <c r="E11783">
        <v>1</v>
      </c>
      <c r="F11783" t="s">
        <v>11209</v>
      </c>
    </row>
    <row r="11784" spans="1:6" x14ac:dyDescent="0.25">
      <c r="A11784" t="s">
        <v>13142</v>
      </c>
      <c r="B11784" t="s">
        <v>3764</v>
      </c>
      <c r="C11784" t="s">
        <v>3765</v>
      </c>
      <c r="D11784" t="str">
        <f>HYPERLINK("http://service.sap.com/sap/support/notes/1897035","1897035")</f>
        <v>1897035</v>
      </c>
      <c r="E11784">
        <v>5</v>
      </c>
      <c r="F11784" t="s">
        <v>11208</v>
      </c>
    </row>
    <row r="11785" spans="1:6" x14ac:dyDescent="0.25">
      <c r="A11785" t="s">
        <v>13142</v>
      </c>
      <c r="B11785" t="s">
        <v>3764</v>
      </c>
      <c r="C11785" t="s">
        <v>3765</v>
      </c>
      <c r="D11785" t="str">
        <f>HYPERLINK("http://service.sap.com/sap/support/notes/1897281","1897281")</f>
        <v>1897281</v>
      </c>
      <c r="E11785">
        <v>2</v>
      </c>
      <c r="F11785" t="s">
        <v>11207</v>
      </c>
    </row>
    <row r="11786" spans="1:6" x14ac:dyDescent="0.25">
      <c r="A11786" t="s">
        <v>13142</v>
      </c>
      <c r="B11786" t="s">
        <v>3764</v>
      </c>
      <c r="C11786" t="s">
        <v>3765</v>
      </c>
      <c r="D11786" t="str">
        <f>HYPERLINK("http://service.sap.com/sap/support/notes/1897850","1897850")</f>
        <v>1897850</v>
      </c>
      <c r="E11786">
        <v>2</v>
      </c>
      <c r="F11786" t="s">
        <v>11206</v>
      </c>
    </row>
    <row r="11787" spans="1:6" x14ac:dyDescent="0.25">
      <c r="A11787" t="s">
        <v>13142</v>
      </c>
      <c r="B11787" t="s">
        <v>3764</v>
      </c>
      <c r="C11787" t="s">
        <v>3765</v>
      </c>
      <c r="D11787" t="str">
        <f>HYPERLINK("http://service.sap.com/sap/support/notes/1900700","1900700")</f>
        <v>1900700</v>
      </c>
      <c r="E11787">
        <v>1</v>
      </c>
      <c r="F11787" t="s">
        <v>11205</v>
      </c>
    </row>
    <row r="11788" spans="1:6" x14ac:dyDescent="0.25">
      <c r="A11788" t="s">
        <v>13142</v>
      </c>
      <c r="B11788" t="s">
        <v>3797</v>
      </c>
      <c r="C11788" t="s">
        <v>3798</v>
      </c>
      <c r="D11788" t="str">
        <f>HYPERLINK("http://service.sap.com/sap/support/notes/1835300","1835300")</f>
        <v>1835300</v>
      </c>
      <c r="E11788">
        <v>3</v>
      </c>
      <c r="F11788" t="s">
        <v>10729</v>
      </c>
    </row>
    <row r="11789" spans="1:6" x14ac:dyDescent="0.25">
      <c r="A11789" t="s">
        <v>13142</v>
      </c>
      <c r="B11789" t="s">
        <v>3797</v>
      </c>
      <c r="C11789" t="s">
        <v>3798</v>
      </c>
      <c r="D11789" t="str">
        <f>HYPERLINK("http://service.sap.com/sap/support/notes/1843823","1843823")</f>
        <v>1843823</v>
      </c>
      <c r="E11789">
        <v>1</v>
      </c>
      <c r="F11789" t="s">
        <v>11204</v>
      </c>
    </row>
    <row r="11790" spans="1:6" x14ac:dyDescent="0.25">
      <c r="A11790" t="s">
        <v>13142</v>
      </c>
      <c r="B11790" t="s">
        <v>3797</v>
      </c>
      <c r="C11790" t="s">
        <v>3798</v>
      </c>
      <c r="D11790" t="str">
        <f>HYPERLINK("http://service.sap.com/sap/support/notes/1863527","1863527")</f>
        <v>1863527</v>
      </c>
      <c r="E11790">
        <v>4</v>
      </c>
      <c r="F11790" t="s">
        <v>11203</v>
      </c>
    </row>
    <row r="11791" spans="1:6" x14ac:dyDescent="0.25">
      <c r="A11791" t="s">
        <v>13142</v>
      </c>
      <c r="B11791" t="s">
        <v>3797</v>
      </c>
      <c r="C11791" t="s">
        <v>3798</v>
      </c>
      <c r="D11791" t="str">
        <f>HYPERLINK("http://service.sap.com/sap/support/notes/1865912","1865912")</f>
        <v>1865912</v>
      </c>
      <c r="E11791">
        <v>4</v>
      </c>
      <c r="F11791" t="s">
        <v>11202</v>
      </c>
    </row>
    <row r="11792" spans="1:6" x14ac:dyDescent="0.25">
      <c r="A11792" t="s">
        <v>13142</v>
      </c>
      <c r="B11792" t="s">
        <v>3797</v>
      </c>
      <c r="C11792" t="s">
        <v>3798</v>
      </c>
      <c r="D11792" t="str">
        <f>HYPERLINK("http://service.sap.com/sap/support/notes/1871994","1871994")</f>
        <v>1871994</v>
      </c>
      <c r="E11792">
        <v>4</v>
      </c>
      <c r="F11792" t="s">
        <v>11201</v>
      </c>
    </row>
    <row r="11793" spans="1:6" x14ac:dyDescent="0.25">
      <c r="A11793" t="s">
        <v>13142</v>
      </c>
      <c r="B11793" t="s">
        <v>3797</v>
      </c>
      <c r="C11793" t="s">
        <v>3798</v>
      </c>
      <c r="D11793" t="str">
        <f>HYPERLINK("http://service.sap.com/sap/support/notes/1872928","1872928")</f>
        <v>1872928</v>
      </c>
      <c r="E11793">
        <v>1</v>
      </c>
      <c r="F11793" t="s">
        <v>11200</v>
      </c>
    </row>
    <row r="11794" spans="1:6" x14ac:dyDescent="0.25">
      <c r="A11794" t="s">
        <v>13142</v>
      </c>
      <c r="B11794" t="s">
        <v>3797</v>
      </c>
      <c r="C11794" t="s">
        <v>3798</v>
      </c>
      <c r="D11794" t="str">
        <f>HYPERLINK("http://service.sap.com/sap/support/notes/1879993","1879993")</f>
        <v>1879993</v>
      </c>
      <c r="E11794">
        <v>1</v>
      </c>
      <c r="F11794" t="s">
        <v>11199</v>
      </c>
    </row>
    <row r="11795" spans="1:6" x14ac:dyDescent="0.25">
      <c r="A11795" t="s">
        <v>13142</v>
      </c>
      <c r="B11795" t="s">
        <v>3797</v>
      </c>
      <c r="C11795" t="s">
        <v>3798</v>
      </c>
      <c r="D11795" t="str">
        <f>HYPERLINK("http://service.sap.com/sap/support/notes/1883872","1883872")</f>
        <v>1883872</v>
      </c>
      <c r="E11795">
        <v>1</v>
      </c>
      <c r="F11795" t="s">
        <v>11198</v>
      </c>
    </row>
    <row r="11796" spans="1:6" x14ac:dyDescent="0.25">
      <c r="A11796" t="s">
        <v>13142</v>
      </c>
      <c r="B11796" t="s">
        <v>3797</v>
      </c>
      <c r="C11796" t="s">
        <v>3798</v>
      </c>
      <c r="D11796" t="str">
        <f>HYPERLINK("http://service.sap.com/sap/support/notes/1894567","1894567")</f>
        <v>1894567</v>
      </c>
      <c r="E11796">
        <v>1</v>
      </c>
      <c r="F11796" t="s">
        <v>11197</v>
      </c>
    </row>
    <row r="11797" spans="1:6" x14ac:dyDescent="0.25">
      <c r="A11797" t="s">
        <v>13142</v>
      </c>
      <c r="B11797" t="s">
        <v>3797</v>
      </c>
      <c r="C11797" t="s">
        <v>3798</v>
      </c>
      <c r="D11797" t="str">
        <f>HYPERLINK("http://service.sap.com/sap/support/notes/1894568","1894568")</f>
        <v>1894568</v>
      </c>
      <c r="E11797">
        <v>2</v>
      </c>
      <c r="F11797" t="s">
        <v>11196</v>
      </c>
    </row>
    <row r="11798" spans="1:6" x14ac:dyDescent="0.25">
      <c r="A11798" t="s">
        <v>13142</v>
      </c>
      <c r="B11798" t="s">
        <v>3797</v>
      </c>
      <c r="C11798" t="s">
        <v>3798</v>
      </c>
      <c r="D11798" t="str">
        <f>HYPERLINK("http://service.sap.com/sap/support/notes/1898500","1898500")</f>
        <v>1898500</v>
      </c>
      <c r="E11798">
        <v>1</v>
      </c>
      <c r="F11798" t="s">
        <v>11195</v>
      </c>
    </row>
    <row r="11799" spans="1:6" x14ac:dyDescent="0.25">
      <c r="A11799" t="s">
        <v>13142</v>
      </c>
      <c r="B11799" t="s">
        <v>3817</v>
      </c>
      <c r="C11799" t="s">
        <v>2477</v>
      </c>
      <c r="D11799" t="str">
        <f>HYPERLINK("http://service.sap.com/sap/support/notes/1848053","1848053")</f>
        <v>1848053</v>
      </c>
      <c r="E11799">
        <v>2</v>
      </c>
      <c r="F11799" t="s">
        <v>11194</v>
      </c>
    </row>
    <row r="11800" spans="1:6" x14ac:dyDescent="0.25">
      <c r="A11800" t="s">
        <v>13142</v>
      </c>
      <c r="B11800" t="s">
        <v>3817</v>
      </c>
      <c r="C11800" t="s">
        <v>2477</v>
      </c>
      <c r="D11800" t="str">
        <f>HYPERLINK("http://service.sap.com/sap/support/notes/1863026","1863026")</f>
        <v>1863026</v>
      </c>
      <c r="E11800">
        <v>2</v>
      </c>
      <c r="F11800" t="s">
        <v>11193</v>
      </c>
    </row>
    <row r="11801" spans="1:6" x14ac:dyDescent="0.25">
      <c r="A11801" t="s">
        <v>13142</v>
      </c>
      <c r="B11801" t="s">
        <v>3817</v>
      </c>
      <c r="C11801" t="s">
        <v>2477</v>
      </c>
      <c r="D11801" t="str">
        <f>HYPERLINK("http://service.sap.com/sap/support/notes/1870112","1870112")</f>
        <v>1870112</v>
      </c>
      <c r="E11801">
        <v>5</v>
      </c>
      <c r="F11801" t="s">
        <v>11192</v>
      </c>
    </row>
    <row r="11802" spans="1:6" x14ac:dyDescent="0.25">
      <c r="A11802" t="s">
        <v>13142</v>
      </c>
      <c r="B11802" t="s">
        <v>3817</v>
      </c>
      <c r="C11802" t="s">
        <v>2477</v>
      </c>
      <c r="D11802" t="str">
        <f>HYPERLINK("http://service.sap.com/sap/support/notes/1875011","1875011")</f>
        <v>1875011</v>
      </c>
      <c r="E11802">
        <v>1</v>
      </c>
      <c r="F11802" t="s">
        <v>11191</v>
      </c>
    </row>
    <row r="11803" spans="1:6" x14ac:dyDescent="0.25">
      <c r="A11803" t="s">
        <v>13142</v>
      </c>
      <c r="B11803" t="s">
        <v>3817</v>
      </c>
      <c r="C11803" t="s">
        <v>2477</v>
      </c>
      <c r="D11803" t="str">
        <f>HYPERLINK("http://service.sap.com/sap/support/notes/1887150","1887150")</f>
        <v>1887150</v>
      </c>
      <c r="E11803">
        <v>1</v>
      </c>
      <c r="F11803" t="s">
        <v>11190</v>
      </c>
    </row>
    <row r="11804" spans="1:6" x14ac:dyDescent="0.25">
      <c r="A11804" t="s">
        <v>13142</v>
      </c>
      <c r="B11804" t="s">
        <v>3817</v>
      </c>
      <c r="C11804" t="s">
        <v>2477</v>
      </c>
      <c r="D11804" t="str">
        <f>HYPERLINK("http://service.sap.com/sap/support/notes/1889187","1889187")</f>
        <v>1889187</v>
      </c>
      <c r="E11804">
        <v>2</v>
      </c>
      <c r="F11804" t="s">
        <v>11189</v>
      </c>
    </row>
    <row r="11805" spans="1:6" x14ac:dyDescent="0.25">
      <c r="A11805" t="s">
        <v>13142</v>
      </c>
      <c r="B11805" t="s">
        <v>3817</v>
      </c>
      <c r="C11805" t="s">
        <v>2477</v>
      </c>
      <c r="D11805" t="str">
        <f>HYPERLINK("http://service.sap.com/sap/support/notes/1891045","1891045")</f>
        <v>1891045</v>
      </c>
      <c r="E11805">
        <v>2</v>
      </c>
      <c r="F11805" t="s">
        <v>11188</v>
      </c>
    </row>
    <row r="11806" spans="1:6" x14ac:dyDescent="0.25">
      <c r="A11806" t="s">
        <v>13142</v>
      </c>
      <c r="B11806" t="s">
        <v>3817</v>
      </c>
      <c r="C11806" t="s">
        <v>2477</v>
      </c>
      <c r="D11806" t="str">
        <f>HYPERLINK("http://service.sap.com/sap/support/notes/1893451","1893451")</f>
        <v>1893451</v>
      </c>
      <c r="E11806">
        <v>2</v>
      </c>
      <c r="F11806" t="s">
        <v>11187</v>
      </c>
    </row>
    <row r="11807" spans="1:6" x14ac:dyDescent="0.25">
      <c r="A11807" t="s">
        <v>13142</v>
      </c>
      <c r="B11807" t="s">
        <v>3841</v>
      </c>
      <c r="C11807" t="s">
        <v>3842</v>
      </c>
      <c r="D11807" t="str">
        <f>HYPERLINK("http://service.sap.com/sap/support/notes/1666551","1666551")</f>
        <v>1666551</v>
      </c>
      <c r="E11807">
        <v>7</v>
      </c>
      <c r="F11807" t="s">
        <v>11186</v>
      </c>
    </row>
    <row r="11808" spans="1:6" x14ac:dyDescent="0.25">
      <c r="A11808" t="s">
        <v>13142</v>
      </c>
      <c r="B11808" t="s">
        <v>3841</v>
      </c>
      <c r="C11808" t="s">
        <v>3842</v>
      </c>
      <c r="D11808" t="str">
        <f>HYPERLINK("http://service.sap.com/sap/support/notes/1857469","1857469")</f>
        <v>1857469</v>
      </c>
      <c r="E11808">
        <v>2</v>
      </c>
      <c r="F11808" t="s">
        <v>11185</v>
      </c>
    </row>
    <row r="11809" spans="1:6" x14ac:dyDescent="0.25">
      <c r="A11809" t="s">
        <v>13142</v>
      </c>
      <c r="B11809" t="s">
        <v>3841</v>
      </c>
      <c r="C11809" t="s">
        <v>3842</v>
      </c>
      <c r="D11809" t="str">
        <f>HYPERLINK("http://service.sap.com/sap/support/notes/1871979","1871979")</f>
        <v>1871979</v>
      </c>
      <c r="E11809">
        <v>2</v>
      </c>
      <c r="F11809" t="s">
        <v>11184</v>
      </c>
    </row>
    <row r="11810" spans="1:6" x14ac:dyDescent="0.25">
      <c r="A11810" t="s">
        <v>13142</v>
      </c>
      <c r="B11810" t="s">
        <v>3841</v>
      </c>
      <c r="C11810" t="s">
        <v>3842</v>
      </c>
      <c r="D11810" t="str">
        <f>HYPERLINK("http://service.sap.com/sap/support/notes/1881757","1881757")</f>
        <v>1881757</v>
      </c>
      <c r="E11810">
        <v>1</v>
      </c>
      <c r="F11810" t="s">
        <v>11183</v>
      </c>
    </row>
    <row r="11811" spans="1:6" x14ac:dyDescent="0.25">
      <c r="A11811" t="s">
        <v>13142</v>
      </c>
      <c r="B11811" t="s">
        <v>3841</v>
      </c>
      <c r="C11811" t="s">
        <v>3842</v>
      </c>
      <c r="D11811" t="str">
        <f>HYPERLINK("http://service.sap.com/sap/support/notes/1882994","1882994")</f>
        <v>1882994</v>
      </c>
      <c r="E11811">
        <v>3</v>
      </c>
      <c r="F11811" t="s">
        <v>11182</v>
      </c>
    </row>
    <row r="11812" spans="1:6" x14ac:dyDescent="0.25">
      <c r="A11812" t="s">
        <v>13142</v>
      </c>
      <c r="B11812" t="s">
        <v>3841</v>
      </c>
      <c r="C11812" t="s">
        <v>3842</v>
      </c>
      <c r="D11812" t="str">
        <f>HYPERLINK("http://service.sap.com/sap/support/notes/1892866","1892866")</f>
        <v>1892866</v>
      </c>
      <c r="E11812">
        <v>2</v>
      </c>
      <c r="F11812" t="s">
        <v>11181</v>
      </c>
    </row>
    <row r="11813" spans="1:6" x14ac:dyDescent="0.25">
      <c r="A11813" t="s">
        <v>13142</v>
      </c>
      <c r="B11813" t="s">
        <v>3841</v>
      </c>
      <c r="C11813" t="s">
        <v>3842</v>
      </c>
      <c r="D11813" t="str">
        <f>HYPERLINK("http://service.sap.com/sap/support/notes/1907146","1907146")</f>
        <v>1907146</v>
      </c>
      <c r="E11813">
        <v>1</v>
      </c>
      <c r="F11813" t="s">
        <v>11180</v>
      </c>
    </row>
    <row r="11814" spans="1:6" x14ac:dyDescent="0.25">
      <c r="A11814" t="s">
        <v>13142</v>
      </c>
      <c r="B11814" t="s">
        <v>3845</v>
      </c>
      <c r="C11814" t="s">
        <v>1762</v>
      </c>
      <c r="D11814" t="str">
        <f>HYPERLINK("http://service.sap.com/sap/support/notes/1870109","1870109")</f>
        <v>1870109</v>
      </c>
      <c r="E11814">
        <v>1</v>
      </c>
      <c r="F11814" t="s">
        <v>11179</v>
      </c>
    </row>
    <row r="11815" spans="1:6" x14ac:dyDescent="0.25">
      <c r="A11815" t="s">
        <v>13142</v>
      </c>
      <c r="B11815" t="s">
        <v>3853</v>
      </c>
      <c r="C11815" t="s">
        <v>3854</v>
      </c>
    </row>
    <row r="11816" spans="1:6" x14ac:dyDescent="0.25">
      <c r="A11816" t="s">
        <v>13142</v>
      </c>
      <c r="B11816" t="s">
        <v>11177</v>
      </c>
      <c r="C11816" t="s">
        <v>198</v>
      </c>
      <c r="D11816" t="str">
        <f>HYPERLINK("http://service.sap.com/sap/support/notes/1747924","1747924")</f>
        <v>1747924</v>
      </c>
      <c r="E11816">
        <v>4</v>
      </c>
      <c r="F11816" t="s">
        <v>11178</v>
      </c>
    </row>
    <row r="11817" spans="1:6" x14ac:dyDescent="0.25">
      <c r="A11817" t="s">
        <v>13142</v>
      </c>
      <c r="B11817" t="s">
        <v>11177</v>
      </c>
      <c r="C11817" t="s">
        <v>198</v>
      </c>
      <c r="D11817" t="str">
        <f>HYPERLINK("http://service.sap.com/sap/support/notes/1751198","1751198")</f>
        <v>1751198</v>
      </c>
      <c r="E11817">
        <v>3</v>
      </c>
      <c r="F11817" t="s">
        <v>11176</v>
      </c>
    </row>
    <row r="11818" spans="1:6" x14ac:dyDescent="0.25">
      <c r="A11818" t="s">
        <v>13142</v>
      </c>
      <c r="B11818" t="s">
        <v>3857</v>
      </c>
      <c r="C11818" t="s">
        <v>3858</v>
      </c>
      <c r="D11818" t="str">
        <f>HYPERLINK("http://service.sap.com/sap/support/notes/1872843","1872843")</f>
        <v>1872843</v>
      </c>
      <c r="E11818">
        <v>1</v>
      </c>
      <c r="F11818" t="s">
        <v>11175</v>
      </c>
    </row>
    <row r="11819" spans="1:6" x14ac:dyDescent="0.25">
      <c r="A11819" t="s">
        <v>13142</v>
      </c>
      <c r="B11819" t="s">
        <v>6221</v>
      </c>
      <c r="C11819" t="s">
        <v>6222</v>
      </c>
      <c r="D11819" t="str">
        <f>HYPERLINK("http://service.sap.com/sap/support/notes/1895728","1895728")</f>
        <v>1895728</v>
      </c>
      <c r="E11819">
        <v>1</v>
      </c>
      <c r="F11819" t="s">
        <v>11174</v>
      </c>
    </row>
    <row r="11820" spans="1:6" x14ac:dyDescent="0.25">
      <c r="A11820" t="s">
        <v>13142</v>
      </c>
      <c r="B11820" t="s">
        <v>3859</v>
      </c>
      <c r="C11820" t="s">
        <v>3860</v>
      </c>
      <c r="D11820" t="str">
        <f>HYPERLINK("http://service.sap.com/sap/support/notes/1861506","1861506")</f>
        <v>1861506</v>
      </c>
      <c r="E11820">
        <v>1</v>
      </c>
      <c r="F11820" t="s">
        <v>11173</v>
      </c>
    </row>
    <row r="11821" spans="1:6" x14ac:dyDescent="0.25">
      <c r="A11821" t="s">
        <v>13142</v>
      </c>
      <c r="B11821" t="s">
        <v>3859</v>
      </c>
      <c r="C11821" t="s">
        <v>3860</v>
      </c>
      <c r="D11821" t="str">
        <f>HYPERLINK("http://service.sap.com/sap/support/notes/1867748","1867748")</f>
        <v>1867748</v>
      </c>
      <c r="E11821">
        <v>1</v>
      </c>
      <c r="F11821" t="s">
        <v>11172</v>
      </c>
    </row>
    <row r="11822" spans="1:6" x14ac:dyDescent="0.25">
      <c r="A11822" t="s">
        <v>13142</v>
      </c>
      <c r="B11822" t="s">
        <v>3859</v>
      </c>
      <c r="C11822" t="s">
        <v>3860</v>
      </c>
      <c r="D11822" t="str">
        <f>HYPERLINK("http://service.sap.com/sap/support/notes/1872954","1872954")</f>
        <v>1872954</v>
      </c>
      <c r="E11822">
        <v>1</v>
      </c>
      <c r="F11822" t="s">
        <v>11171</v>
      </c>
    </row>
    <row r="11823" spans="1:6" x14ac:dyDescent="0.25">
      <c r="A11823" t="s">
        <v>13142</v>
      </c>
      <c r="B11823" t="s">
        <v>3859</v>
      </c>
      <c r="C11823" t="s">
        <v>3860</v>
      </c>
      <c r="D11823" t="str">
        <f>HYPERLINK("http://service.sap.com/sap/support/notes/1889882","1889882")</f>
        <v>1889882</v>
      </c>
      <c r="E11823">
        <v>2</v>
      </c>
      <c r="F11823" t="s">
        <v>11170</v>
      </c>
    </row>
    <row r="11824" spans="1:6" x14ac:dyDescent="0.25">
      <c r="A11824" t="s">
        <v>13142</v>
      </c>
      <c r="B11824" t="s">
        <v>3859</v>
      </c>
      <c r="C11824" t="s">
        <v>3860</v>
      </c>
      <c r="D11824" t="str">
        <f>HYPERLINK("http://service.sap.com/sap/support/notes/1891414","1891414")</f>
        <v>1891414</v>
      </c>
      <c r="E11824">
        <v>1</v>
      </c>
      <c r="F11824" t="s">
        <v>11169</v>
      </c>
    </row>
    <row r="11825" spans="1:6" x14ac:dyDescent="0.25">
      <c r="A11825" t="s">
        <v>13142</v>
      </c>
      <c r="B11825" t="s">
        <v>3867</v>
      </c>
      <c r="C11825" t="s">
        <v>198</v>
      </c>
      <c r="D11825" t="str">
        <f>HYPERLINK("http://service.sap.com/sap/support/notes/1831800","1831800")</f>
        <v>1831800</v>
      </c>
      <c r="E11825">
        <v>5</v>
      </c>
      <c r="F11825" t="s">
        <v>8692</v>
      </c>
    </row>
    <row r="11826" spans="1:6" x14ac:dyDescent="0.25">
      <c r="A11826" t="s">
        <v>13142</v>
      </c>
      <c r="B11826" t="s">
        <v>3867</v>
      </c>
      <c r="C11826" t="s">
        <v>198</v>
      </c>
      <c r="D11826" t="str">
        <f>HYPERLINK("http://service.sap.com/sap/support/notes/1865215","1865215")</f>
        <v>1865215</v>
      </c>
      <c r="E11826">
        <v>1</v>
      </c>
      <c r="F11826" t="s">
        <v>11168</v>
      </c>
    </row>
    <row r="11827" spans="1:6" x14ac:dyDescent="0.25">
      <c r="A11827" t="s">
        <v>13142</v>
      </c>
      <c r="B11827" t="s">
        <v>3867</v>
      </c>
      <c r="C11827" t="s">
        <v>198</v>
      </c>
      <c r="D11827" t="str">
        <f>HYPERLINK("http://service.sap.com/sap/support/notes/1887489","1887489")</f>
        <v>1887489</v>
      </c>
      <c r="E11827">
        <v>1</v>
      </c>
      <c r="F11827" t="s">
        <v>11167</v>
      </c>
    </row>
    <row r="11828" spans="1:6" x14ac:dyDescent="0.25">
      <c r="A11828" t="s">
        <v>13142</v>
      </c>
      <c r="B11828" t="s">
        <v>3867</v>
      </c>
      <c r="C11828" t="s">
        <v>198</v>
      </c>
      <c r="D11828" t="str">
        <f>HYPERLINK("http://service.sap.com/sap/support/notes/1900125","1900125")</f>
        <v>1900125</v>
      </c>
      <c r="E11828">
        <v>1</v>
      </c>
      <c r="F11828" t="s">
        <v>11166</v>
      </c>
    </row>
    <row r="11829" spans="1:6" x14ac:dyDescent="0.25">
      <c r="A11829" t="s">
        <v>13142</v>
      </c>
      <c r="B11829" t="s">
        <v>10778</v>
      </c>
      <c r="C11829" t="s">
        <v>10779</v>
      </c>
      <c r="D11829" t="str">
        <f>HYPERLINK("http://service.sap.com/sap/support/notes/1862037","1862037")</f>
        <v>1862037</v>
      </c>
      <c r="E11829">
        <v>2</v>
      </c>
      <c r="F11829" t="s">
        <v>11165</v>
      </c>
    </row>
    <row r="11830" spans="1:6" x14ac:dyDescent="0.25">
      <c r="A11830" t="s">
        <v>13142</v>
      </c>
      <c r="B11830" t="s">
        <v>10778</v>
      </c>
      <c r="C11830" t="s">
        <v>10779</v>
      </c>
      <c r="D11830" t="str">
        <f>HYPERLINK("http://service.sap.com/sap/support/notes/1869003","1869003")</f>
        <v>1869003</v>
      </c>
      <c r="E11830">
        <v>1</v>
      </c>
      <c r="F11830" t="s">
        <v>11164</v>
      </c>
    </row>
    <row r="11831" spans="1:6" x14ac:dyDescent="0.25">
      <c r="A11831" t="s">
        <v>13142</v>
      </c>
      <c r="B11831" t="s">
        <v>3882</v>
      </c>
      <c r="C11831" t="s">
        <v>3883</v>
      </c>
      <c r="D11831" t="str">
        <f>HYPERLINK("http://service.sap.com/sap/support/notes/1857327","1857327")</f>
        <v>1857327</v>
      </c>
      <c r="E11831">
        <v>8</v>
      </c>
      <c r="F11831" t="s">
        <v>10793</v>
      </c>
    </row>
    <row r="11832" spans="1:6" x14ac:dyDescent="0.25">
      <c r="A11832" t="s">
        <v>13142</v>
      </c>
      <c r="B11832" t="s">
        <v>3882</v>
      </c>
      <c r="C11832" t="s">
        <v>3883</v>
      </c>
      <c r="D11832" t="str">
        <f>HYPERLINK("http://service.sap.com/sap/support/notes/1861497","1861497")</f>
        <v>1861497</v>
      </c>
      <c r="E11832">
        <v>4</v>
      </c>
      <c r="F11832" t="s">
        <v>11163</v>
      </c>
    </row>
    <row r="11833" spans="1:6" x14ac:dyDescent="0.25">
      <c r="A11833" t="s">
        <v>13142</v>
      </c>
      <c r="B11833" t="s">
        <v>3882</v>
      </c>
      <c r="C11833" t="s">
        <v>3883</v>
      </c>
      <c r="D11833" t="str">
        <f>HYPERLINK("http://service.sap.com/sap/support/notes/1866800","1866800")</f>
        <v>1866800</v>
      </c>
      <c r="E11833">
        <v>2</v>
      </c>
      <c r="F11833" t="s">
        <v>11162</v>
      </c>
    </row>
    <row r="11834" spans="1:6" x14ac:dyDescent="0.25">
      <c r="A11834" t="s">
        <v>13142</v>
      </c>
      <c r="B11834" t="s">
        <v>3882</v>
      </c>
      <c r="C11834" t="s">
        <v>3883</v>
      </c>
      <c r="D11834" t="str">
        <f>HYPERLINK("http://service.sap.com/sap/support/notes/1868890","1868890")</f>
        <v>1868890</v>
      </c>
      <c r="E11834">
        <v>4</v>
      </c>
      <c r="F11834" t="s">
        <v>11161</v>
      </c>
    </row>
    <row r="11835" spans="1:6" x14ac:dyDescent="0.25">
      <c r="A11835" t="s">
        <v>13142</v>
      </c>
      <c r="B11835" t="s">
        <v>3882</v>
      </c>
      <c r="C11835" t="s">
        <v>3883</v>
      </c>
      <c r="D11835" t="str">
        <f>HYPERLINK("http://service.sap.com/sap/support/notes/1872845","1872845")</f>
        <v>1872845</v>
      </c>
      <c r="E11835">
        <v>4</v>
      </c>
      <c r="F11835" t="s">
        <v>11160</v>
      </c>
    </row>
    <row r="11836" spans="1:6" x14ac:dyDescent="0.25">
      <c r="A11836" t="s">
        <v>13142</v>
      </c>
      <c r="B11836" t="s">
        <v>3882</v>
      </c>
      <c r="C11836" t="s">
        <v>3883</v>
      </c>
      <c r="D11836" t="str">
        <f>HYPERLINK("http://service.sap.com/sap/support/notes/1872847","1872847")</f>
        <v>1872847</v>
      </c>
      <c r="E11836">
        <v>3</v>
      </c>
      <c r="F11836" t="s">
        <v>11159</v>
      </c>
    </row>
    <row r="11837" spans="1:6" x14ac:dyDescent="0.25">
      <c r="A11837" t="s">
        <v>13142</v>
      </c>
      <c r="B11837" t="s">
        <v>3882</v>
      </c>
      <c r="C11837" t="s">
        <v>3883</v>
      </c>
      <c r="D11837" t="str">
        <f>HYPERLINK("http://service.sap.com/sap/support/notes/1875988","1875988")</f>
        <v>1875988</v>
      </c>
      <c r="E11837">
        <v>3</v>
      </c>
      <c r="F11837" t="s">
        <v>11158</v>
      </c>
    </row>
    <row r="11838" spans="1:6" x14ac:dyDescent="0.25">
      <c r="A11838" t="s">
        <v>13142</v>
      </c>
      <c r="B11838" t="s">
        <v>3882</v>
      </c>
      <c r="C11838" t="s">
        <v>3883</v>
      </c>
      <c r="D11838" t="str">
        <f>HYPERLINK("http://service.sap.com/sap/support/notes/1876741","1876741")</f>
        <v>1876741</v>
      </c>
      <c r="E11838">
        <v>3</v>
      </c>
      <c r="F11838" t="s">
        <v>11157</v>
      </c>
    </row>
    <row r="11839" spans="1:6" x14ac:dyDescent="0.25">
      <c r="A11839" t="s">
        <v>13142</v>
      </c>
      <c r="B11839" t="s">
        <v>3882</v>
      </c>
      <c r="C11839" t="s">
        <v>3883</v>
      </c>
      <c r="D11839" t="str">
        <f>HYPERLINK("http://service.sap.com/sap/support/notes/1877954","1877954")</f>
        <v>1877954</v>
      </c>
      <c r="E11839">
        <v>3</v>
      </c>
      <c r="F11839" t="s">
        <v>11156</v>
      </c>
    </row>
    <row r="11840" spans="1:6" x14ac:dyDescent="0.25">
      <c r="A11840" t="s">
        <v>13142</v>
      </c>
      <c r="B11840" t="s">
        <v>3882</v>
      </c>
      <c r="C11840" t="s">
        <v>3883</v>
      </c>
      <c r="D11840" t="str">
        <f>HYPERLINK("http://service.sap.com/sap/support/notes/1877993","1877993")</f>
        <v>1877993</v>
      </c>
      <c r="E11840">
        <v>5</v>
      </c>
      <c r="F11840" t="s">
        <v>11155</v>
      </c>
    </row>
    <row r="11841" spans="1:6" x14ac:dyDescent="0.25">
      <c r="A11841" t="s">
        <v>13142</v>
      </c>
      <c r="B11841" t="s">
        <v>3882</v>
      </c>
      <c r="C11841" t="s">
        <v>3883</v>
      </c>
      <c r="D11841" t="str">
        <f>HYPERLINK("http://service.sap.com/sap/support/notes/1878103","1878103")</f>
        <v>1878103</v>
      </c>
      <c r="E11841">
        <v>4</v>
      </c>
      <c r="F11841" t="s">
        <v>11154</v>
      </c>
    </row>
    <row r="11842" spans="1:6" x14ac:dyDescent="0.25">
      <c r="A11842" t="s">
        <v>13142</v>
      </c>
      <c r="B11842" t="s">
        <v>3882</v>
      </c>
      <c r="C11842" t="s">
        <v>3883</v>
      </c>
      <c r="D11842" t="str">
        <f>HYPERLINK("http://service.sap.com/sap/support/notes/1878194","1878194")</f>
        <v>1878194</v>
      </c>
      <c r="E11842">
        <v>5</v>
      </c>
      <c r="F11842" t="s">
        <v>11153</v>
      </c>
    </row>
    <row r="11843" spans="1:6" x14ac:dyDescent="0.25">
      <c r="A11843" t="s">
        <v>13142</v>
      </c>
      <c r="B11843" t="s">
        <v>3882</v>
      </c>
      <c r="C11843" t="s">
        <v>3883</v>
      </c>
      <c r="D11843" t="str">
        <f>HYPERLINK("http://service.sap.com/sap/support/notes/1883784","1883784")</f>
        <v>1883784</v>
      </c>
      <c r="E11843">
        <v>2</v>
      </c>
      <c r="F11843" t="s">
        <v>11152</v>
      </c>
    </row>
    <row r="11844" spans="1:6" x14ac:dyDescent="0.25">
      <c r="A11844" t="s">
        <v>13142</v>
      </c>
      <c r="B11844" t="s">
        <v>3882</v>
      </c>
      <c r="C11844" t="s">
        <v>3883</v>
      </c>
      <c r="D11844" t="str">
        <f>HYPERLINK("http://service.sap.com/sap/support/notes/1891113","1891113")</f>
        <v>1891113</v>
      </c>
      <c r="E11844">
        <v>4</v>
      </c>
      <c r="F11844" t="s">
        <v>11151</v>
      </c>
    </row>
    <row r="11845" spans="1:6" x14ac:dyDescent="0.25">
      <c r="A11845" t="s">
        <v>13142</v>
      </c>
      <c r="B11845" t="s">
        <v>3882</v>
      </c>
      <c r="C11845" t="s">
        <v>3883</v>
      </c>
      <c r="D11845" t="str">
        <f>HYPERLINK("http://service.sap.com/sap/support/notes/1895581","1895581")</f>
        <v>1895581</v>
      </c>
      <c r="E11845">
        <v>1</v>
      </c>
      <c r="F11845" t="s">
        <v>11150</v>
      </c>
    </row>
    <row r="11846" spans="1:6" x14ac:dyDescent="0.25">
      <c r="A11846" t="s">
        <v>13142</v>
      </c>
      <c r="B11846" t="s">
        <v>3882</v>
      </c>
      <c r="C11846" t="s">
        <v>3883</v>
      </c>
      <c r="D11846" t="str">
        <f>HYPERLINK("http://service.sap.com/sap/support/notes/1896816","1896816")</f>
        <v>1896816</v>
      </c>
      <c r="E11846">
        <v>1</v>
      </c>
      <c r="F11846" t="s">
        <v>11149</v>
      </c>
    </row>
    <row r="11847" spans="1:6" x14ac:dyDescent="0.25">
      <c r="A11847" t="s">
        <v>13142</v>
      </c>
      <c r="B11847" t="s">
        <v>3882</v>
      </c>
      <c r="C11847" t="s">
        <v>3883</v>
      </c>
      <c r="D11847" t="str">
        <f>HYPERLINK("http://service.sap.com/sap/support/notes/1897763","1897763")</f>
        <v>1897763</v>
      </c>
      <c r="E11847">
        <v>1</v>
      </c>
      <c r="F11847" t="s">
        <v>11148</v>
      </c>
    </row>
    <row r="11848" spans="1:6" x14ac:dyDescent="0.25">
      <c r="A11848" t="s">
        <v>13142</v>
      </c>
      <c r="B11848" t="s">
        <v>3882</v>
      </c>
      <c r="C11848" t="s">
        <v>3883</v>
      </c>
      <c r="D11848" t="str">
        <f>HYPERLINK("http://service.sap.com/sap/support/notes/1900708","1900708")</f>
        <v>1900708</v>
      </c>
      <c r="E11848">
        <v>3</v>
      </c>
      <c r="F11848" t="s">
        <v>11147</v>
      </c>
    </row>
    <row r="11849" spans="1:6" x14ac:dyDescent="0.25">
      <c r="A11849" t="s">
        <v>13142</v>
      </c>
      <c r="B11849" t="s">
        <v>3882</v>
      </c>
      <c r="C11849" t="s">
        <v>3883</v>
      </c>
      <c r="D11849" t="str">
        <f>HYPERLINK("http://service.sap.com/sap/support/notes/1901002","1901002")</f>
        <v>1901002</v>
      </c>
      <c r="E11849">
        <v>4</v>
      </c>
      <c r="F11849" t="s">
        <v>11146</v>
      </c>
    </row>
    <row r="11850" spans="1:6" x14ac:dyDescent="0.25">
      <c r="A11850" t="s">
        <v>13142</v>
      </c>
      <c r="B11850" t="s">
        <v>8708</v>
      </c>
      <c r="C11850" t="s">
        <v>8709</v>
      </c>
    </row>
    <row r="11851" spans="1:6" x14ac:dyDescent="0.25">
      <c r="A11851" t="s">
        <v>13142</v>
      </c>
      <c r="B11851" t="s">
        <v>11144</v>
      </c>
      <c r="C11851" t="s">
        <v>198</v>
      </c>
      <c r="D11851" t="str">
        <f>HYPERLINK("http://service.sap.com/sap/support/notes/1878912","1878912")</f>
        <v>1878912</v>
      </c>
      <c r="E11851">
        <v>1</v>
      </c>
      <c r="F11851" t="s">
        <v>11145</v>
      </c>
    </row>
    <row r="11852" spans="1:6" x14ac:dyDescent="0.25">
      <c r="A11852" t="s">
        <v>13142</v>
      </c>
      <c r="B11852" t="s">
        <v>11144</v>
      </c>
      <c r="C11852" t="s">
        <v>198</v>
      </c>
      <c r="D11852" t="str">
        <f>HYPERLINK("http://service.sap.com/sap/support/notes/1891707","1891707")</f>
        <v>1891707</v>
      </c>
      <c r="E11852">
        <v>2</v>
      </c>
      <c r="F11852" t="s">
        <v>11143</v>
      </c>
    </row>
    <row r="11853" spans="1:6" x14ac:dyDescent="0.25">
      <c r="A11853" t="s">
        <v>13142</v>
      </c>
      <c r="B11853" t="s">
        <v>8725</v>
      </c>
      <c r="C11853" t="s">
        <v>8726</v>
      </c>
      <c r="D11853" t="str">
        <f>HYPERLINK("http://service.sap.com/sap/support/notes/1870251","1870251")</f>
        <v>1870251</v>
      </c>
      <c r="E11853">
        <v>1</v>
      </c>
      <c r="F11853" t="s">
        <v>11142</v>
      </c>
    </row>
    <row r="11854" spans="1:6" x14ac:dyDescent="0.25">
      <c r="A11854" t="s">
        <v>13142</v>
      </c>
      <c r="B11854" t="s">
        <v>11141</v>
      </c>
      <c r="C11854" t="s">
        <v>11140</v>
      </c>
    </row>
    <row r="11855" spans="1:6" x14ac:dyDescent="0.25">
      <c r="A11855" t="s">
        <v>13142</v>
      </c>
      <c r="B11855" t="s">
        <v>11139</v>
      </c>
      <c r="C11855" t="s">
        <v>2999</v>
      </c>
      <c r="D11855" t="str">
        <f>HYPERLINK("http://service.sap.com/sap/support/notes/1861728","1861728")</f>
        <v>1861728</v>
      </c>
      <c r="E11855">
        <v>9</v>
      </c>
      <c r="F11855" t="s">
        <v>11138</v>
      </c>
    </row>
    <row r="11856" spans="1:6" x14ac:dyDescent="0.25">
      <c r="A11856" t="s">
        <v>13142</v>
      </c>
      <c r="B11856" t="s">
        <v>3904</v>
      </c>
      <c r="C11856" t="s">
        <v>3905</v>
      </c>
    </row>
    <row r="11857" spans="1:6" x14ac:dyDescent="0.25">
      <c r="A11857" t="s">
        <v>13142</v>
      </c>
      <c r="B11857" t="s">
        <v>3906</v>
      </c>
      <c r="C11857" t="s">
        <v>198</v>
      </c>
      <c r="D11857" t="str">
        <f>HYPERLINK("http://service.sap.com/sap/support/notes/1806956","1806956")</f>
        <v>1806956</v>
      </c>
      <c r="E11857">
        <v>2</v>
      </c>
      <c r="F11857" t="s">
        <v>11137</v>
      </c>
    </row>
    <row r="11858" spans="1:6" x14ac:dyDescent="0.25">
      <c r="A11858" t="s">
        <v>13142</v>
      </c>
      <c r="B11858" t="s">
        <v>3906</v>
      </c>
      <c r="C11858" t="s">
        <v>198</v>
      </c>
      <c r="D11858" t="str">
        <f>HYPERLINK("http://service.sap.com/sap/support/notes/1878156","1878156")</f>
        <v>1878156</v>
      </c>
      <c r="E11858">
        <v>2</v>
      </c>
      <c r="F11858" t="s">
        <v>11136</v>
      </c>
    </row>
    <row r="11859" spans="1:6" x14ac:dyDescent="0.25">
      <c r="A11859" t="s">
        <v>13142</v>
      </c>
      <c r="B11859" t="s">
        <v>3906</v>
      </c>
      <c r="C11859" t="s">
        <v>198</v>
      </c>
      <c r="D11859" t="str">
        <f>HYPERLINK("http://service.sap.com/sap/support/notes/1884123","1884123")</f>
        <v>1884123</v>
      </c>
      <c r="E11859">
        <v>1</v>
      </c>
      <c r="F11859" t="s">
        <v>11135</v>
      </c>
    </row>
    <row r="11860" spans="1:6" x14ac:dyDescent="0.25">
      <c r="A11860" t="s">
        <v>13142</v>
      </c>
      <c r="B11860" t="s">
        <v>6273</v>
      </c>
      <c r="C11860" t="s">
        <v>2999</v>
      </c>
      <c r="D11860" t="str">
        <f>HYPERLINK("http://service.sap.com/sap/support/notes/1786186","1786186")</f>
        <v>1786186</v>
      </c>
      <c r="E11860">
        <v>3</v>
      </c>
      <c r="F11860" t="s">
        <v>11134</v>
      </c>
    </row>
    <row r="11861" spans="1:6" x14ac:dyDescent="0.25">
      <c r="A11861" t="s">
        <v>13142</v>
      </c>
      <c r="B11861" t="s">
        <v>3908</v>
      </c>
      <c r="C11861" t="s">
        <v>3909</v>
      </c>
    </row>
    <row r="11862" spans="1:6" x14ac:dyDescent="0.25">
      <c r="A11862" t="s">
        <v>13142</v>
      </c>
      <c r="B11862" t="s">
        <v>3914</v>
      </c>
      <c r="C11862" t="s">
        <v>3915</v>
      </c>
      <c r="D11862" t="str">
        <f>HYPERLINK("http://service.sap.com/sap/support/notes/1810348","1810348")</f>
        <v>1810348</v>
      </c>
      <c r="E11862">
        <v>3</v>
      </c>
      <c r="F11862" t="s">
        <v>11133</v>
      </c>
    </row>
    <row r="11863" spans="1:6" x14ac:dyDescent="0.25">
      <c r="A11863" t="s">
        <v>13142</v>
      </c>
      <c r="B11863" t="s">
        <v>3914</v>
      </c>
      <c r="C11863" t="s">
        <v>3915</v>
      </c>
      <c r="D11863" t="str">
        <f>HYPERLINK("http://service.sap.com/sap/support/notes/1830832","1830832")</f>
        <v>1830832</v>
      </c>
      <c r="E11863">
        <v>5</v>
      </c>
      <c r="F11863" t="s">
        <v>11132</v>
      </c>
    </row>
    <row r="11864" spans="1:6" x14ac:dyDescent="0.25">
      <c r="A11864" t="s">
        <v>13142</v>
      </c>
      <c r="B11864" t="s">
        <v>3914</v>
      </c>
      <c r="C11864" t="s">
        <v>3915</v>
      </c>
      <c r="D11864" t="str">
        <f>HYPERLINK("http://service.sap.com/sap/support/notes/1833066","1833066")</f>
        <v>1833066</v>
      </c>
      <c r="E11864">
        <v>3</v>
      </c>
      <c r="F11864" t="s">
        <v>11131</v>
      </c>
    </row>
    <row r="11865" spans="1:6" x14ac:dyDescent="0.25">
      <c r="A11865" t="s">
        <v>13142</v>
      </c>
      <c r="B11865" t="s">
        <v>3914</v>
      </c>
      <c r="C11865" t="s">
        <v>3915</v>
      </c>
      <c r="D11865" t="str">
        <f>HYPERLINK("http://service.sap.com/sap/support/notes/1833256","1833256")</f>
        <v>1833256</v>
      </c>
      <c r="E11865">
        <v>2</v>
      </c>
      <c r="F11865" t="s">
        <v>11130</v>
      </c>
    </row>
    <row r="11866" spans="1:6" x14ac:dyDescent="0.25">
      <c r="A11866" t="s">
        <v>13142</v>
      </c>
      <c r="B11866" t="s">
        <v>3914</v>
      </c>
      <c r="C11866" t="s">
        <v>3915</v>
      </c>
      <c r="D11866" t="str">
        <f>HYPERLINK("http://service.sap.com/sap/support/notes/1835712","1835712")</f>
        <v>1835712</v>
      </c>
      <c r="E11866">
        <v>4</v>
      </c>
      <c r="F11866" t="s">
        <v>11129</v>
      </c>
    </row>
    <row r="11867" spans="1:6" x14ac:dyDescent="0.25">
      <c r="A11867" t="s">
        <v>13142</v>
      </c>
      <c r="B11867" t="s">
        <v>3914</v>
      </c>
      <c r="C11867" t="s">
        <v>3915</v>
      </c>
      <c r="D11867" t="str">
        <f>HYPERLINK("http://service.sap.com/sap/support/notes/1843311","1843311")</f>
        <v>1843311</v>
      </c>
      <c r="E11867">
        <v>3</v>
      </c>
      <c r="F11867" t="s">
        <v>11128</v>
      </c>
    </row>
    <row r="11868" spans="1:6" x14ac:dyDescent="0.25">
      <c r="A11868" t="s">
        <v>13142</v>
      </c>
      <c r="B11868" t="s">
        <v>3914</v>
      </c>
      <c r="C11868" t="s">
        <v>3915</v>
      </c>
      <c r="D11868" t="str">
        <f>HYPERLINK("http://service.sap.com/sap/support/notes/1843590","1843590")</f>
        <v>1843590</v>
      </c>
      <c r="E11868">
        <v>2</v>
      </c>
      <c r="F11868" t="s">
        <v>11127</v>
      </c>
    </row>
    <row r="11869" spans="1:6" x14ac:dyDescent="0.25">
      <c r="A11869" t="s">
        <v>13142</v>
      </c>
      <c r="B11869" t="s">
        <v>3914</v>
      </c>
      <c r="C11869" t="s">
        <v>3915</v>
      </c>
      <c r="D11869" t="str">
        <f>HYPERLINK("http://service.sap.com/sap/support/notes/1847679","1847679")</f>
        <v>1847679</v>
      </c>
      <c r="E11869">
        <v>1</v>
      </c>
      <c r="F11869" t="s">
        <v>11126</v>
      </c>
    </row>
    <row r="11870" spans="1:6" x14ac:dyDescent="0.25">
      <c r="A11870" t="s">
        <v>13142</v>
      </c>
      <c r="B11870" t="s">
        <v>3914</v>
      </c>
      <c r="C11870" t="s">
        <v>3915</v>
      </c>
      <c r="D11870" t="str">
        <f>HYPERLINK("http://service.sap.com/sap/support/notes/1858869","1858869")</f>
        <v>1858869</v>
      </c>
      <c r="E11870">
        <v>1</v>
      </c>
      <c r="F11870" t="s">
        <v>11125</v>
      </c>
    </row>
    <row r="11871" spans="1:6" x14ac:dyDescent="0.25">
      <c r="A11871" t="s">
        <v>13142</v>
      </c>
      <c r="B11871" t="s">
        <v>3914</v>
      </c>
      <c r="C11871" t="s">
        <v>3915</v>
      </c>
      <c r="D11871" t="str">
        <f>HYPERLINK("http://service.sap.com/sap/support/notes/1861582","1861582")</f>
        <v>1861582</v>
      </c>
      <c r="E11871">
        <v>2</v>
      </c>
      <c r="F11871" t="s">
        <v>11124</v>
      </c>
    </row>
    <row r="11872" spans="1:6" x14ac:dyDescent="0.25">
      <c r="A11872" t="s">
        <v>13142</v>
      </c>
      <c r="B11872" t="s">
        <v>3914</v>
      </c>
      <c r="C11872" t="s">
        <v>3915</v>
      </c>
      <c r="D11872" t="str">
        <f>HYPERLINK("http://service.sap.com/sap/support/notes/1862197","1862197")</f>
        <v>1862197</v>
      </c>
      <c r="E11872">
        <v>1</v>
      </c>
      <c r="F11872" t="s">
        <v>11123</v>
      </c>
    </row>
    <row r="11873" spans="1:6" x14ac:dyDescent="0.25">
      <c r="A11873" t="s">
        <v>13142</v>
      </c>
      <c r="B11873" t="s">
        <v>3914</v>
      </c>
      <c r="C11873" t="s">
        <v>3915</v>
      </c>
      <c r="D11873" t="str">
        <f>HYPERLINK("http://service.sap.com/sap/support/notes/1870471","1870471")</f>
        <v>1870471</v>
      </c>
      <c r="E11873">
        <v>1</v>
      </c>
      <c r="F11873" t="s">
        <v>11122</v>
      </c>
    </row>
    <row r="11874" spans="1:6" x14ac:dyDescent="0.25">
      <c r="A11874" t="s">
        <v>13142</v>
      </c>
      <c r="B11874" t="s">
        <v>3914</v>
      </c>
      <c r="C11874" t="s">
        <v>3915</v>
      </c>
      <c r="D11874" t="str">
        <f>HYPERLINK("http://service.sap.com/sap/support/notes/1872212","1872212")</f>
        <v>1872212</v>
      </c>
      <c r="E11874">
        <v>2</v>
      </c>
      <c r="F11874" t="s">
        <v>11121</v>
      </c>
    </row>
    <row r="11875" spans="1:6" x14ac:dyDescent="0.25">
      <c r="A11875" t="s">
        <v>13142</v>
      </c>
      <c r="B11875" t="s">
        <v>3914</v>
      </c>
      <c r="C11875" t="s">
        <v>3915</v>
      </c>
      <c r="D11875" t="str">
        <f>HYPERLINK("http://service.sap.com/sap/support/notes/1873488","1873488")</f>
        <v>1873488</v>
      </c>
      <c r="E11875">
        <v>3</v>
      </c>
      <c r="F11875" t="s">
        <v>11120</v>
      </c>
    </row>
    <row r="11876" spans="1:6" x14ac:dyDescent="0.25">
      <c r="A11876" t="s">
        <v>13142</v>
      </c>
      <c r="B11876" t="s">
        <v>3914</v>
      </c>
      <c r="C11876" t="s">
        <v>3915</v>
      </c>
      <c r="D11876" t="str">
        <f>HYPERLINK("http://service.sap.com/sap/support/notes/1878098","1878098")</f>
        <v>1878098</v>
      </c>
      <c r="E11876">
        <v>2</v>
      </c>
      <c r="F11876" t="s">
        <v>11119</v>
      </c>
    </row>
    <row r="11877" spans="1:6" x14ac:dyDescent="0.25">
      <c r="A11877" t="s">
        <v>13142</v>
      </c>
      <c r="B11877" t="s">
        <v>3914</v>
      </c>
      <c r="C11877" t="s">
        <v>3915</v>
      </c>
      <c r="D11877" t="str">
        <f>HYPERLINK("http://service.sap.com/sap/support/notes/1879672","1879672")</f>
        <v>1879672</v>
      </c>
      <c r="E11877">
        <v>1</v>
      </c>
      <c r="F11877" t="s">
        <v>11118</v>
      </c>
    </row>
    <row r="11878" spans="1:6" x14ac:dyDescent="0.25">
      <c r="A11878" t="s">
        <v>13142</v>
      </c>
      <c r="B11878" t="s">
        <v>3914</v>
      </c>
      <c r="C11878" t="s">
        <v>3915</v>
      </c>
      <c r="D11878" t="str">
        <f>HYPERLINK("http://service.sap.com/sap/support/notes/1882121","1882121")</f>
        <v>1882121</v>
      </c>
      <c r="E11878">
        <v>2</v>
      </c>
      <c r="F11878" t="s">
        <v>11117</v>
      </c>
    </row>
    <row r="11879" spans="1:6" x14ac:dyDescent="0.25">
      <c r="A11879" t="s">
        <v>13142</v>
      </c>
      <c r="B11879" t="s">
        <v>3914</v>
      </c>
      <c r="C11879" t="s">
        <v>3915</v>
      </c>
      <c r="D11879" t="str">
        <f>HYPERLINK("http://service.sap.com/sap/support/notes/1884403","1884403")</f>
        <v>1884403</v>
      </c>
      <c r="E11879">
        <v>3</v>
      </c>
      <c r="F11879" t="s">
        <v>11116</v>
      </c>
    </row>
    <row r="11880" spans="1:6" x14ac:dyDescent="0.25">
      <c r="A11880" t="s">
        <v>13142</v>
      </c>
      <c r="B11880" t="s">
        <v>3914</v>
      </c>
      <c r="C11880" t="s">
        <v>3915</v>
      </c>
      <c r="D11880" t="str">
        <f>HYPERLINK("http://service.sap.com/sap/support/notes/1885245","1885245")</f>
        <v>1885245</v>
      </c>
      <c r="E11880">
        <v>4</v>
      </c>
      <c r="F11880" t="s">
        <v>11115</v>
      </c>
    </row>
    <row r="11881" spans="1:6" x14ac:dyDescent="0.25">
      <c r="A11881" t="s">
        <v>13142</v>
      </c>
      <c r="B11881" t="s">
        <v>3914</v>
      </c>
      <c r="C11881" t="s">
        <v>3915</v>
      </c>
      <c r="D11881" t="str">
        <f>HYPERLINK("http://service.sap.com/sap/support/notes/1885788","1885788")</f>
        <v>1885788</v>
      </c>
      <c r="E11881">
        <v>1</v>
      </c>
      <c r="F11881" t="s">
        <v>11114</v>
      </c>
    </row>
    <row r="11882" spans="1:6" x14ac:dyDescent="0.25">
      <c r="A11882" t="s">
        <v>13142</v>
      </c>
      <c r="B11882" t="s">
        <v>3914</v>
      </c>
      <c r="C11882" t="s">
        <v>3915</v>
      </c>
      <c r="D11882" t="str">
        <f>HYPERLINK("http://service.sap.com/sap/support/notes/1888018","1888018")</f>
        <v>1888018</v>
      </c>
      <c r="E11882">
        <v>1</v>
      </c>
      <c r="F11882" t="s">
        <v>11113</v>
      </c>
    </row>
    <row r="11883" spans="1:6" x14ac:dyDescent="0.25">
      <c r="A11883" t="s">
        <v>13142</v>
      </c>
      <c r="B11883" t="s">
        <v>3914</v>
      </c>
      <c r="C11883" t="s">
        <v>3915</v>
      </c>
      <c r="D11883" t="str">
        <f>HYPERLINK("http://service.sap.com/sap/support/notes/1895585","1895585")</f>
        <v>1895585</v>
      </c>
      <c r="E11883">
        <v>1</v>
      </c>
      <c r="F11883" t="s">
        <v>11112</v>
      </c>
    </row>
    <row r="11884" spans="1:6" x14ac:dyDescent="0.25">
      <c r="A11884" t="s">
        <v>13142</v>
      </c>
      <c r="B11884" t="s">
        <v>3914</v>
      </c>
      <c r="C11884" t="s">
        <v>3915</v>
      </c>
      <c r="D11884" t="str">
        <f>HYPERLINK("http://service.sap.com/sap/support/notes/1896677","1896677")</f>
        <v>1896677</v>
      </c>
      <c r="E11884">
        <v>1</v>
      </c>
      <c r="F11884" t="s">
        <v>11111</v>
      </c>
    </row>
    <row r="11885" spans="1:6" x14ac:dyDescent="0.25">
      <c r="A11885" t="s">
        <v>13142</v>
      </c>
      <c r="B11885" t="s">
        <v>3914</v>
      </c>
      <c r="C11885" t="s">
        <v>3915</v>
      </c>
      <c r="D11885" t="str">
        <f>HYPERLINK("http://service.sap.com/sap/support/notes/1897282","1897282")</f>
        <v>1897282</v>
      </c>
      <c r="E11885">
        <v>1</v>
      </c>
      <c r="F11885" t="s">
        <v>11110</v>
      </c>
    </row>
    <row r="11886" spans="1:6" x14ac:dyDescent="0.25">
      <c r="A11886" t="s">
        <v>13142</v>
      </c>
      <c r="B11886" t="s">
        <v>3938</v>
      </c>
      <c r="C11886" t="s">
        <v>3939</v>
      </c>
      <c r="D11886" t="str">
        <f>HYPERLINK("http://service.sap.com/sap/support/notes/1824928","1824928")</f>
        <v>1824928</v>
      </c>
      <c r="E11886">
        <v>7</v>
      </c>
      <c r="F11886" t="s">
        <v>11109</v>
      </c>
    </row>
    <row r="11887" spans="1:6" x14ac:dyDescent="0.25">
      <c r="A11887" t="s">
        <v>13142</v>
      </c>
      <c r="B11887" t="s">
        <v>3938</v>
      </c>
      <c r="C11887" t="s">
        <v>3939</v>
      </c>
      <c r="D11887" t="str">
        <f>HYPERLINK("http://service.sap.com/sap/support/notes/1827321","1827321")</f>
        <v>1827321</v>
      </c>
      <c r="E11887">
        <v>3</v>
      </c>
      <c r="F11887" t="s">
        <v>11108</v>
      </c>
    </row>
    <row r="11888" spans="1:6" x14ac:dyDescent="0.25">
      <c r="A11888" t="s">
        <v>13142</v>
      </c>
      <c r="B11888" t="s">
        <v>3938</v>
      </c>
      <c r="C11888" t="s">
        <v>3939</v>
      </c>
      <c r="D11888" t="str">
        <f>HYPERLINK("http://service.sap.com/sap/support/notes/1835308","1835308")</f>
        <v>1835308</v>
      </c>
      <c r="E11888">
        <v>4</v>
      </c>
      <c r="F11888" t="s">
        <v>11107</v>
      </c>
    </row>
    <row r="11889" spans="1:6" x14ac:dyDescent="0.25">
      <c r="A11889" t="s">
        <v>13142</v>
      </c>
      <c r="B11889" t="s">
        <v>3938</v>
      </c>
      <c r="C11889" t="s">
        <v>3939</v>
      </c>
      <c r="D11889" t="str">
        <f>HYPERLINK("http://service.sap.com/sap/support/notes/1838836","1838836")</f>
        <v>1838836</v>
      </c>
      <c r="E11889">
        <v>2</v>
      </c>
      <c r="F11889" t="s">
        <v>11106</v>
      </c>
    </row>
    <row r="11890" spans="1:6" x14ac:dyDescent="0.25">
      <c r="A11890" t="s">
        <v>13142</v>
      </c>
      <c r="B11890" t="s">
        <v>3938</v>
      </c>
      <c r="C11890" t="s">
        <v>3939</v>
      </c>
      <c r="D11890" t="str">
        <f>HYPERLINK("http://service.sap.com/sap/support/notes/1852745","1852745")</f>
        <v>1852745</v>
      </c>
      <c r="E11890">
        <v>3</v>
      </c>
      <c r="F11890" t="s">
        <v>11105</v>
      </c>
    </row>
    <row r="11891" spans="1:6" x14ac:dyDescent="0.25">
      <c r="A11891" t="s">
        <v>13142</v>
      </c>
      <c r="B11891" t="s">
        <v>3938</v>
      </c>
      <c r="C11891" t="s">
        <v>3939</v>
      </c>
      <c r="D11891" t="str">
        <f>HYPERLINK("http://service.sap.com/sap/support/notes/1857288","1857288")</f>
        <v>1857288</v>
      </c>
      <c r="E11891">
        <v>3</v>
      </c>
      <c r="F11891" t="s">
        <v>11104</v>
      </c>
    </row>
    <row r="11892" spans="1:6" x14ac:dyDescent="0.25">
      <c r="A11892" t="s">
        <v>13142</v>
      </c>
      <c r="B11892" t="s">
        <v>3938</v>
      </c>
      <c r="C11892" t="s">
        <v>3939</v>
      </c>
      <c r="D11892" t="str">
        <f>HYPERLINK("http://service.sap.com/sap/support/notes/1867290","1867290")</f>
        <v>1867290</v>
      </c>
      <c r="E11892">
        <v>2</v>
      </c>
      <c r="F11892" t="s">
        <v>11103</v>
      </c>
    </row>
    <row r="11893" spans="1:6" x14ac:dyDescent="0.25">
      <c r="A11893" t="s">
        <v>13142</v>
      </c>
      <c r="B11893" t="s">
        <v>3938</v>
      </c>
      <c r="C11893" t="s">
        <v>3939</v>
      </c>
      <c r="D11893" t="str">
        <f>HYPERLINK("http://service.sap.com/sap/support/notes/1872988","1872988")</f>
        <v>1872988</v>
      </c>
      <c r="E11893">
        <v>3</v>
      </c>
      <c r="F11893" t="s">
        <v>11102</v>
      </c>
    </row>
    <row r="11894" spans="1:6" x14ac:dyDescent="0.25">
      <c r="A11894" t="s">
        <v>13142</v>
      </c>
      <c r="B11894" t="s">
        <v>3938</v>
      </c>
      <c r="C11894" t="s">
        <v>3939</v>
      </c>
      <c r="D11894" t="str">
        <f>HYPERLINK("http://service.sap.com/sap/support/notes/1875281","1875281")</f>
        <v>1875281</v>
      </c>
      <c r="E11894">
        <v>2</v>
      </c>
      <c r="F11894" t="s">
        <v>11101</v>
      </c>
    </row>
    <row r="11895" spans="1:6" x14ac:dyDescent="0.25">
      <c r="A11895" t="s">
        <v>13142</v>
      </c>
      <c r="B11895" t="s">
        <v>3938</v>
      </c>
      <c r="C11895" t="s">
        <v>3939</v>
      </c>
      <c r="D11895" t="str">
        <f>HYPERLINK("http://service.sap.com/sap/support/notes/1876209","1876209")</f>
        <v>1876209</v>
      </c>
      <c r="E11895">
        <v>2</v>
      </c>
      <c r="F11895" t="s">
        <v>11100</v>
      </c>
    </row>
    <row r="11896" spans="1:6" x14ac:dyDescent="0.25">
      <c r="A11896" t="s">
        <v>13142</v>
      </c>
      <c r="B11896" t="s">
        <v>3938</v>
      </c>
      <c r="C11896" t="s">
        <v>3939</v>
      </c>
      <c r="D11896" t="str">
        <f>HYPERLINK("http://service.sap.com/sap/support/notes/1884618","1884618")</f>
        <v>1884618</v>
      </c>
      <c r="E11896">
        <v>2</v>
      </c>
      <c r="F11896" t="s">
        <v>11099</v>
      </c>
    </row>
    <row r="11897" spans="1:6" x14ac:dyDescent="0.25">
      <c r="A11897" t="s">
        <v>13142</v>
      </c>
      <c r="B11897" t="s">
        <v>3938</v>
      </c>
      <c r="C11897" t="s">
        <v>3939</v>
      </c>
      <c r="D11897" t="str">
        <f>HYPERLINK("http://service.sap.com/sap/support/notes/1889221","1889221")</f>
        <v>1889221</v>
      </c>
      <c r="E11897">
        <v>2</v>
      </c>
      <c r="F11897" t="s">
        <v>11098</v>
      </c>
    </row>
    <row r="11898" spans="1:6" x14ac:dyDescent="0.25">
      <c r="A11898" t="s">
        <v>13142</v>
      </c>
      <c r="B11898" t="s">
        <v>3958</v>
      </c>
      <c r="C11898" t="s">
        <v>3959</v>
      </c>
      <c r="D11898" t="str">
        <f>HYPERLINK("http://service.sap.com/sap/support/notes/1773228","1773228")</f>
        <v>1773228</v>
      </c>
      <c r="E11898">
        <v>8</v>
      </c>
      <c r="F11898" t="s">
        <v>11097</v>
      </c>
    </row>
    <row r="11899" spans="1:6" x14ac:dyDescent="0.25">
      <c r="A11899" t="s">
        <v>13142</v>
      </c>
      <c r="B11899" t="s">
        <v>3958</v>
      </c>
      <c r="C11899" t="s">
        <v>3959</v>
      </c>
      <c r="D11899" t="str">
        <f>HYPERLINK("http://service.sap.com/sap/support/notes/1858469","1858469")</f>
        <v>1858469</v>
      </c>
      <c r="E11899">
        <v>2</v>
      </c>
      <c r="F11899" t="s">
        <v>11096</v>
      </c>
    </row>
    <row r="11900" spans="1:6" x14ac:dyDescent="0.25">
      <c r="A11900" t="s">
        <v>13142</v>
      </c>
      <c r="B11900" t="s">
        <v>3958</v>
      </c>
      <c r="C11900" t="s">
        <v>3959</v>
      </c>
      <c r="D11900" t="str">
        <f>HYPERLINK("http://service.sap.com/sap/support/notes/1866160","1866160")</f>
        <v>1866160</v>
      </c>
      <c r="E11900">
        <v>3</v>
      </c>
      <c r="F11900" t="s">
        <v>11095</v>
      </c>
    </row>
    <row r="11901" spans="1:6" x14ac:dyDescent="0.25">
      <c r="A11901" t="s">
        <v>13142</v>
      </c>
      <c r="B11901" t="s">
        <v>3958</v>
      </c>
      <c r="C11901" t="s">
        <v>3959</v>
      </c>
      <c r="D11901" t="str">
        <f>HYPERLINK("http://service.sap.com/sap/support/notes/1873172","1873172")</f>
        <v>1873172</v>
      </c>
      <c r="E11901">
        <v>2</v>
      </c>
      <c r="F11901" t="s">
        <v>11094</v>
      </c>
    </row>
    <row r="11902" spans="1:6" x14ac:dyDescent="0.25">
      <c r="A11902" t="s">
        <v>13142</v>
      </c>
      <c r="B11902" t="s">
        <v>3958</v>
      </c>
      <c r="C11902" t="s">
        <v>3959</v>
      </c>
      <c r="D11902" t="str">
        <f>HYPERLINK("http://service.sap.com/sap/support/notes/1875352","1875352")</f>
        <v>1875352</v>
      </c>
      <c r="E11902">
        <v>2</v>
      </c>
      <c r="F11902" t="s">
        <v>11093</v>
      </c>
    </row>
    <row r="11903" spans="1:6" x14ac:dyDescent="0.25">
      <c r="A11903" t="s">
        <v>13142</v>
      </c>
      <c r="B11903" t="s">
        <v>3958</v>
      </c>
      <c r="C11903" t="s">
        <v>3959</v>
      </c>
      <c r="D11903" t="str">
        <f>HYPERLINK("http://service.sap.com/sap/support/notes/1880887","1880887")</f>
        <v>1880887</v>
      </c>
      <c r="E11903">
        <v>4</v>
      </c>
      <c r="F11903" t="s">
        <v>11092</v>
      </c>
    </row>
    <row r="11904" spans="1:6" x14ac:dyDescent="0.25">
      <c r="A11904" t="s">
        <v>13142</v>
      </c>
      <c r="B11904" t="s">
        <v>3958</v>
      </c>
      <c r="C11904" t="s">
        <v>3959</v>
      </c>
      <c r="D11904" t="str">
        <f>HYPERLINK("http://service.sap.com/sap/support/notes/1886792","1886792")</f>
        <v>1886792</v>
      </c>
      <c r="E11904">
        <v>2</v>
      </c>
      <c r="F11904" t="s">
        <v>11091</v>
      </c>
    </row>
    <row r="11905" spans="1:6" x14ac:dyDescent="0.25">
      <c r="A11905" t="s">
        <v>13142</v>
      </c>
      <c r="B11905" t="s">
        <v>6310</v>
      </c>
      <c r="C11905" t="s">
        <v>6311</v>
      </c>
      <c r="D11905" t="str">
        <f>HYPERLINK("http://service.sap.com/sap/support/notes/1869751","1869751")</f>
        <v>1869751</v>
      </c>
      <c r="E11905">
        <v>1</v>
      </c>
      <c r="F11905" t="s">
        <v>11090</v>
      </c>
    </row>
    <row r="11906" spans="1:6" x14ac:dyDescent="0.25">
      <c r="A11906" t="s">
        <v>13142</v>
      </c>
      <c r="B11906" t="s">
        <v>3971</v>
      </c>
      <c r="C11906" t="s">
        <v>3972</v>
      </c>
      <c r="D11906" t="str">
        <f>HYPERLINK("http://service.sap.com/sap/support/notes/1436095","1436095")</f>
        <v>1436095</v>
      </c>
      <c r="E11906">
        <v>8</v>
      </c>
      <c r="F11906" t="s">
        <v>11089</v>
      </c>
    </row>
    <row r="11907" spans="1:6" x14ac:dyDescent="0.25">
      <c r="A11907" t="s">
        <v>13142</v>
      </c>
      <c r="B11907" t="s">
        <v>3971</v>
      </c>
      <c r="C11907" t="s">
        <v>3972</v>
      </c>
      <c r="D11907" t="str">
        <f>HYPERLINK("http://service.sap.com/sap/support/notes/1836000","1836000")</f>
        <v>1836000</v>
      </c>
      <c r="E11907">
        <v>4</v>
      </c>
      <c r="F11907" t="s">
        <v>11088</v>
      </c>
    </row>
    <row r="11908" spans="1:6" x14ac:dyDescent="0.25">
      <c r="A11908" t="s">
        <v>13142</v>
      </c>
      <c r="B11908" t="s">
        <v>3971</v>
      </c>
      <c r="C11908" t="s">
        <v>3972</v>
      </c>
      <c r="D11908" t="str">
        <f>HYPERLINK("http://service.sap.com/sap/support/notes/1873746","1873746")</f>
        <v>1873746</v>
      </c>
      <c r="E11908">
        <v>2</v>
      </c>
      <c r="F11908" t="s">
        <v>11087</v>
      </c>
    </row>
    <row r="11909" spans="1:6" x14ac:dyDescent="0.25">
      <c r="A11909" t="s">
        <v>13142</v>
      </c>
      <c r="B11909" t="s">
        <v>3971</v>
      </c>
      <c r="C11909" t="s">
        <v>3972</v>
      </c>
      <c r="D11909" t="str">
        <f>HYPERLINK("http://service.sap.com/sap/support/notes/1885038","1885038")</f>
        <v>1885038</v>
      </c>
      <c r="E11909">
        <v>1</v>
      </c>
      <c r="F11909" t="s">
        <v>11086</v>
      </c>
    </row>
    <row r="11910" spans="1:6" x14ac:dyDescent="0.25">
      <c r="A11910" t="s">
        <v>13142</v>
      </c>
      <c r="B11910" t="s">
        <v>3971</v>
      </c>
      <c r="C11910" t="s">
        <v>3972</v>
      </c>
      <c r="D11910" t="str">
        <f>HYPERLINK("http://service.sap.com/sap/support/notes/1892463","1892463")</f>
        <v>1892463</v>
      </c>
      <c r="E11910">
        <v>1</v>
      </c>
      <c r="F11910" t="s">
        <v>11085</v>
      </c>
    </row>
    <row r="11911" spans="1:6" x14ac:dyDescent="0.25">
      <c r="A11911" t="s">
        <v>13142</v>
      </c>
      <c r="B11911" t="s">
        <v>3976</v>
      </c>
      <c r="C11911" t="s">
        <v>3977</v>
      </c>
    </row>
    <row r="11912" spans="1:6" x14ac:dyDescent="0.25">
      <c r="A11912" t="s">
        <v>13142</v>
      </c>
      <c r="B11912" t="s">
        <v>11084</v>
      </c>
      <c r="C11912" t="s">
        <v>198</v>
      </c>
      <c r="D11912" t="str">
        <f>HYPERLINK("http://service.sap.com/sap/support/notes/1818508","1818508")</f>
        <v>1818508</v>
      </c>
      <c r="E11912">
        <v>3</v>
      </c>
      <c r="F11912" t="s">
        <v>11083</v>
      </c>
    </row>
    <row r="11913" spans="1:6" x14ac:dyDescent="0.25">
      <c r="A11913" t="s">
        <v>13142</v>
      </c>
      <c r="B11913" t="s">
        <v>11082</v>
      </c>
      <c r="C11913" t="s">
        <v>11081</v>
      </c>
    </row>
    <row r="11914" spans="1:6" x14ac:dyDescent="0.25">
      <c r="A11914" t="s">
        <v>13142</v>
      </c>
      <c r="B11914" t="s">
        <v>11080</v>
      </c>
      <c r="C11914" t="s">
        <v>198</v>
      </c>
      <c r="D11914" t="str">
        <f>HYPERLINK("http://service.sap.com/sap/support/notes/1875128","1875128")</f>
        <v>1875128</v>
      </c>
      <c r="E11914">
        <v>3</v>
      </c>
      <c r="F11914" t="s">
        <v>11079</v>
      </c>
    </row>
    <row r="11915" spans="1:6" x14ac:dyDescent="0.25">
      <c r="A11915" t="s">
        <v>13142</v>
      </c>
      <c r="B11915" t="s">
        <v>3981</v>
      </c>
      <c r="C11915" t="s">
        <v>3982</v>
      </c>
    </row>
    <row r="11916" spans="1:6" x14ac:dyDescent="0.25">
      <c r="A11916" t="s">
        <v>13142</v>
      </c>
      <c r="B11916" t="s">
        <v>3983</v>
      </c>
      <c r="C11916" t="s">
        <v>198</v>
      </c>
      <c r="D11916" t="str">
        <f>HYPERLINK("http://service.sap.com/sap/support/notes/1873595","1873595")</f>
        <v>1873595</v>
      </c>
      <c r="E11916">
        <v>2</v>
      </c>
      <c r="F11916" t="s">
        <v>11078</v>
      </c>
    </row>
    <row r="11917" spans="1:6" x14ac:dyDescent="0.25">
      <c r="A11917" t="s">
        <v>13142</v>
      </c>
      <c r="B11917" t="s">
        <v>6330</v>
      </c>
      <c r="C11917" t="s">
        <v>6331</v>
      </c>
      <c r="D11917" t="str">
        <f>HYPERLINK("http://service.sap.com/sap/support/notes/1784285","1784285")</f>
        <v>1784285</v>
      </c>
      <c r="E11917">
        <v>5</v>
      </c>
      <c r="F11917" t="s">
        <v>11077</v>
      </c>
    </row>
    <row r="11918" spans="1:6" x14ac:dyDescent="0.25">
      <c r="A11918" t="s">
        <v>13142</v>
      </c>
      <c r="B11918" t="s">
        <v>6330</v>
      </c>
      <c r="C11918" t="s">
        <v>6331</v>
      </c>
      <c r="D11918" t="str">
        <f>HYPERLINK("http://service.sap.com/sap/support/notes/1792342","1792342")</f>
        <v>1792342</v>
      </c>
      <c r="E11918">
        <v>5</v>
      </c>
      <c r="F11918" t="s">
        <v>11076</v>
      </c>
    </row>
    <row r="11919" spans="1:6" x14ac:dyDescent="0.25">
      <c r="A11919" t="s">
        <v>13142</v>
      </c>
      <c r="B11919" t="s">
        <v>6330</v>
      </c>
      <c r="C11919" t="s">
        <v>6331</v>
      </c>
      <c r="D11919" t="str">
        <f>HYPERLINK("http://service.sap.com/sap/support/notes/1810613","1810613")</f>
        <v>1810613</v>
      </c>
      <c r="E11919">
        <v>3</v>
      </c>
      <c r="F11919" t="s">
        <v>11075</v>
      </c>
    </row>
    <row r="11920" spans="1:6" x14ac:dyDescent="0.25">
      <c r="A11920" t="s">
        <v>13142</v>
      </c>
      <c r="B11920" t="s">
        <v>11074</v>
      </c>
      <c r="C11920" t="s">
        <v>198</v>
      </c>
      <c r="D11920" t="str">
        <f>HYPERLINK("http://service.sap.com/sap/support/notes/1752163","1752163")</f>
        <v>1752163</v>
      </c>
      <c r="E11920">
        <v>8</v>
      </c>
      <c r="F11920" t="s">
        <v>11073</v>
      </c>
    </row>
    <row r="11921" spans="1:6" x14ac:dyDescent="0.25">
      <c r="A11921" t="s">
        <v>13142</v>
      </c>
      <c r="B11921" t="s">
        <v>3992</v>
      </c>
      <c r="C11921" t="s">
        <v>3993</v>
      </c>
    </row>
    <row r="11922" spans="1:6" x14ac:dyDescent="0.25">
      <c r="A11922" t="s">
        <v>13142</v>
      </c>
      <c r="B11922" t="s">
        <v>3994</v>
      </c>
      <c r="C11922" t="s">
        <v>198</v>
      </c>
      <c r="D11922" t="str">
        <f>HYPERLINK("http://service.sap.com/sap/support/notes/1854086","1854086")</f>
        <v>1854086</v>
      </c>
      <c r="E11922">
        <v>3</v>
      </c>
      <c r="F11922" t="s">
        <v>11072</v>
      </c>
    </row>
    <row r="11923" spans="1:6" x14ac:dyDescent="0.25">
      <c r="A11923" t="s">
        <v>13142</v>
      </c>
      <c r="B11923" t="s">
        <v>3994</v>
      </c>
      <c r="C11923" t="s">
        <v>198</v>
      </c>
      <c r="D11923" t="str">
        <f>HYPERLINK("http://service.sap.com/sap/support/notes/1856420","1856420")</f>
        <v>1856420</v>
      </c>
      <c r="E11923">
        <v>5</v>
      </c>
      <c r="F11923" t="s">
        <v>11071</v>
      </c>
    </row>
    <row r="11924" spans="1:6" x14ac:dyDescent="0.25">
      <c r="A11924" t="s">
        <v>13142</v>
      </c>
      <c r="B11924" t="s">
        <v>3994</v>
      </c>
      <c r="C11924" t="s">
        <v>198</v>
      </c>
      <c r="D11924" t="str">
        <f>HYPERLINK("http://service.sap.com/sap/support/notes/1893621","1893621")</f>
        <v>1893621</v>
      </c>
      <c r="E11924">
        <v>1</v>
      </c>
      <c r="F11924" t="s">
        <v>11070</v>
      </c>
    </row>
    <row r="11925" spans="1:6" x14ac:dyDescent="0.25">
      <c r="A11925" t="s">
        <v>13142</v>
      </c>
      <c r="B11925" t="s">
        <v>3994</v>
      </c>
      <c r="C11925" t="s">
        <v>198</v>
      </c>
      <c r="D11925" t="str">
        <f>HYPERLINK("http://service.sap.com/sap/support/notes/1894863","1894863")</f>
        <v>1894863</v>
      </c>
      <c r="E11925">
        <v>1</v>
      </c>
      <c r="F11925" t="s">
        <v>11069</v>
      </c>
    </row>
    <row r="11926" spans="1:6" x14ac:dyDescent="0.25">
      <c r="A11926" t="s">
        <v>13142</v>
      </c>
      <c r="B11926" t="s">
        <v>3996</v>
      </c>
      <c r="C11926" t="s">
        <v>2999</v>
      </c>
      <c r="D11926" t="str">
        <f>HYPERLINK("http://service.sap.com/sap/support/notes/1837130","1837130")</f>
        <v>1837130</v>
      </c>
      <c r="E11926">
        <v>4</v>
      </c>
      <c r="F11926" t="s">
        <v>11068</v>
      </c>
    </row>
    <row r="11927" spans="1:6" x14ac:dyDescent="0.25">
      <c r="A11927" t="s">
        <v>13142</v>
      </c>
      <c r="B11927" t="s">
        <v>4005</v>
      </c>
      <c r="C11927" t="s">
        <v>4006</v>
      </c>
      <c r="D11927" t="str">
        <f>HYPERLINK("http://service.sap.com/sap/support/notes/1790262","1790262")</f>
        <v>1790262</v>
      </c>
      <c r="E11927">
        <v>3</v>
      </c>
      <c r="F11927" t="s">
        <v>6336</v>
      </c>
    </row>
    <row r="11928" spans="1:6" x14ac:dyDescent="0.25">
      <c r="A11928" t="s">
        <v>13142</v>
      </c>
      <c r="B11928" t="s">
        <v>4005</v>
      </c>
      <c r="C11928" t="s">
        <v>4006</v>
      </c>
      <c r="D11928" t="str">
        <f>HYPERLINK("http://service.sap.com/sap/support/notes/1812438","1812438")</f>
        <v>1812438</v>
      </c>
      <c r="E11928">
        <v>7</v>
      </c>
      <c r="F11928" t="s">
        <v>11067</v>
      </c>
    </row>
    <row r="11929" spans="1:6" x14ac:dyDescent="0.25">
      <c r="A11929" t="s">
        <v>13142</v>
      </c>
      <c r="B11929" t="s">
        <v>4005</v>
      </c>
      <c r="C11929" t="s">
        <v>4006</v>
      </c>
      <c r="D11929" t="str">
        <f>HYPERLINK("http://service.sap.com/sap/support/notes/1849476","1849476")</f>
        <v>1849476</v>
      </c>
      <c r="E11929">
        <v>4</v>
      </c>
      <c r="F11929" t="s">
        <v>11066</v>
      </c>
    </row>
    <row r="11930" spans="1:6" x14ac:dyDescent="0.25">
      <c r="A11930" t="s">
        <v>13142</v>
      </c>
      <c r="B11930" t="s">
        <v>4005</v>
      </c>
      <c r="C11930" t="s">
        <v>4006</v>
      </c>
      <c r="D11930" t="str">
        <f>HYPERLINK("http://service.sap.com/sap/support/notes/1860113","1860113")</f>
        <v>1860113</v>
      </c>
      <c r="E11930">
        <v>2</v>
      </c>
      <c r="F11930" t="s">
        <v>11065</v>
      </c>
    </row>
    <row r="11931" spans="1:6" x14ac:dyDescent="0.25">
      <c r="A11931" t="s">
        <v>13142</v>
      </c>
      <c r="B11931" t="s">
        <v>4005</v>
      </c>
      <c r="C11931" t="s">
        <v>4006</v>
      </c>
      <c r="D11931" t="str">
        <f>HYPERLINK("http://service.sap.com/sap/support/notes/1863878","1863878")</f>
        <v>1863878</v>
      </c>
      <c r="E11931">
        <v>3</v>
      </c>
      <c r="F11931" t="s">
        <v>11064</v>
      </c>
    </row>
    <row r="11932" spans="1:6" x14ac:dyDescent="0.25">
      <c r="A11932" t="s">
        <v>13142</v>
      </c>
      <c r="B11932" t="s">
        <v>4005</v>
      </c>
      <c r="C11932" t="s">
        <v>4006</v>
      </c>
      <c r="D11932" t="str">
        <f>HYPERLINK("http://service.sap.com/sap/support/notes/1871886","1871886")</f>
        <v>1871886</v>
      </c>
      <c r="E11932">
        <v>2</v>
      </c>
      <c r="F11932" t="s">
        <v>11063</v>
      </c>
    </row>
    <row r="11933" spans="1:6" x14ac:dyDescent="0.25">
      <c r="A11933" t="s">
        <v>13142</v>
      </c>
      <c r="B11933" t="s">
        <v>4005</v>
      </c>
      <c r="C11933" t="s">
        <v>4006</v>
      </c>
      <c r="D11933" t="str">
        <f>HYPERLINK("http://service.sap.com/sap/support/notes/1874989","1874989")</f>
        <v>1874989</v>
      </c>
      <c r="E11933">
        <v>1</v>
      </c>
      <c r="F11933" t="s">
        <v>11062</v>
      </c>
    </row>
    <row r="11934" spans="1:6" x14ac:dyDescent="0.25">
      <c r="A11934" t="s">
        <v>13142</v>
      </c>
      <c r="B11934" t="s">
        <v>11052</v>
      </c>
      <c r="C11934" t="s">
        <v>198</v>
      </c>
      <c r="D11934" t="str">
        <f>HYPERLINK("http://service.sap.com/sap/support/notes/1840760","1840760")</f>
        <v>1840760</v>
      </c>
      <c r="E11934">
        <v>8</v>
      </c>
      <c r="F11934" t="s">
        <v>11061</v>
      </c>
    </row>
    <row r="11935" spans="1:6" x14ac:dyDescent="0.25">
      <c r="A11935" t="s">
        <v>13142</v>
      </c>
      <c r="B11935" t="s">
        <v>11052</v>
      </c>
      <c r="C11935" t="s">
        <v>198</v>
      </c>
      <c r="D11935" t="str">
        <f>HYPERLINK("http://service.sap.com/sap/support/notes/1846930","1846930")</f>
        <v>1846930</v>
      </c>
      <c r="E11935">
        <v>4</v>
      </c>
      <c r="F11935" t="s">
        <v>11060</v>
      </c>
    </row>
    <row r="11936" spans="1:6" x14ac:dyDescent="0.25">
      <c r="A11936" t="s">
        <v>13142</v>
      </c>
      <c r="B11936" t="s">
        <v>11052</v>
      </c>
      <c r="C11936" t="s">
        <v>198</v>
      </c>
      <c r="D11936" t="str">
        <f>HYPERLINK("http://service.sap.com/sap/support/notes/1873500","1873500")</f>
        <v>1873500</v>
      </c>
      <c r="E11936">
        <v>6</v>
      </c>
      <c r="F11936" t="s">
        <v>11059</v>
      </c>
    </row>
    <row r="11937" spans="1:6" x14ac:dyDescent="0.25">
      <c r="A11937" t="s">
        <v>13142</v>
      </c>
      <c r="B11937" t="s">
        <v>11052</v>
      </c>
      <c r="C11937" t="s">
        <v>198</v>
      </c>
      <c r="D11937" t="str">
        <f>HYPERLINK("http://service.sap.com/sap/support/notes/1874692","1874692")</f>
        <v>1874692</v>
      </c>
      <c r="E11937">
        <v>9</v>
      </c>
      <c r="F11937" t="s">
        <v>11058</v>
      </c>
    </row>
    <row r="11938" spans="1:6" x14ac:dyDescent="0.25">
      <c r="A11938" t="s">
        <v>13142</v>
      </c>
      <c r="B11938" t="s">
        <v>11052</v>
      </c>
      <c r="C11938" t="s">
        <v>198</v>
      </c>
      <c r="D11938" t="str">
        <f>HYPERLINK("http://service.sap.com/sap/support/notes/1880530","1880530")</f>
        <v>1880530</v>
      </c>
      <c r="E11938">
        <v>1</v>
      </c>
      <c r="F11938" t="s">
        <v>11057</v>
      </c>
    </row>
    <row r="11939" spans="1:6" x14ac:dyDescent="0.25">
      <c r="A11939" t="s">
        <v>13142</v>
      </c>
      <c r="B11939" t="s">
        <v>11052</v>
      </c>
      <c r="C11939" t="s">
        <v>198</v>
      </c>
      <c r="D11939" t="str">
        <f>HYPERLINK("http://service.sap.com/sap/support/notes/1883744","1883744")</f>
        <v>1883744</v>
      </c>
      <c r="E11939">
        <v>3</v>
      </c>
      <c r="F11939" t="s">
        <v>11056</v>
      </c>
    </row>
    <row r="11940" spans="1:6" x14ac:dyDescent="0.25">
      <c r="A11940" t="s">
        <v>13142</v>
      </c>
      <c r="B11940" t="s">
        <v>11052</v>
      </c>
      <c r="C11940" t="s">
        <v>198</v>
      </c>
      <c r="D11940" t="str">
        <f>HYPERLINK("http://service.sap.com/sap/support/notes/1886251","1886251")</f>
        <v>1886251</v>
      </c>
      <c r="E11940">
        <v>13</v>
      </c>
      <c r="F11940" t="s">
        <v>11055</v>
      </c>
    </row>
    <row r="11941" spans="1:6" x14ac:dyDescent="0.25">
      <c r="A11941" t="s">
        <v>13142</v>
      </c>
      <c r="B11941" t="s">
        <v>11052</v>
      </c>
      <c r="C11941" t="s">
        <v>198</v>
      </c>
      <c r="D11941" t="str">
        <f>HYPERLINK("http://service.sap.com/sap/support/notes/1887497","1887497")</f>
        <v>1887497</v>
      </c>
      <c r="E11941">
        <v>3</v>
      </c>
      <c r="F11941" t="s">
        <v>11054</v>
      </c>
    </row>
    <row r="11942" spans="1:6" x14ac:dyDescent="0.25">
      <c r="A11942" t="s">
        <v>13142</v>
      </c>
      <c r="B11942" t="s">
        <v>11052</v>
      </c>
      <c r="C11942" t="s">
        <v>198</v>
      </c>
      <c r="D11942" t="str">
        <f>HYPERLINK("http://service.sap.com/sap/support/notes/1888259","1888259")</f>
        <v>1888259</v>
      </c>
      <c r="E11942">
        <v>7</v>
      </c>
      <c r="F11942" t="s">
        <v>11053</v>
      </c>
    </row>
    <row r="11943" spans="1:6" x14ac:dyDescent="0.25">
      <c r="A11943" t="s">
        <v>13142</v>
      </c>
      <c r="B11943" t="s">
        <v>11052</v>
      </c>
      <c r="C11943" t="s">
        <v>198</v>
      </c>
      <c r="D11943" t="str">
        <f>HYPERLINK("http://service.sap.com/sap/support/notes/1893578","1893578")</f>
        <v>1893578</v>
      </c>
      <c r="E11943">
        <v>1</v>
      </c>
      <c r="F11943" t="s">
        <v>11051</v>
      </c>
    </row>
    <row r="11944" spans="1:6" x14ac:dyDescent="0.25">
      <c r="A11944" t="s">
        <v>13142</v>
      </c>
      <c r="B11944" t="s">
        <v>4019</v>
      </c>
      <c r="C11944" t="s">
        <v>201</v>
      </c>
      <c r="D11944" t="str">
        <f>HYPERLINK("http://service.sap.com/sap/support/notes/1858177","1858177")</f>
        <v>1858177</v>
      </c>
      <c r="E11944">
        <v>19</v>
      </c>
      <c r="F11944" t="s">
        <v>11050</v>
      </c>
    </row>
    <row r="11945" spans="1:6" x14ac:dyDescent="0.25">
      <c r="A11945" t="s">
        <v>13142</v>
      </c>
      <c r="B11945" t="s">
        <v>4019</v>
      </c>
      <c r="C11945" t="s">
        <v>201</v>
      </c>
      <c r="D11945" t="str">
        <f>HYPERLINK("http://service.sap.com/sap/support/notes/1882338","1882338")</f>
        <v>1882338</v>
      </c>
      <c r="E11945">
        <v>1</v>
      </c>
      <c r="F11945" t="s">
        <v>11049</v>
      </c>
    </row>
    <row r="11946" spans="1:6" x14ac:dyDescent="0.25">
      <c r="A11946" t="s">
        <v>13142</v>
      </c>
      <c r="B11946" t="s">
        <v>4019</v>
      </c>
      <c r="C11946" t="s">
        <v>201</v>
      </c>
      <c r="D11946" t="str">
        <f>HYPERLINK("http://service.sap.com/sap/support/notes/1886805","1886805")</f>
        <v>1886805</v>
      </c>
      <c r="E11946">
        <v>2</v>
      </c>
      <c r="F11946" t="s">
        <v>11048</v>
      </c>
    </row>
    <row r="11947" spans="1:6" x14ac:dyDescent="0.25">
      <c r="A11947" t="s">
        <v>13142</v>
      </c>
      <c r="B11947" t="s">
        <v>4019</v>
      </c>
      <c r="C11947" t="s">
        <v>201</v>
      </c>
      <c r="D11947" t="str">
        <f>HYPERLINK("http://service.sap.com/sap/support/notes/1887123","1887123")</f>
        <v>1887123</v>
      </c>
      <c r="E11947">
        <v>1</v>
      </c>
      <c r="F11947" t="s">
        <v>11047</v>
      </c>
    </row>
    <row r="11948" spans="1:6" x14ac:dyDescent="0.25">
      <c r="A11948" t="s">
        <v>13142</v>
      </c>
      <c r="B11948" t="s">
        <v>4019</v>
      </c>
      <c r="C11948" t="s">
        <v>201</v>
      </c>
      <c r="D11948" t="str">
        <f>HYPERLINK("http://service.sap.com/sap/support/notes/1891321","1891321")</f>
        <v>1891321</v>
      </c>
      <c r="E11948">
        <v>2</v>
      </c>
      <c r="F11948" t="s">
        <v>11046</v>
      </c>
    </row>
    <row r="11949" spans="1:6" x14ac:dyDescent="0.25">
      <c r="A11949" t="s">
        <v>13142</v>
      </c>
      <c r="B11949" t="s">
        <v>4019</v>
      </c>
      <c r="C11949" t="s">
        <v>201</v>
      </c>
      <c r="D11949" t="str">
        <f>HYPERLINK("http://service.sap.com/sap/support/notes/1896722","1896722")</f>
        <v>1896722</v>
      </c>
      <c r="E11949">
        <v>3</v>
      </c>
      <c r="F11949" t="s">
        <v>11045</v>
      </c>
    </row>
    <row r="11950" spans="1:6" x14ac:dyDescent="0.25">
      <c r="A11950" t="s">
        <v>13142</v>
      </c>
      <c r="B11950" t="s">
        <v>4019</v>
      </c>
      <c r="C11950" t="s">
        <v>201</v>
      </c>
      <c r="D11950" t="str">
        <f>HYPERLINK("http://service.sap.com/sap/support/notes/1899403","1899403")</f>
        <v>1899403</v>
      </c>
      <c r="E11950">
        <v>2</v>
      </c>
      <c r="F11950" t="s">
        <v>11044</v>
      </c>
    </row>
    <row r="11951" spans="1:6" x14ac:dyDescent="0.25">
      <c r="A11951" t="s">
        <v>13142</v>
      </c>
      <c r="B11951" t="s">
        <v>11032</v>
      </c>
      <c r="C11951" t="s">
        <v>2999</v>
      </c>
      <c r="D11951" t="str">
        <f>HYPERLINK("http://service.sap.com/sap/support/notes/1872138","1872138")</f>
        <v>1872138</v>
      </c>
      <c r="E11951">
        <v>12</v>
      </c>
      <c r="F11951" t="s">
        <v>11043</v>
      </c>
    </row>
    <row r="11952" spans="1:6" x14ac:dyDescent="0.25">
      <c r="A11952" t="s">
        <v>13142</v>
      </c>
      <c r="B11952" t="s">
        <v>11032</v>
      </c>
      <c r="C11952" t="s">
        <v>2999</v>
      </c>
      <c r="D11952" t="str">
        <f>HYPERLINK("http://service.sap.com/sap/support/notes/1880020","1880020")</f>
        <v>1880020</v>
      </c>
      <c r="E11952">
        <v>8</v>
      </c>
      <c r="F11952" t="s">
        <v>11042</v>
      </c>
    </row>
    <row r="11953" spans="1:6" x14ac:dyDescent="0.25">
      <c r="A11953" t="s">
        <v>13142</v>
      </c>
      <c r="B11953" t="s">
        <v>11032</v>
      </c>
      <c r="C11953" t="s">
        <v>2999</v>
      </c>
      <c r="D11953" t="str">
        <f>HYPERLINK("http://service.sap.com/sap/support/notes/1881112","1881112")</f>
        <v>1881112</v>
      </c>
      <c r="E11953">
        <v>1</v>
      </c>
      <c r="F11953" t="s">
        <v>11041</v>
      </c>
    </row>
    <row r="11954" spans="1:6" x14ac:dyDescent="0.25">
      <c r="A11954" t="s">
        <v>13142</v>
      </c>
      <c r="B11954" t="s">
        <v>11032</v>
      </c>
      <c r="C11954" t="s">
        <v>2999</v>
      </c>
      <c r="D11954" t="str">
        <f>HYPERLINK("http://service.sap.com/sap/support/notes/1882308","1882308")</f>
        <v>1882308</v>
      </c>
      <c r="E11954">
        <v>1</v>
      </c>
      <c r="F11954" t="s">
        <v>11040</v>
      </c>
    </row>
    <row r="11955" spans="1:6" x14ac:dyDescent="0.25">
      <c r="A11955" t="s">
        <v>13142</v>
      </c>
      <c r="B11955" t="s">
        <v>11032</v>
      </c>
      <c r="C11955" t="s">
        <v>2999</v>
      </c>
      <c r="D11955" t="str">
        <f>HYPERLINK("http://service.sap.com/sap/support/notes/1882979","1882979")</f>
        <v>1882979</v>
      </c>
      <c r="E11955">
        <v>3</v>
      </c>
      <c r="F11955" t="s">
        <v>11039</v>
      </c>
    </row>
    <row r="11956" spans="1:6" x14ac:dyDescent="0.25">
      <c r="A11956" t="s">
        <v>13142</v>
      </c>
      <c r="B11956" t="s">
        <v>11032</v>
      </c>
      <c r="C11956" t="s">
        <v>2999</v>
      </c>
      <c r="D11956" t="str">
        <f>HYPERLINK("http://service.sap.com/sap/support/notes/1884197","1884197")</f>
        <v>1884197</v>
      </c>
      <c r="E11956">
        <v>1</v>
      </c>
      <c r="F11956" t="s">
        <v>11038</v>
      </c>
    </row>
    <row r="11957" spans="1:6" x14ac:dyDescent="0.25">
      <c r="A11957" t="s">
        <v>13142</v>
      </c>
      <c r="B11957" t="s">
        <v>11032</v>
      </c>
      <c r="C11957" t="s">
        <v>2999</v>
      </c>
      <c r="D11957" t="str">
        <f>HYPERLINK("http://service.sap.com/sap/support/notes/1884999","1884999")</f>
        <v>1884999</v>
      </c>
      <c r="E11957">
        <v>1</v>
      </c>
      <c r="F11957" t="s">
        <v>11035</v>
      </c>
    </row>
    <row r="11958" spans="1:6" x14ac:dyDescent="0.25">
      <c r="A11958" t="s">
        <v>13142</v>
      </c>
      <c r="B11958" t="s">
        <v>11032</v>
      </c>
      <c r="C11958" t="s">
        <v>2999</v>
      </c>
      <c r="D11958" t="str">
        <f>HYPERLINK("http://service.sap.com/sap/support/notes/1886221","1886221")</f>
        <v>1886221</v>
      </c>
      <c r="E11958">
        <v>1</v>
      </c>
      <c r="F11958" t="s">
        <v>11037</v>
      </c>
    </row>
    <row r="11959" spans="1:6" x14ac:dyDescent="0.25">
      <c r="A11959" t="s">
        <v>13142</v>
      </c>
      <c r="B11959" t="s">
        <v>11032</v>
      </c>
      <c r="C11959" t="s">
        <v>2999</v>
      </c>
      <c r="D11959" t="str">
        <f>HYPERLINK("http://service.sap.com/sap/support/notes/1888912","1888912")</f>
        <v>1888912</v>
      </c>
      <c r="E11959">
        <v>4</v>
      </c>
      <c r="F11959" t="s">
        <v>11035</v>
      </c>
    </row>
    <row r="11960" spans="1:6" x14ac:dyDescent="0.25">
      <c r="A11960" t="s">
        <v>13142</v>
      </c>
      <c r="B11960" t="s">
        <v>11032</v>
      </c>
      <c r="C11960" t="s">
        <v>2999</v>
      </c>
      <c r="D11960" t="str">
        <f>HYPERLINK("http://service.sap.com/sap/support/notes/1889846","1889846")</f>
        <v>1889846</v>
      </c>
      <c r="E11960">
        <v>1</v>
      </c>
      <c r="F11960" t="s">
        <v>11036</v>
      </c>
    </row>
    <row r="11961" spans="1:6" x14ac:dyDescent="0.25">
      <c r="A11961" t="s">
        <v>13142</v>
      </c>
      <c r="B11961" t="s">
        <v>11032</v>
      </c>
      <c r="C11961" t="s">
        <v>2999</v>
      </c>
      <c r="D11961" t="str">
        <f>HYPERLINK("http://service.sap.com/sap/support/notes/1890880","1890880")</f>
        <v>1890880</v>
      </c>
      <c r="E11961">
        <v>3</v>
      </c>
      <c r="F11961" t="s">
        <v>11035</v>
      </c>
    </row>
    <row r="11962" spans="1:6" x14ac:dyDescent="0.25">
      <c r="A11962" t="s">
        <v>13142</v>
      </c>
      <c r="B11962" t="s">
        <v>11032</v>
      </c>
      <c r="C11962" t="s">
        <v>2999</v>
      </c>
      <c r="D11962" t="str">
        <f>HYPERLINK("http://service.sap.com/sap/support/notes/1899845","1899845")</f>
        <v>1899845</v>
      </c>
      <c r="E11962">
        <v>1</v>
      </c>
      <c r="F11962" t="s">
        <v>11034</v>
      </c>
    </row>
    <row r="11963" spans="1:6" x14ac:dyDescent="0.25">
      <c r="A11963" t="s">
        <v>13142</v>
      </c>
      <c r="B11963" t="s">
        <v>11032</v>
      </c>
      <c r="C11963" t="s">
        <v>2999</v>
      </c>
      <c r="D11963" t="str">
        <f>HYPERLINK("http://service.sap.com/sap/support/notes/1901250","1901250")</f>
        <v>1901250</v>
      </c>
      <c r="E11963">
        <v>3</v>
      </c>
      <c r="F11963" t="s">
        <v>11033</v>
      </c>
    </row>
    <row r="11964" spans="1:6" x14ac:dyDescent="0.25">
      <c r="A11964" t="s">
        <v>13142</v>
      </c>
      <c r="B11964" t="s">
        <v>11032</v>
      </c>
      <c r="C11964" t="s">
        <v>2999</v>
      </c>
      <c r="D11964" t="str">
        <f>HYPERLINK("http://service.sap.com/sap/support/notes/1901252","1901252")</f>
        <v>1901252</v>
      </c>
      <c r="E11964">
        <v>5</v>
      </c>
      <c r="F11964" t="s">
        <v>11031</v>
      </c>
    </row>
    <row r="11965" spans="1:6" x14ac:dyDescent="0.25">
      <c r="A11965" t="s">
        <v>13142</v>
      </c>
      <c r="B11965" t="s">
        <v>4048</v>
      </c>
      <c r="C11965" t="s">
        <v>4049</v>
      </c>
    </row>
    <row r="11966" spans="1:6" x14ac:dyDescent="0.25">
      <c r="A11966" t="s">
        <v>13142</v>
      </c>
      <c r="B11966" t="s">
        <v>11030</v>
      </c>
      <c r="C11966" t="s">
        <v>198</v>
      </c>
      <c r="D11966" t="str">
        <f>HYPERLINK("http://service.sap.com/sap/support/notes/1878010","1878010")</f>
        <v>1878010</v>
      </c>
      <c r="E11966">
        <v>1</v>
      </c>
      <c r="F11966" t="s">
        <v>11029</v>
      </c>
    </row>
    <row r="11967" spans="1:6" x14ac:dyDescent="0.25">
      <c r="A11967" t="s">
        <v>13142</v>
      </c>
      <c r="B11967" t="s">
        <v>4053</v>
      </c>
      <c r="C11967" t="s">
        <v>4054</v>
      </c>
      <c r="D11967" t="str">
        <f>HYPERLINK("http://service.sap.com/sap/support/notes/1863847","1863847")</f>
        <v>1863847</v>
      </c>
      <c r="E11967">
        <v>2</v>
      </c>
      <c r="F11967" t="s">
        <v>10855</v>
      </c>
    </row>
    <row r="11968" spans="1:6" x14ac:dyDescent="0.25">
      <c r="A11968" t="s">
        <v>13142</v>
      </c>
      <c r="B11968" t="s">
        <v>4060</v>
      </c>
      <c r="C11968" t="s">
        <v>198</v>
      </c>
      <c r="D11968" t="str">
        <f>HYPERLINK("http://service.sap.com/sap/support/notes/1832989","1832989")</f>
        <v>1832989</v>
      </c>
      <c r="E11968">
        <v>2</v>
      </c>
      <c r="F11968" t="s">
        <v>11028</v>
      </c>
    </row>
    <row r="11969" spans="1:6" x14ac:dyDescent="0.25">
      <c r="A11969" t="s">
        <v>13142</v>
      </c>
      <c r="B11969" t="s">
        <v>4060</v>
      </c>
      <c r="C11969" t="s">
        <v>198</v>
      </c>
      <c r="D11969" t="str">
        <f>HYPERLINK("http://service.sap.com/sap/support/notes/1849656","1849656")</f>
        <v>1849656</v>
      </c>
      <c r="E11969">
        <v>9</v>
      </c>
      <c r="F11969" t="s">
        <v>11027</v>
      </c>
    </row>
    <row r="11970" spans="1:6" x14ac:dyDescent="0.25">
      <c r="A11970" t="s">
        <v>13142</v>
      </c>
      <c r="B11970" t="s">
        <v>4060</v>
      </c>
      <c r="C11970" t="s">
        <v>198</v>
      </c>
      <c r="D11970" t="str">
        <f>HYPERLINK("http://service.sap.com/sap/support/notes/1862471","1862471")</f>
        <v>1862471</v>
      </c>
      <c r="E11970">
        <v>4</v>
      </c>
      <c r="F11970" t="s">
        <v>11026</v>
      </c>
    </row>
    <row r="11971" spans="1:6" x14ac:dyDescent="0.25">
      <c r="A11971" t="s">
        <v>13142</v>
      </c>
      <c r="B11971" t="s">
        <v>4060</v>
      </c>
      <c r="C11971" t="s">
        <v>198</v>
      </c>
      <c r="D11971" t="str">
        <f>HYPERLINK("http://service.sap.com/sap/support/notes/1863554","1863554")</f>
        <v>1863554</v>
      </c>
      <c r="E11971">
        <v>5</v>
      </c>
      <c r="F11971" t="s">
        <v>11025</v>
      </c>
    </row>
    <row r="11972" spans="1:6" x14ac:dyDescent="0.25">
      <c r="A11972" t="s">
        <v>13142</v>
      </c>
      <c r="B11972" t="s">
        <v>4060</v>
      </c>
      <c r="C11972" t="s">
        <v>198</v>
      </c>
      <c r="D11972" t="str">
        <f>HYPERLINK("http://service.sap.com/sap/support/notes/1863722","1863722")</f>
        <v>1863722</v>
      </c>
      <c r="E11972">
        <v>2</v>
      </c>
      <c r="F11972" t="s">
        <v>11024</v>
      </c>
    </row>
    <row r="11973" spans="1:6" x14ac:dyDescent="0.25">
      <c r="A11973" t="s">
        <v>13142</v>
      </c>
      <c r="B11973" t="s">
        <v>4060</v>
      </c>
      <c r="C11973" t="s">
        <v>198</v>
      </c>
      <c r="D11973" t="str">
        <f>HYPERLINK("http://service.sap.com/sap/support/notes/1865636","1865636")</f>
        <v>1865636</v>
      </c>
      <c r="E11973">
        <v>1</v>
      </c>
      <c r="F11973" t="s">
        <v>11023</v>
      </c>
    </row>
    <row r="11974" spans="1:6" x14ac:dyDescent="0.25">
      <c r="A11974" t="s">
        <v>13142</v>
      </c>
      <c r="B11974" t="s">
        <v>4060</v>
      </c>
      <c r="C11974" t="s">
        <v>198</v>
      </c>
      <c r="D11974" t="str">
        <f>HYPERLINK("http://service.sap.com/sap/support/notes/1865736","1865736")</f>
        <v>1865736</v>
      </c>
      <c r="E11974">
        <v>1</v>
      </c>
      <c r="F11974" t="s">
        <v>11022</v>
      </c>
    </row>
    <row r="11975" spans="1:6" x14ac:dyDescent="0.25">
      <c r="A11975" t="s">
        <v>13142</v>
      </c>
      <c r="B11975" t="s">
        <v>4060</v>
      </c>
      <c r="C11975" t="s">
        <v>198</v>
      </c>
      <c r="D11975" t="str">
        <f>HYPERLINK("http://service.sap.com/sap/support/notes/1865824","1865824")</f>
        <v>1865824</v>
      </c>
      <c r="E11975">
        <v>3</v>
      </c>
      <c r="F11975" t="s">
        <v>11021</v>
      </c>
    </row>
    <row r="11976" spans="1:6" x14ac:dyDescent="0.25">
      <c r="A11976" t="s">
        <v>13142</v>
      </c>
      <c r="B11976" t="s">
        <v>4060</v>
      </c>
      <c r="C11976" t="s">
        <v>198</v>
      </c>
      <c r="D11976" t="str">
        <f>HYPERLINK("http://service.sap.com/sap/support/notes/1865890","1865890")</f>
        <v>1865890</v>
      </c>
      <c r="E11976">
        <v>3</v>
      </c>
      <c r="F11976" t="s">
        <v>11020</v>
      </c>
    </row>
    <row r="11977" spans="1:6" x14ac:dyDescent="0.25">
      <c r="A11977" t="s">
        <v>13142</v>
      </c>
      <c r="B11977" t="s">
        <v>4060</v>
      </c>
      <c r="C11977" t="s">
        <v>198</v>
      </c>
      <c r="D11977" t="str">
        <f>HYPERLINK("http://service.sap.com/sap/support/notes/1866036","1866036")</f>
        <v>1866036</v>
      </c>
      <c r="E11977">
        <v>2</v>
      </c>
      <c r="F11977" t="s">
        <v>11019</v>
      </c>
    </row>
    <row r="11978" spans="1:6" x14ac:dyDescent="0.25">
      <c r="A11978" t="s">
        <v>13142</v>
      </c>
      <c r="B11978" t="s">
        <v>4060</v>
      </c>
      <c r="C11978" t="s">
        <v>198</v>
      </c>
      <c r="D11978" t="str">
        <f>HYPERLINK("http://service.sap.com/sap/support/notes/1866318","1866318")</f>
        <v>1866318</v>
      </c>
      <c r="E11978">
        <v>3</v>
      </c>
      <c r="F11978" t="s">
        <v>11018</v>
      </c>
    </row>
    <row r="11979" spans="1:6" x14ac:dyDescent="0.25">
      <c r="A11979" t="s">
        <v>13142</v>
      </c>
      <c r="B11979" t="s">
        <v>4060</v>
      </c>
      <c r="C11979" t="s">
        <v>198</v>
      </c>
      <c r="D11979" t="str">
        <f>HYPERLINK("http://service.sap.com/sap/support/notes/1866592","1866592")</f>
        <v>1866592</v>
      </c>
      <c r="E11979">
        <v>1</v>
      </c>
      <c r="F11979" t="s">
        <v>11017</v>
      </c>
    </row>
    <row r="11980" spans="1:6" x14ac:dyDescent="0.25">
      <c r="A11980" t="s">
        <v>13142</v>
      </c>
      <c r="B11980" t="s">
        <v>4060</v>
      </c>
      <c r="C11980" t="s">
        <v>198</v>
      </c>
      <c r="D11980" t="str">
        <f>HYPERLINK("http://service.sap.com/sap/support/notes/1866912","1866912")</f>
        <v>1866912</v>
      </c>
      <c r="E11980">
        <v>2</v>
      </c>
      <c r="F11980" t="s">
        <v>11016</v>
      </c>
    </row>
    <row r="11981" spans="1:6" x14ac:dyDescent="0.25">
      <c r="A11981" t="s">
        <v>13142</v>
      </c>
      <c r="B11981" t="s">
        <v>4060</v>
      </c>
      <c r="C11981" t="s">
        <v>198</v>
      </c>
      <c r="D11981" t="str">
        <f>HYPERLINK("http://service.sap.com/sap/support/notes/1867858","1867858")</f>
        <v>1867858</v>
      </c>
      <c r="E11981">
        <v>3</v>
      </c>
      <c r="F11981" t="s">
        <v>11015</v>
      </c>
    </row>
    <row r="11982" spans="1:6" x14ac:dyDescent="0.25">
      <c r="A11982" t="s">
        <v>13142</v>
      </c>
      <c r="B11982" t="s">
        <v>4060</v>
      </c>
      <c r="C11982" t="s">
        <v>198</v>
      </c>
      <c r="D11982" t="str">
        <f>HYPERLINK("http://service.sap.com/sap/support/notes/1868344","1868344")</f>
        <v>1868344</v>
      </c>
      <c r="E11982">
        <v>2</v>
      </c>
      <c r="F11982" t="s">
        <v>11014</v>
      </c>
    </row>
    <row r="11983" spans="1:6" x14ac:dyDescent="0.25">
      <c r="A11983" t="s">
        <v>13142</v>
      </c>
      <c r="B11983" t="s">
        <v>4060</v>
      </c>
      <c r="C11983" t="s">
        <v>198</v>
      </c>
      <c r="D11983" t="str">
        <f>HYPERLINK("http://service.sap.com/sap/support/notes/1869388","1869388")</f>
        <v>1869388</v>
      </c>
      <c r="E11983">
        <v>1</v>
      </c>
      <c r="F11983" t="s">
        <v>11013</v>
      </c>
    </row>
    <row r="11984" spans="1:6" x14ac:dyDescent="0.25">
      <c r="A11984" t="s">
        <v>13142</v>
      </c>
      <c r="B11984" t="s">
        <v>4060</v>
      </c>
      <c r="C11984" t="s">
        <v>198</v>
      </c>
      <c r="D11984" t="str">
        <f>HYPERLINK("http://service.sap.com/sap/support/notes/1870135","1870135")</f>
        <v>1870135</v>
      </c>
      <c r="E11984">
        <v>2</v>
      </c>
      <c r="F11984" t="s">
        <v>11012</v>
      </c>
    </row>
    <row r="11985" spans="1:6" x14ac:dyDescent="0.25">
      <c r="A11985" t="s">
        <v>13142</v>
      </c>
      <c r="B11985" t="s">
        <v>4060</v>
      </c>
      <c r="C11985" t="s">
        <v>198</v>
      </c>
      <c r="D11985" t="str">
        <f>HYPERLINK("http://service.sap.com/sap/support/notes/1871335","1871335")</f>
        <v>1871335</v>
      </c>
      <c r="E11985">
        <v>2</v>
      </c>
      <c r="F11985" t="s">
        <v>11011</v>
      </c>
    </row>
    <row r="11986" spans="1:6" x14ac:dyDescent="0.25">
      <c r="A11986" t="s">
        <v>13142</v>
      </c>
      <c r="B11986" t="s">
        <v>4060</v>
      </c>
      <c r="C11986" t="s">
        <v>198</v>
      </c>
      <c r="D11986" t="str">
        <f>HYPERLINK("http://service.sap.com/sap/support/notes/1871567","1871567")</f>
        <v>1871567</v>
      </c>
      <c r="E11986">
        <v>2</v>
      </c>
      <c r="F11986" t="s">
        <v>11010</v>
      </c>
    </row>
    <row r="11987" spans="1:6" x14ac:dyDescent="0.25">
      <c r="A11987" t="s">
        <v>13142</v>
      </c>
      <c r="B11987" t="s">
        <v>4060</v>
      </c>
      <c r="C11987" t="s">
        <v>198</v>
      </c>
      <c r="D11987" t="str">
        <f>HYPERLINK("http://service.sap.com/sap/support/notes/1871635","1871635")</f>
        <v>1871635</v>
      </c>
      <c r="E11987">
        <v>1</v>
      </c>
      <c r="F11987" t="s">
        <v>11009</v>
      </c>
    </row>
    <row r="11988" spans="1:6" x14ac:dyDescent="0.25">
      <c r="A11988" t="s">
        <v>13142</v>
      </c>
      <c r="B11988" t="s">
        <v>4060</v>
      </c>
      <c r="C11988" t="s">
        <v>198</v>
      </c>
      <c r="D11988" t="str">
        <f>HYPERLINK("http://service.sap.com/sap/support/notes/1871767","1871767")</f>
        <v>1871767</v>
      </c>
      <c r="E11988">
        <v>3</v>
      </c>
      <c r="F11988" t="s">
        <v>11008</v>
      </c>
    </row>
    <row r="11989" spans="1:6" x14ac:dyDescent="0.25">
      <c r="A11989" t="s">
        <v>13142</v>
      </c>
      <c r="B11989" t="s">
        <v>4060</v>
      </c>
      <c r="C11989" t="s">
        <v>198</v>
      </c>
      <c r="D11989" t="str">
        <f>HYPERLINK("http://service.sap.com/sap/support/notes/1872311","1872311")</f>
        <v>1872311</v>
      </c>
      <c r="E11989">
        <v>2</v>
      </c>
      <c r="F11989" t="s">
        <v>11007</v>
      </c>
    </row>
    <row r="11990" spans="1:6" x14ac:dyDescent="0.25">
      <c r="A11990" t="s">
        <v>13142</v>
      </c>
      <c r="B11990" t="s">
        <v>4060</v>
      </c>
      <c r="C11990" t="s">
        <v>198</v>
      </c>
      <c r="D11990" t="str">
        <f>HYPERLINK("http://service.sap.com/sap/support/notes/1872999","1872999")</f>
        <v>1872999</v>
      </c>
      <c r="E11990">
        <v>2</v>
      </c>
      <c r="F11990" t="s">
        <v>11006</v>
      </c>
    </row>
    <row r="11991" spans="1:6" x14ac:dyDescent="0.25">
      <c r="A11991" t="s">
        <v>13142</v>
      </c>
      <c r="B11991" t="s">
        <v>4060</v>
      </c>
      <c r="C11991" t="s">
        <v>198</v>
      </c>
      <c r="D11991" t="str">
        <f>HYPERLINK("http://service.sap.com/sap/support/notes/1873195","1873195")</f>
        <v>1873195</v>
      </c>
      <c r="E11991">
        <v>3</v>
      </c>
      <c r="F11991" t="s">
        <v>11005</v>
      </c>
    </row>
    <row r="11992" spans="1:6" x14ac:dyDescent="0.25">
      <c r="A11992" t="s">
        <v>13142</v>
      </c>
      <c r="B11992" t="s">
        <v>4060</v>
      </c>
      <c r="C11992" t="s">
        <v>198</v>
      </c>
      <c r="D11992" t="str">
        <f>HYPERLINK("http://service.sap.com/sap/support/notes/1873386","1873386")</f>
        <v>1873386</v>
      </c>
      <c r="E11992">
        <v>2</v>
      </c>
      <c r="F11992" t="s">
        <v>11004</v>
      </c>
    </row>
    <row r="11993" spans="1:6" x14ac:dyDescent="0.25">
      <c r="A11993" t="s">
        <v>13142</v>
      </c>
      <c r="B11993" t="s">
        <v>4060</v>
      </c>
      <c r="C11993" t="s">
        <v>198</v>
      </c>
      <c r="D11993" t="str">
        <f>HYPERLINK("http://service.sap.com/sap/support/notes/1873411","1873411")</f>
        <v>1873411</v>
      </c>
      <c r="E11993">
        <v>2</v>
      </c>
      <c r="F11993" t="s">
        <v>11003</v>
      </c>
    </row>
    <row r="11994" spans="1:6" x14ac:dyDescent="0.25">
      <c r="A11994" t="s">
        <v>13142</v>
      </c>
      <c r="B11994" t="s">
        <v>4060</v>
      </c>
      <c r="C11994" t="s">
        <v>198</v>
      </c>
      <c r="D11994" t="str">
        <f>HYPERLINK("http://service.sap.com/sap/support/notes/1874529","1874529")</f>
        <v>1874529</v>
      </c>
      <c r="E11994">
        <v>3</v>
      </c>
      <c r="F11994" t="s">
        <v>11002</v>
      </c>
    </row>
    <row r="11995" spans="1:6" x14ac:dyDescent="0.25">
      <c r="A11995" t="s">
        <v>13142</v>
      </c>
      <c r="B11995" t="s">
        <v>4060</v>
      </c>
      <c r="C11995" t="s">
        <v>198</v>
      </c>
      <c r="D11995" t="str">
        <f>HYPERLINK("http://service.sap.com/sap/support/notes/1874952","1874952")</f>
        <v>1874952</v>
      </c>
      <c r="E11995">
        <v>5</v>
      </c>
      <c r="F11995" t="s">
        <v>11001</v>
      </c>
    </row>
    <row r="11996" spans="1:6" x14ac:dyDescent="0.25">
      <c r="A11996" t="s">
        <v>13142</v>
      </c>
      <c r="B11996" t="s">
        <v>4060</v>
      </c>
      <c r="C11996" t="s">
        <v>198</v>
      </c>
      <c r="D11996" t="str">
        <f>HYPERLINK("http://service.sap.com/sap/support/notes/1875622","1875622")</f>
        <v>1875622</v>
      </c>
      <c r="E11996">
        <v>3</v>
      </c>
      <c r="F11996" t="s">
        <v>11000</v>
      </c>
    </row>
    <row r="11997" spans="1:6" x14ac:dyDescent="0.25">
      <c r="A11997" t="s">
        <v>13142</v>
      </c>
      <c r="B11997" t="s">
        <v>4060</v>
      </c>
      <c r="C11997" t="s">
        <v>198</v>
      </c>
      <c r="D11997" t="str">
        <f>HYPERLINK("http://service.sap.com/sap/support/notes/1875635","1875635")</f>
        <v>1875635</v>
      </c>
      <c r="E11997">
        <v>1</v>
      </c>
      <c r="F11997" t="s">
        <v>10999</v>
      </c>
    </row>
    <row r="11998" spans="1:6" x14ac:dyDescent="0.25">
      <c r="A11998" t="s">
        <v>13142</v>
      </c>
      <c r="B11998" t="s">
        <v>4060</v>
      </c>
      <c r="C11998" t="s">
        <v>198</v>
      </c>
      <c r="D11998" t="str">
        <f>HYPERLINK("http://service.sap.com/sap/support/notes/1875980","1875980")</f>
        <v>1875980</v>
      </c>
      <c r="E11998">
        <v>2</v>
      </c>
      <c r="F11998" t="s">
        <v>10998</v>
      </c>
    </row>
    <row r="11999" spans="1:6" x14ac:dyDescent="0.25">
      <c r="A11999" t="s">
        <v>13142</v>
      </c>
      <c r="B11999" t="s">
        <v>4060</v>
      </c>
      <c r="C11999" t="s">
        <v>198</v>
      </c>
      <c r="D11999" t="str">
        <f>HYPERLINK("http://service.sap.com/sap/support/notes/1876526","1876526")</f>
        <v>1876526</v>
      </c>
      <c r="E11999">
        <v>1</v>
      </c>
      <c r="F11999" t="s">
        <v>10997</v>
      </c>
    </row>
    <row r="12000" spans="1:6" x14ac:dyDescent="0.25">
      <c r="A12000" t="s">
        <v>13142</v>
      </c>
      <c r="B12000" t="s">
        <v>4060</v>
      </c>
      <c r="C12000" t="s">
        <v>198</v>
      </c>
      <c r="D12000" t="str">
        <f>HYPERLINK("http://service.sap.com/sap/support/notes/1876562","1876562")</f>
        <v>1876562</v>
      </c>
      <c r="E12000">
        <v>4</v>
      </c>
      <c r="F12000" t="s">
        <v>10996</v>
      </c>
    </row>
    <row r="12001" spans="1:6" x14ac:dyDescent="0.25">
      <c r="A12001" t="s">
        <v>13142</v>
      </c>
      <c r="B12001" t="s">
        <v>4060</v>
      </c>
      <c r="C12001" t="s">
        <v>198</v>
      </c>
      <c r="D12001" t="str">
        <f>HYPERLINK("http://service.sap.com/sap/support/notes/1877039","1877039")</f>
        <v>1877039</v>
      </c>
      <c r="E12001">
        <v>1</v>
      </c>
      <c r="F12001" t="s">
        <v>10995</v>
      </c>
    </row>
    <row r="12002" spans="1:6" x14ac:dyDescent="0.25">
      <c r="A12002" t="s">
        <v>13142</v>
      </c>
      <c r="B12002" t="s">
        <v>4060</v>
      </c>
      <c r="C12002" t="s">
        <v>198</v>
      </c>
      <c r="D12002" t="str">
        <f>HYPERLINK("http://service.sap.com/sap/support/notes/1878197","1878197")</f>
        <v>1878197</v>
      </c>
      <c r="E12002">
        <v>2</v>
      </c>
      <c r="F12002" t="s">
        <v>10994</v>
      </c>
    </row>
    <row r="12003" spans="1:6" x14ac:dyDescent="0.25">
      <c r="A12003" t="s">
        <v>13142</v>
      </c>
      <c r="B12003" t="s">
        <v>4060</v>
      </c>
      <c r="C12003" t="s">
        <v>198</v>
      </c>
      <c r="D12003" t="str">
        <f>HYPERLINK("http://service.sap.com/sap/support/notes/1878987","1878987")</f>
        <v>1878987</v>
      </c>
      <c r="E12003">
        <v>1</v>
      </c>
      <c r="F12003" t="s">
        <v>10993</v>
      </c>
    </row>
    <row r="12004" spans="1:6" x14ac:dyDescent="0.25">
      <c r="A12004" t="s">
        <v>13142</v>
      </c>
      <c r="B12004" t="s">
        <v>4060</v>
      </c>
      <c r="C12004" t="s">
        <v>198</v>
      </c>
      <c r="D12004" t="str">
        <f>HYPERLINK("http://service.sap.com/sap/support/notes/1879047","1879047")</f>
        <v>1879047</v>
      </c>
      <c r="E12004">
        <v>2</v>
      </c>
      <c r="F12004" t="s">
        <v>10992</v>
      </c>
    </row>
    <row r="12005" spans="1:6" x14ac:dyDescent="0.25">
      <c r="A12005" t="s">
        <v>13142</v>
      </c>
      <c r="B12005" t="s">
        <v>4060</v>
      </c>
      <c r="C12005" t="s">
        <v>198</v>
      </c>
      <c r="D12005" t="str">
        <f>HYPERLINK("http://service.sap.com/sap/support/notes/1879518","1879518")</f>
        <v>1879518</v>
      </c>
      <c r="E12005">
        <v>1</v>
      </c>
      <c r="F12005" t="s">
        <v>10991</v>
      </c>
    </row>
    <row r="12006" spans="1:6" x14ac:dyDescent="0.25">
      <c r="A12006" t="s">
        <v>13142</v>
      </c>
      <c r="B12006" t="s">
        <v>4060</v>
      </c>
      <c r="C12006" t="s">
        <v>198</v>
      </c>
      <c r="D12006" t="str">
        <f>HYPERLINK("http://service.sap.com/sap/support/notes/1881093","1881093")</f>
        <v>1881093</v>
      </c>
      <c r="E12006">
        <v>2</v>
      </c>
      <c r="F12006" t="s">
        <v>10990</v>
      </c>
    </row>
    <row r="12007" spans="1:6" x14ac:dyDescent="0.25">
      <c r="A12007" t="s">
        <v>13142</v>
      </c>
      <c r="B12007" t="s">
        <v>4060</v>
      </c>
      <c r="C12007" t="s">
        <v>198</v>
      </c>
      <c r="D12007" t="str">
        <f>HYPERLINK("http://service.sap.com/sap/support/notes/1881402","1881402")</f>
        <v>1881402</v>
      </c>
      <c r="E12007">
        <v>3</v>
      </c>
      <c r="F12007" t="s">
        <v>10870</v>
      </c>
    </row>
    <row r="12008" spans="1:6" x14ac:dyDescent="0.25">
      <c r="A12008" t="s">
        <v>13142</v>
      </c>
      <c r="B12008" t="s">
        <v>4060</v>
      </c>
      <c r="C12008" t="s">
        <v>198</v>
      </c>
      <c r="D12008" t="str">
        <f>HYPERLINK("http://service.sap.com/sap/support/notes/1882237","1882237")</f>
        <v>1882237</v>
      </c>
      <c r="E12008">
        <v>1</v>
      </c>
      <c r="F12008" t="s">
        <v>10989</v>
      </c>
    </row>
    <row r="12009" spans="1:6" x14ac:dyDescent="0.25">
      <c r="A12009" t="s">
        <v>13142</v>
      </c>
      <c r="B12009" t="s">
        <v>4060</v>
      </c>
      <c r="C12009" t="s">
        <v>198</v>
      </c>
      <c r="D12009" t="str">
        <f>HYPERLINK("http://service.sap.com/sap/support/notes/1882388","1882388")</f>
        <v>1882388</v>
      </c>
      <c r="E12009">
        <v>3</v>
      </c>
      <c r="F12009" t="s">
        <v>10988</v>
      </c>
    </row>
    <row r="12010" spans="1:6" x14ac:dyDescent="0.25">
      <c r="A12010" t="s">
        <v>13142</v>
      </c>
      <c r="B12010" t="s">
        <v>4060</v>
      </c>
      <c r="C12010" t="s">
        <v>198</v>
      </c>
      <c r="D12010" t="str">
        <f>HYPERLINK("http://service.sap.com/sap/support/notes/1882398","1882398")</f>
        <v>1882398</v>
      </c>
      <c r="E12010">
        <v>2</v>
      </c>
      <c r="F12010" t="s">
        <v>10987</v>
      </c>
    </row>
    <row r="12011" spans="1:6" x14ac:dyDescent="0.25">
      <c r="A12011" t="s">
        <v>13142</v>
      </c>
      <c r="B12011" t="s">
        <v>4060</v>
      </c>
      <c r="C12011" t="s">
        <v>198</v>
      </c>
      <c r="D12011" t="str">
        <f>HYPERLINK("http://service.sap.com/sap/support/notes/1883352","1883352")</f>
        <v>1883352</v>
      </c>
      <c r="E12011">
        <v>1</v>
      </c>
      <c r="F12011" t="s">
        <v>8920</v>
      </c>
    </row>
    <row r="12012" spans="1:6" x14ac:dyDescent="0.25">
      <c r="A12012" t="s">
        <v>13142</v>
      </c>
      <c r="B12012" t="s">
        <v>4060</v>
      </c>
      <c r="C12012" t="s">
        <v>198</v>
      </c>
      <c r="D12012" t="str">
        <f>HYPERLINK("http://service.sap.com/sap/support/notes/1883466","1883466")</f>
        <v>1883466</v>
      </c>
      <c r="E12012">
        <v>4</v>
      </c>
      <c r="F12012" t="s">
        <v>10986</v>
      </c>
    </row>
    <row r="12013" spans="1:6" x14ac:dyDescent="0.25">
      <c r="A12013" t="s">
        <v>13142</v>
      </c>
      <c r="B12013" t="s">
        <v>4060</v>
      </c>
      <c r="C12013" t="s">
        <v>198</v>
      </c>
      <c r="D12013" t="str">
        <f>HYPERLINK("http://service.sap.com/sap/support/notes/1883615","1883615")</f>
        <v>1883615</v>
      </c>
      <c r="E12013">
        <v>2</v>
      </c>
      <c r="F12013" t="s">
        <v>10985</v>
      </c>
    </row>
    <row r="12014" spans="1:6" x14ac:dyDescent="0.25">
      <c r="A12014" t="s">
        <v>13142</v>
      </c>
      <c r="B12014" t="s">
        <v>4060</v>
      </c>
      <c r="C12014" t="s">
        <v>198</v>
      </c>
      <c r="D12014" t="str">
        <f>HYPERLINK("http://service.sap.com/sap/support/notes/1883618","1883618")</f>
        <v>1883618</v>
      </c>
      <c r="E12014">
        <v>2</v>
      </c>
      <c r="F12014" t="s">
        <v>10984</v>
      </c>
    </row>
    <row r="12015" spans="1:6" x14ac:dyDescent="0.25">
      <c r="A12015" t="s">
        <v>13142</v>
      </c>
      <c r="B12015" t="s">
        <v>4060</v>
      </c>
      <c r="C12015" t="s">
        <v>198</v>
      </c>
      <c r="D12015" t="str">
        <f>HYPERLINK("http://service.sap.com/sap/support/notes/1883837","1883837")</f>
        <v>1883837</v>
      </c>
      <c r="E12015">
        <v>3</v>
      </c>
      <c r="F12015" t="s">
        <v>10983</v>
      </c>
    </row>
    <row r="12016" spans="1:6" x14ac:dyDescent="0.25">
      <c r="A12016" t="s">
        <v>13142</v>
      </c>
      <c r="B12016" t="s">
        <v>4060</v>
      </c>
      <c r="C12016" t="s">
        <v>198</v>
      </c>
      <c r="D12016" t="str">
        <f>HYPERLINK("http://service.sap.com/sap/support/notes/1884168","1884168")</f>
        <v>1884168</v>
      </c>
      <c r="E12016">
        <v>2</v>
      </c>
      <c r="F12016" t="s">
        <v>10982</v>
      </c>
    </row>
    <row r="12017" spans="1:6" x14ac:dyDescent="0.25">
      <c r="A12017" t="s">
        <v>13142</v>
      </c>
      <c r="B12017" t="s">
        <v>4060</v>
      </c>
      <c r="C12017" t="s">
        <v>198</v>
      </c>
      <c r="D12017" t="str">
        <f>HYPERLINK("http://service.sap.com/sap/support/notes/1885937","1885937")</f>
        <v>1885937</v>
      </c>
      <c r="E12017">
        <v>2</v>
      </c>
      <c r="F12017" t="s">
        <v>10981</v>
      </c>
    </row>
    <row r="12018" spans="1:6" x14ac:dyDescent="0.25">
      <c r="A12018" t="s">
        <v>13142</v>
      </c>
      <c r="B12018" t="s">
        <v>4060</v>
      </c>
      <c r="C12018" t="s">
        <v>198</v>
      </c>
      <c r="D12018" t="str">
        <f>HYPERLINK("http://service.sap.com/sap/support/notes/1886305","1886305")</f>
        <v>1886305</v>
      </c>
      <c r="E12018">
        <v>3</v>
      </c>
      <c r="F12018" t="s">
        <v>10980</v>
      </c>
    </row>
    <row r="12019" spans="1:6" x14ac:dyDescent="0.25">
      <c r="A12019" t="s">
        <v>13142</v>
      </c>
      <c r="B12019" t="s">
        <v>4060</v>
      </c>
      <c r="C12019" t="s">
        <v>198</v>
      </c>
      <c r="D12019" t="str">
        <f>HYPERLINK("http://service.sap.com/sap/support/notes/1886898","1886898")</f>
        <v>1886898</v>
      </c>
      <c r="E12019">
        <v>3</v>
      </c>
      <c r="F12019" t="s">
        <v>10979</v>
      </c>
    </row>
    <row r="12020" spans="1:6" x14ac:dyDescent="0.25">
      <c r="A12020" t="s">
        <v>13142</v>
      </c>
      <c r="B12020" t="s">
        <v>4060</v>
      </c>
      <c r="C12020" t="s">
        <v>198</v>
      </c>
      <c r="D12020" t="str">
        <f>HYPERLINK("http://service.sap.com/sap/support/notes/1887305","1887305")</f>
        <v>1887305</v>
      </c>
      <c r="E12020">
        <v>2</v>
      </c>
      <c r="F12020" t="s">
        <v>10978</v>
      </c>
    </row>
    <row r="12021" spans="1:6" x14ac:dyDescent="0.25">
      <c r="A12021" t="s">
        <v>13142</v>
      </c>
      <c r="B12021" t="s">
        <v>4060</v>
      </c>
      <c r="C12021" t="s">
        <v>198</v>
      </c>
      <c r="D12021" t="str">
        <f>HYPERLINK("http://service.sap.com/sap/support/notes/1888661","1888661")</f>
        <v>1888661</v>
      </c>
      <c r="E12021">
        <v>1</v>
      </c>
      <c r="F12021" t="s">
        <v>10977</v>
      </c>
    </row>
    <row r="12022" spans="1:6" x14ac:dyDescent="0.25">
      <c r="A12022" t="s">
        <v>13142</v>
      </c>
      <c r="B12022" t="s">
        <v>4060</v>
      </c>
      <c r="C12022" t="s">
        <v>198</v>
      </c>
      <c r="D12022" t="str">
        <f>HYPERLINK("http://service.sap.com/sap/support/notes/1889080","1889080")</f>
        <v>1889080</v>
      </c>
      <c r="E12022">
        <v>1</v>
      </c>
      <c r="F12022" t="s">
        <v>10976</v>
      </c>
    </row>
    <row r="12023" spans="1:6" x14ac:dyDescent="0.25">
      <c r="A12023" t="s">
        <v>13142</v>
      </c>
      <c r="B12023" t="s">
        <v>4060</v>
      </c>
      <c r="C12023" t="s">
        <v>198</v>
      </c>
      <c r="D12023" t="str">
        <f>HYPERLINK("http://service.sap.com/sap/support/notes/1890337","1890337")</f>
        <v>1890337</v>
      </c>
      <c r="E12023">
        <v>5</v>
      </c>
      <c r="F12023" t="s">
        <v>10975</v>
      </c>
    </row>
    <row r="12024" spans="1:6" x14ac:dyDescent="0.25">
      <c r="A12024" t="s">
        <v>13142</v>
      </c>
      <c r="B12024" t="s">
        <v>4060</v>
      </c>
      <c r="C12024" t="s">
        <v>198</v>
      </c>
      <c r="D12024" t="str">
        <f>HYPERLINK("http://service.sap.com/sap/support/notes/1890629","1890629")</f>
        <v>1890629</v>
      </c>
      <c r="E12024">
        <v>2</v>
      </c>
      <c r="F12024" t="s">
        <v>10974</v>
      </c>
    </row>
    <row r="12025" spans="1:6" x14ac:dyDescent="0.25">
      <c r="A12025" t="s">
        <v>13142</v>
      </c>
      <c r="B12025" t="s">
        <v>4060</v>
      </c>
      <c r="C12025" t="s">
        <v>198</v>
      </c>
      <c r="D12025" t="str">
        <f>HYPERLINK("http://service.sap.com/sap/support/notes/1890907","1890907")</f>
        <v>1890907</v>
      </c>
      <c r="E12025">
        <v>3</v>
      </c>
      <c r="F12025" t="s">
        <v>10973</v>
      </c>
    </row>
    <row r="12026" spans="1:6" x14ac:dyDescent="0.25">
      <c r="A12026" t="s">
        <v>13142</v>
      </c>
      <c r="B12026" t="s">
        <v>4060</v>
      </c>
      <c r="C12026" t="s">
        <v>198</v>
      </c>
      <c r="D12026" t="str">
        <f>HYPERLINK("http://service.sap.com/sap/support/notes/1891459","1891459")</f>
        <v>1891459</v>
      </c>
      <c r="E12026">
        <v>2</v>
      </c>
      <c r="F12026" t="s">
        <v>10972</v>
      </c>
    </row>
    <row r="12027" spans="1:6" x14ac:dyDescent="0.25">
      <c r="A12027" t="s">
        <v>13142</v>
      </c>
      <c r="B12027" t="s">
        <v>4060</v>
      </c>
      <c r="C12027" t="s">
        <v>198</v>
      </c>
      <c r="D12027" t="str">
        <f>HYPERLINK("http://service.sap.com/sap/support/notes/1891510","1891510")</f>
        <v>1891510</v>
      </c>
      <c r="E12027">
        <v>2</v>
      </c>
      <c r="F12027" t="s">
        <v>10971</v>
      </c>
    </row>
    <row r="12028" spans="1:6" x14ac:dyDescent="0.25">
      <c r="A12028" t="s">
        <v>13142</v>
      </c>
      <c r="B12028" t="s">
        <v>4060</v>
      </c>
      <c r="C12028" t="s">
        <v>198</v>
      </c>
      <c r="D12028" t="str">
        <f>HYPERLINK("http://service.sap.com/sap/support/notes/1892122","1892122")</f>
        <v>1892122</v>
      </c>
      <c r="E12028">
        <v>1</v>
      </c>
      <c r="F12028" t="s">
        <v>10970</v>
      </c>
    </row>
    <row r="12029" spans="1:6" x14ac:dyDescent="0.25">
      <c r="A12029" t="s">
        <v>13142</v>
      </c>
      <c r="B12029" t="s">
        <v>4060</v>
      </c>
      <c r="C12029" t="s">
        <v>198</v>
      </c>
      <c r="D12029" t="str">
        <f>HYPERLINK("http://service.sap.com/sap/support/notes/1893948","1893948")</f>
        <v>1893948</v>
      </c>
      <c r="E12029">
        <v>4</v>
      </c>
      <c r="F12029" t="s">
        <v>10969</v>
      </c>
    </row>
    <row r="12030" spans="1:6" x14ac:dyDescent="0.25">
      <c r="A12030" t="s">
        <v>13142</v>
      </c>
      <c r="B12030" t="s">
        <v>4060</v>
      </c>
      <c r="C12030" t="s">
        <v>198</v>
      </c>
      <c r="D12030" t="str">
        <f>HYPERLINK("http://service.sap.com/sap/support/notes/1895321","1895321")</f>
        <v>1895321</v>
      </c>
      <c r="E12030">
        <v>2</v>
      </c>
      <c r="F12030" t="s">
        <v>10968</v>
      </c>
    </row>
    <row r="12031" spans="1:6" x14ac:dyDescent="0.25">
      <c r="A12031" t="s">
        <v>13142</v>
      </c>
      <c r="B12031" t="s">
        <v>4060</v>
      </c>
      <c r="C12031" t="s">
        <v>198</v>
      </c>
      <c r="D12031" t="str">
        <f>HYPERLINK("http://service.sap.com/sap/support/notes/1895402","1895402")</f>
        <v>1895402</v>
      </c>
      <c r="E12031">
        <v>1</v>
      </c>
      <c r="F12031" t="s">
        <v>10967</v>
      </c>
    </row>
    <row r="12032" spans="1:6" x14ac:dyDescent="0.25">
      <c r="A12032" t="s">
        <v>13142</v>
      </c>
      <c r="B12032" t="s">
        <v>4060</v>
      </c>
      <c r="C12032" t="s">
        <v>198</v>
      </c>
      <c r="D12032" t="str">
        <f>HYPERLINK("http://service.sap.com/sap/support/notes/1895746","1895746")</f>
        <v>1895746</v>
      </c>
      <c r="E12032">
        <v>2</v>
      </c>
      <c r="F12032" t="s">
        <v>10966</v>
      </c>
    </row>
    <row r="12033" spans="1:6" x14ac:dyDescent="0.25">
      <c r="A12033" t="s">
        <v>13142</v>
      </c>
      <c r="B12033" t="s">
        <v>4060</v>
      </c>
      <c r="C12033" t="s">
        <v>198</v>
      </c>
      <c r="D12033" t="str">
        <f>HYPERLINK("http://service.sap.com/sap/support/notes/1895845","1895845")</f>
        <v>1895845</v>
      </c>
      <c r="E12033">
        <v>1</v>
      </c>
      <c r="F12033" t="s">
        <v>10965</v>
      </c>
    </row>
    <row r="12034" spans="1:6" x14ac:dyDescent="0.25">
      <c r="A12034" t="s">
        <v>13142</v>
      </c>
      <c r="B12034" t="s">
        <v>4060</v>
      </c>
      <c r="C12034" t="s">
        <v>198</v>
      </c>
      <c r="D12034" t="str">
        <f>HYPERLINK("http://service.sap.com/sap/support/notes/1896140","1896140")</f>
        <v>1896140</v>
      </c>
      <c r="E12034">
        <v>3</v>
      </c>
      <c r="F12034" t="s">
        <v>10964</v>
      </c>
    </row>
    <row r="12035" spans="1:6" x14ac:dyDescent="0.25">
      <c r="A12035" t="s">
        <v>13142</v>
      </c>
      <c r="B12035" t="s">
        <v>4060</v>
      </c>
      <c r="C12035" t="s">
        <v>198</v>
      </c>
      <c r="D12035" t="str">
        <f>HYPERLINK("http://service.sap.com/sap/support/notes/1896240","1896240")</f>
        <v>1896240</v>
      </c>
      <c r="E12035">
        <v>2</v>
      </c>
      <c r="F12035" t="s">
        <v>10963</v>
      </c>
    </row>
    <row r="12036" spans="1:6" x14ac:dyDescent="0.25">
      <c r="A12036" t="s">
        <v>13142</v>
      </c>
      <c r="B12036" t="s">
        <v>4060</v>
      </c>
      <c r="C12036" t="s">
        <v>198</v>
      </c>
      <c r="D12036" t="str">
        <f>HYPERLINK("http://service.sap.com/sap/support/notes/1896470","1896470")</f>
        <v>1896470</v>
      </c>
      <c r="E12036">
        <v>2</v>
      </c>
      <c r="F12036" t="s">
        <v>10962</v>
      </c>
    </row>
    <row r="12037" spans="1:6" x14ac:dyDescent="0.25">
      <c r="A12037" t="s">
        <v>13142</v>
      </c>
      <c r="B12037" t="s">
        <v>4060</v>
      </c>
      <c r="C12037" t="s">
        <v>198</v>
      </c>
      <c r="D12037" t="str">
        <f>HYPERLINK("http://service.sap.com/sap/support/notes/1896588","1896588")</f>
        <v>1896588</v>
      </c>
      <c r="E12037">
        <v>1</v>
      </c>
      <c r="F12037" t="s">
        <v>10961</v>
      </c>
    </row>
    <row r="12038" spans="1:6" x14ac:dyDescent="0.25">
      <c r="A12038" t="s">
        <v>13142</v>
      </c>
      <c r="B12038" t="s">
        <v>4060</v>
      </c>
      <c r="C12038" t="s">
        <v>198</v>
      </c>
      <c r="D12038" t="str">
        <f>HYPERLINK("http://service.sap.com/sap/support/notes/1897808","1897808")</f>
        <v>1897808</v>
      </c>
      <c r="E12038">
        <v>2</v>
      </c>
      <c r="F12038" t="s">
        <v>10960</v>
      </c>
    </row>
    <row r="12039" spans="1:6" x14ac:dyDescent="0.25">
      <c r="A12039" t="s">
        <v>13142</v>
      </c>
      <c r="B12039" t="s">
        <v>4060</v>
      </c>
      <c r="C12039" t="s">
        <v>198</v>
      </c>
      <c r="D12039" t="str">
        <f>HYPERLINK("http://service.sap.com/sap/support/notes/1898019","1898019")</f>
        <v>1898019</v>
      </c>
      <c r="E12039">
        <v>5</v>
      </c>
      <c r="F12039" t="s">
        <v>10959</v>
      </c>
    </row>
    <row r="12040" spans="1:6" x14ac:dyDescent="0.25">
      <c r="A12040" t="s">
        <v>13142</v>
      </c>
      <c r="B12040" t="s">
        <v>4060</v>
      </c>
      <c r="C12040" t="s">
        <v>198</v>
      </c>
      <c r="D12040" t="str">
        <f>HYPERLINK("http://service.sap.com/sap/support/notes/1898293","1898293")</f>
        <v>1898293</v>
      </c>
      <c r="E12040">
        <v>2</v>
      </c>
      <c r="F12040" t="s">
        <v>10958</v>
      </c>
    </row>
    <row r="12041" spans="1:6" x14ac:dyDescent="0.25">
      <c r="A12041" t="s">
        <v>13142</v>
      </c>
      <c r="B12041" t="s">
        <v>4060</v>
      </c>
      <c r="C12041" t="s">
        <v>198</v>
      </c>
      <c r="D12041" t="str">
        <f>HYPERLINK("http://service.sap.com/sap/support/notes/1898948","1898948")</f>
        <v>1898948</v>
      </c>
      <c r="E12041">
        <v>1</v>
      </c>
      <c r="F12041" t="s">
        <v>10957</v>
      </c>
    </row>
    <row r="12042" spans="1:6" x14ac:dyDescent="0.25">
      <c r="A12042" t="s">
        <v>13142</v>
      </c>
      <c r="B12042" t="s">
        <v>4060</v>
      </c>
      <c r="C12042" t="s">
        <v>198</v>
      </c>
      <c r="D12042" t="str">
        <f>HYPERLINK("http://service.sap.com/sap/support/notes/1900078","1900078")</f>
        <v>1900078</v>
      </c>
      <c r="E12042">
        <v>3</v>
      </c>
      <c r="F12042" t="s">
        <v>10956</v>
      </c>
    </row>
    <row r="12043" spans="1:6" x14ac:dyDescent="0.25">
      <c r="A12043" t="s">
        <v>13142</v>
      </c>
      <c r="B12043" t="s">
        <v>4060</v>
      </c>
      <c r="C12043" t="s">
        <v>198</v>
      </c>
      <c r="D12043" t="str">
        <f>HYPERLINK("http://service.sap.com/sap/support/notes/1901528","1901528")</f>
        <v>1901528</v>
      </c>
      <c r="E12043">
        <v>1</v>
      </c>
      <c r="F12043" t="s">
        <v>10955</v>
      </c>
    </row>
    <row r="12044" spans="1:6" x14ac:dyDescent="0.25">
      <c r="A12044" t="s">
        <v>13142</v>
      </c>
      <c r="B12044" t="s">
        <v>4060</v>
      </c>
      <c r="C12044" t="s">
        <v>198</v>
      </c>
      <c r="D12044" t="str">
        <f>HYPERLINK("http://service.sap.com/sap/support/notes/1902051","1902051")</f>
        <v>1902051</v>
      </c>
      <c r="E12044">
        <v>3</v>
      </c>
      <c r="F12044" t="s">
        <v>10954</v>
      </c>
    </row>
    <row r="12045" spans="1:6" x14ac:dyDescent="0.25">
      <c r="A12045" t="s">
        <v>13142</v>
      </c>
      <c r="B12045" t="s">
        <v>4060</v>
      </c>
      <c r="C12045" t="s">
        <v>198</v>
      </c>
      <c r="D12045" t="str">
        <f>HYPERLINK("http://service.sap.com/sap/support/notes/1902884","1902884")</f>
        <v>1902884</v>
      </c>
      <c r="E12045">
        <v>2</v>
      </c>
      <c r="F12045" t="s">
        <v>10953</v>
      </c>
    </row>
    <row r="12046" spans="1:6" x14ac:dyDescent="0.25">
      <c r="A12046" t="s">
        <v>13142</v>
      </c>
      <c r="B12046" t="s">
        <v>4142</v>
      </c>
      <c r="C12046" t="s">
        <v>2999</v>
      </c>
      <c r="D12046" t="str">
        <f>HYPERLINK("http://service.sap.com/sap/support/notes/1825272","1825272")</f>
        <v>1825272</v>
      </c>
      <c r="E12046">
        <v>4</v>
      </c>
      <c r="F12046" t="s">
        <v>10952</v>
      </c>
    </row>
    <row r="12047" spans="1:6" x14ac:dyDescent="0.25">
      <c r="A12047" t="s">
        <v>13142</v>
      </c>
      <c r="B12047" t="s">
        <v>4142</v>
      </c>
      <c r="C12047" t="s">
        <v>2999</v>
      </c>
      <c r="D12047" t="str">
        <f>HYPERLINK("http://service.sap.com/sap/support/notes/1845645","1845645")</f>
        <v>1845645</v>
      </c>
      <c r="E12047">
        <v>3</v>
      </c>
      <c r="F12047" t="s">
        <v>10951</v>
      </c>
    </row>
    <row r="12048" spans="1:6" x14ac:dyDescent="0.25">
      <c r="A12048" t="s">
        <v>13142</v>
      </c>
      <c r="B12048" t="s">
        <v>4142</v>
      </c>
      <c r="C12048" t="s">
        <v>2999</v>
      </c>
      <c r="D12048" t="str">
        <f>HYPERLINK("http://service.sap.com/sap/support/notes/1861638","1861638")</f>
        <v>1861638</v>
      </c>
      <c r="E12048">
        <v>3</v>
      </c>
      <c r="F12048" t="s">
        <v>10950</v>
      </c>
    </row>
    <row r="12049" spans="1:6" x14ac:dyDescent="0.25">
      <c r="A12049" t="s">
        <v>13142</v>
      </c>
      <c r="B12049" t="s">
        <v>4142</v>
      </c>
      <c r="C12049" t="s">
        <v>2999</v>
      </c>
      <c r="D12049" t="str">
        <f>HYPERLINK("http://service.sap.com/sap/support/notes/1866218","1866218")</f>
        <v>1866218</v>
      </c>
      <c r="E12049">
        <v>1</v>
      </c>
      <c r="F12049" t="s">
        <v>10949</v>
      </c>
    </row>
    <row r="12050" spans="1:6" x14ac:dyDescent="0.25">
      <c r="A12050" t="s">
        <v>13142</v>
      </c>
      <c r="B12050" t="s">
        <v>4142</v>
      </c>
      <c r="C12050" t="s">
        <v>2999</v>
      </c>
      <c r="D12050" t="str">
        <f>HYPERLINK("http://service.sap.com/sap/support/notes/1869431","1869431")</f>
        <v>1869431</v>
      </c>
      <c r="E12050">
        <v>2</v>
      </c>
      <c r="F12050" t="s">
        <v>10948</v>
      </c>
    </row>
    <row r="12051" spans="1:6" x14ac:dyDescent="0.25">
      <c r="A12051" t="s">
        <v>13142</v>
      </c>
      <c r="B12051" t="s">
        <v>4142</v>
      </c>
      <c r="C12051" t="s">
        <v>2999</v>
      </c>
      <c r="D12051" t="str">
        <f>HYPERLINK("http://service.sap.com/sap/support/notes/1883247","1883247")</f>
        <v>1883247</v>
      </c>
      <c r="E12051">
        <v>2</v>
      </c>
      <c r="F12051" t="s">
        <v>10947</v>
      </c>
    </row>
    <row r="12052" spans="1:6" x14ac:dyDescent="0.25">
      <c r="A12052" t="s">
        <v>13142</v>
      </c>
      <c r="B12052" t="s">
        <v>4142</v>
      </c>
      <c r="C12052" t="s">
        <v>2999</v>
      </c>
      <c r="D12052" t="str">
        <f>HYPERLINK("http://service.sap.com/sap/support/notes/1889579","1889579")</f>
        <v>1889579</v>
      </c>
      <c r="E12052">
        <v>3</v>
      </c>
      <c r="F12052" t="s">
        <v>10946</v>
      </c>
    </row>
    <row r="12053" spans="1:6" x14ac:dyDescent="0.25">
      <c r="A12053" t="s">
        <v>13142</v>
      </c>
      <c r="B12053" t="s">
        <v>4142</v>
      </c>
      <c r="C12053" t="s">
        <v>2999</v>
      </c>
      <c r="D12053" t="str">
        <f>HYPERLINK("http://service.sap.com/sap/support/notes/1894028","1894028")</f>
        <v>1894028</v>
      </c>
      <c r="E12053">
        <v>1</v>
      </c>
      <c r="F12053" t="s">
        <v>10945</v>
      </c>
    </row>
    <row r="12054" spans="1:6" x14ac:dyDescent="0.25">
      <c r="A12054" t="s">
        <v>13142</v>
      </c>
      <c r="B12054" t="s">
        <v>4154</v>
      </c>
      <c r="C12054" t="s">
        <v>4155</v>
      </c>
    </row>
    <row r="12055" spans="1:6" x14ac:dyDescent="0.25">
      <c r="A12055" t="s">
        <v>13142</v>
      </c>
      <c r="B12055" t="s">
        <v>4156</v>
      </c>
      <c r="C12055" t="s">
        <v>4157</v>
      </c>
      <c r="D12055" t="str">
        <f>HYPERLINK("http://service.sap.com/sap/support/notes/1868458","1868458")</f>
        <v>1868458</v>
      </c>
      <c r="E12055">
        <v>2</v>
      </c>
      <c r="F12055" t="s">
        <v>10944</v>
      </c>
    </row>
    <row r="12056" spans="1:6" x14ac:dyDescent="0.25">
      <c r="A12056" t="s">
        <v>13142</v>
      </c>
      <c r="B12056" t="s">
        <v>4156</v>
      </c>
      <c r="C12056" t="s">
        <v>4157</v>
      </c>
      <c r="D12056" t="str">
        <f>HYPERLINK("http://service.sap.com/sap/support/notes/1874545","1874545")</f>
        <v>1874545</v>
      </c>
      <c r="E12056">
        <v>1</v>
      </c>
      <c r="F12056" t="s">
        <v>10943</v>
      </c>
    </row>
    <row r="12057" spans="1:6" x14ac:dyDescent="0.25">
      <c r="A12057" t="s">
        <v>13142</v>
      </c>
      <c r="B12057" t="s">
        <v>4156</v>
      </c>
      <c r="C12057" t="s">
        <v>4157</v>
      </c>
      <c r="D12057" t="str">
        <f>HYPERLINK("http://service.sap.com/sap/support/notes/1885804","1885804")</f>
        <v>1885804</v>
      </c>
      <c r="E12057">
        <v>1</v>
      </c>
      <c r="F12057" t="s">
        <v>10942</v>
      </c>
    </row>
    <row r="12058" spans="1:6" x14ac:dyDescent="0.25">
      <c r="A12058" t="s">
        <v>13142</v>
      </c>
      <c r="B12058" t="s">
        <v>4159</v>
      </c>
      <c r="C12058" t="s">
        <v>4160</v>
      </c>
      <c r="D12058" t="str">
        <f>HYPERLINK("http://service.sap.com/sap/support/notes/1806586","1806586")</f>
        <v>1806586</v>
      </c>
      <c r="E12058">
        <v>4</v>
      </c>
      <c r="F12058" t="s">
        <v>10941</v>
      </c>
    </row>
    <row r="12059" spans="1:6" x14ac:dyDescent="0.25">
      <c r="A12059" t="s">
        <v>13142</v>
      </c>
      <c r="B12059" t="s">
        <v>4163</v>
      </c>
      <c r="C12059" t="s">
        <v>4164</v>
      </c>
    </row>
    <row r="12060" spans="1:6" x14ac:dyDescent="0.25">
      <c r="A12060" t="s">
        <v>13142</v>
      </c>
      <c r="B12060" t="s">
        <v>10939</v>
      </c>
      <c r="C12060" t="s">
        <v>198</v>
      </c>
      <c r="D12060" t="str">
        <f>HYPERLINK("http://service.sap.com/sap/support/notes/1882607","1882607")</f>
        <v>1882607</v>
      </c>
      <c r="E12060">
        <v>2</v>
      </c>
      <c r="F12060" t="s">
        <v>10940</v>
      </c>
    </row>
    <row r="12061" spans="1:6" x14ac:dyDescent="0.25">
      <c r="A12061" t="s">
        <v>13142</v>
      </c>
      <c r="B12061" t="s">
        <v>10939</v>
      </c>
      <c r="C12061" t="s">
        <v>198</v>
      </c>
      <c r="D12061" t="str">
        <f>HYPERLINK("http://service.sap.com/sap/support/notes/1885780","1885780")</f>
        <v>1885780</v>
      </c>
      <c r="E12061">
        <v>1</v>
      </c>
      <c r="F12061" t="s">
        <v>10938</v>
      </c>
    </row>
    <row r="12062" spans="1:6" x14ac:dyDescent="0.25">
      <c r="A12062" t="s">
        <v>13142</v>
      </c>
      <c r="B12062" t="s">
        <v>4175</v>
      </c>
      <c r="C12062" t="s">
        <v>4176</v>
      </c>
    </row>
    <row r="12063" spans="1:6" x14ac:dyDescent="0.25">
      <c r="A12063" t="s">
        <v>13142</v>
      </c>
      <c r="B12063" t="s">
        <v>4177</v>
      </c>
      <c r="C12063" t="s">
        <v>4178</v>
      </c>
      <c r="D12063" t="str">
        <f>HYPERLINK("http://service.sap.com/sap/support/notes/1869945","1869945")</f>
        <v>1869945</v>
      </c>
      <c r="E12063">
        <v>2</v>
      </c>
      <c r="F12063" t="s">
        <v>10937</v>
      </c>
    </row>
    <row r="12064" spans="1:6" x14ac:dyDescent="0.25">
      <c r="A12064" t="s">
        <v>13142</v>
      </c>
      <c r="B12064" t="s">
        <v>72</v>
      </c>
      <c r="C12064" t="s">
        <v>73</v>
      </c>
    </row>
    <row r="12065" spans="1:6" x14ac:dyDescent="0.25">
      <c r="A12065" t="s">
        <v>13142</v>
      </c>
      <c r="B12065" t="s">
        <v>4184</v>
      </c>
      <c r="C12065" t="s">
        <v>4185</v>
      </c>
    </row>
    <row r="12066" spans="1:6" x14ac:dyDescent="0.25">
      <c r="A12066" t="s">
        <v>13142</v>
      </c>
      <c r="B12066" t="s">
        <v>4187</v>
      </c>
      <c r="C12066" t="s">
        <v>4188</v>
      </c>
    </row>
    <row r="12067" spans="1:6" x14ac:dyDescent="0.25">
      <c r="A12067" t="s">
        <v>13142</v>
      </c>
      <c r="B12067" t="s">
        <v>4189</v>
      </c>
      <c r="C12067" t="s">
        <v>4190</v>
      </c>
      <c r="D12067" t="str">
        <f>HYPERLINK("http://service.sap.com/sap/support/notes/1889707","1889707")</f>
        <v>1889707</v>
      </c>
      <c r="E12067">
        <v>1</v>
      </c>
      <c r="F12067" t="s">
        <v>10936</v>
      </c>
    </row>
    <row r="12068" spans="1:6" x14ac:dyDescent="0.25">
      <c r="A12068" t="s">
        <v>13142</v>
      </c>
      <c r="B12068" t="s">
        <v>4189</v>
      </c>
      <c r="C12068" t="s">
        <v>4190</v>
      </c>
      <c r="D12068" t="str">
        <f>HYPERLINK("http://service.sap.com/sap/support/notes/1894721","1894721")</f>
        <v>1894721</v>
      </c>
      <c r="E12068">
        <v>1</v>
      </c>
      <c r="F12068" t="s">
        <v>10935</v>
      </c>
    </row>
    <row r="12069" spans="1:6" x14ac:dyDescent="0.25">
      <c r="A12069" t="s">
        <v>13142</v>
      </c>
      <c r="B12069" t="s">
        <v>4189</v>
      </c>
      <c r="C12069" t="s">
        <v>4190</v>
      </c>
      <c r="D12069" t="str">
        <f>HYPERLINK("http://service.sap.com/sap/support/notes/1902214","1902214")</f>
        <v>1902214</v>
      </c>
      <c r="E12069">
        <v>3</v>
      </c>
      <c r="F12069" t="s">
        <v>10934</v>
      </c>
    </row>
    <row r="12070" spans="1:6" x14ac:dyDescent="0.25">
      <c r="A12070" t="s">
        <v>13142</v>
      </c>
      <c r="B12070" t="s">
        <v>6441</v>
      </c>
      <c r="C12070" t="s">
        <v>6442</v>
      </c>
    </row>
    <row r="12071" spans="1:6" x14ac:dyDescent="0.25">
      <c r="A12071" t="s">
        <v>13142</v>
      </c>
      <c r="B12071" t="s">
        <v>10933</v>
      </c>
      <c r="C12071" t="s">
        <v>10932</v>
      </c>
      <c r="D12071" t="str">
        <f>HYPERLINK("http://service.sap.com/sap/support/notes/1492173","1492173")</f>
        <v>1492173</v>
      </c>
      <c r="E12071">
        <v>2</v>
      </c>
      <c r="F12071" t="s">
        <v>10931</v>
      </c>
    </row>
    <row r="12072" spans="1:6" x14ac:dyDescent="0.25">
      <c r="A12072" t="s">
        <v>13142</v>
      </c>
      <c r="B12072" t="s">
        <v>10930</v>
      </c>
      <c r="C12072" t="s">
        <v>10929</v>
      </c>
      <c r="D12072" t="str">
        <f>HYPERLINK("http://service.sap.com/sap/support/notes/1893265","1893265")</f>
        <v>1893265</v>
      </c>
      <c r="E12072">
        <v>2</v>
      </c>
      <c r="F12072" t="s">
        <v>10928</v>
      </c>
    </row>
    <row r="12075" spans="1:6" x14ac:dyDescent="0.25">
      <c r="A12075" t="s">
        <v>13380</v>
      </c>
      <c r="B12075" t="s">
        <v>5</v>
      </c>
      <c r="C12075" t="s">
        <v>6</v>
      </c>
    </row>
    <row r="12076" spans="1:6" x14ac:dyDescent="0.25">
      <c r="A12076" t="s">
        <v>13380</v>
      </c>
      <c r="B12076" t="s">
        <v>28</v>
      </c>
      <c r="C12076" t="s">
        <v>29</v>
      </c>
    </row>
    <row r="12077" spans="1:6" x14ac:dyDescent="0.25">
      <c r="A12077" t="s">
        <v>13380</v>
      </c>
      <c r="B12077" t="s">
        <v>125</v>
      </c>
      <c r="C12077" t="s">
        <v>126</v>
      </c>
      <c r="D12077" t="str">
        <f>HYPERLINK("http://service.sap.com/sap/support/notes/1674679","1674679")</f>
        <v>1674679</v>
      </c>
      <c r="E12077">
        <v>1</v>
      </c>
      <c r="F12077" t="s">
        <v>13143</v>
      </c>
    </row>
    <row r="12078" spans="1:6" x14ac:dyDescent="0.25">
      <c r="A12078" t="s">
        <v>13380</v>
      </c>
      <c r="B12078" t="s">
        <v>125</v>
      </c>
      <c r="C12078" t="s">
        <v>126</v>
      </c>
      <c r="D12078" t="str">
        <f>HYPERLINK("http://service.sap.com/sap/support/notes/1848240","1848240")</f>
        <v>1848240</v>
      </c>
      <c r="E12078">
        <v>1</v>
      </c>
      <c r="F12078" t="s">
        <v>13144</v>
      </c>
    </row>
    <row r="12079" spans="1:6" x14ac:dyDescent="0.25">
      <c r="A12079" t="s">
        <v>13380</v>
      </c>
      <c r="B12079" t="s">
        <v>125</v>
      </c>
      <c r="C12079" t="s">
        <v>126</v>
      </c>
      <c r="D12079" t="str">
        <f>HYPERLINK("http://service.sap.com/sap/support/notes/1862005","1862005")</f>
        <v>1862005</v>
      </c>
      <c r="E12079">
        <v>2</v>
      </c>
      <c r="F12079" t="s">
        <v>13145</v>
      </c>
    </row>
    <row r="12080" spans="1:6" x14ac:dyDescent="0.25">
      <c r="A12080" t="s">
        <v>13380</v>
      </c>
      <c r="B12080" t="s">
        <v>164</v>
      </c>
      <c r="C12080" t="s">
        <v>165</v>
      </c>
    </row>
    <row r="12081" spans="1:6" x14ac:dyDescent="0.25">
      <c r="A12081" t="s">
        <v>13380</v>
      </c>
      <c r="B12081" t="s">
        <v>8975</v>
      </c>
      <c r="C12081" t="s">
        <v>169</v>
      </c>
    </row>
    <row r="12082" spans="1:6" x14ac:dyDescent="0.25">
      <c r="A12082" t="s">
        <v>13380</v>
      </c>
      <c r="B12082" t="s">
        <v>8976</v>
      </c>
      <c r="C12082" t="s">
        <v>8977</v>
      </c>
      <c r="D12082" t="str">
        <f>HYPERLINK("http://service.sap.com/sap/support/notes/1846322","1846322")</f>
        <v>1846322</v>
      </c>
      <c r="E12082">
        <v>3</v>
      </c>
      <c r="F12082" t="s">
        <v>8978</v>
      </c>
    </row>
    <row r="12083" spans="1:6" x14ac:dyDescent="0.25">
      <c r="A12083" t="s">
        <v>13380</v>
      </c>
      <c r="B12083" t="s">
        <v>13146</v>
      </c>
      <c r="C12083" t="s">
        <v>13147</v>
      </c>
    </row>
    <row r="12084" spans="1:6" x14ac:dyDescent="0.25">
      <c r="A12084" t="s">
        <v>13380</v>
      </c>
      <c r="B12084" t="s">
        <v>13148</v>
      </c>
      <c r="C12084" t="s">
        <v>13149</v>
      </c>
      <c r="D12084" t="str">
        <f>HYPERLINK("http://service.sap.com/sap/support/notes/1850577","1850577")</f>
        <v>1850577</v>
      </c>
      <c r="E12084">
        <v>1</v>
      </c>
      <c r="F12084" t="s">
        <v>13150</v>
      </c>
    </row>
    <row r="12085" spans="1:6" x14ac:dyDescent="0.25">
      <c r="A12085" t="s">
        <v>13380</v>
      </c>
      <c r="B12085" t="s">
        <v>13148</v>
      </c>
      <c r="C12085" t="s">
        <v>13149</v>
      </c>
      <c r="D12085" t="str">
        <f>HYPERLINK("http://service.sap.com/sap/support/notes/1861509","1861509")</f>
        <v>1861509</v>
      </c>
      <c r="E12085">
        <v>1</v>
      </c>
      <c r="F12085" t="s">
        <v>13151</v>
      </c>
    </row>
    <row r="12086" spans="1:6" x14ac:dyDescent="0.25">
      <c r="A12086" t="s">
        <v>13380</v>
      </c>
      <c r="B12086" t="s">
        <v>166</v>
      </c>
      <c r="C12086" t="s">
        <v>167</v>
      </c>
    </row>
    <row r="12087" spans="1:6" x14ac:dyDescent="0.25">
      <c r="A12087" t="s">
        <v>13380</v>
      </c>
      <c r="B12087" t="s">
        <v>168</v>
      </c>
      <c r="C12087" t="s">
        <v>169</v>
      </c>
    </row>
    <row r="12088" spans="1:6" x14ac:dyDescent="0.25">
      <c r="A12088" t="s">
        <v>13380</v>
      </c>
      <c r="B12088" t="s">
        <v>170</v>
      </c>
      <c r="C12088" t="s">
        <v>171</v>
      </c>
      <c r="D12088" t="str">
        <f>HYPERLINK("http://service.sap.com/sap/support/notes/1836781","1836781")</f>
        <v>1836781</v>
      </c>
      <c r="E12088">
        <v>5</v>
      </c>
      <c r="F12088" t="s">
        <v>13122</v>
      </c>
    </row>
    <row r="12089" spans="1:6" x14ac:dyDescent="0.25">
      <c r="A12089" t="s">
        <v>13380</v>
      </c>
      <c r="B12089" t="s">
        <v>170</v>
      </c>
      <c r="C12089" t="s">
        <v>171</v>
      </c>
      <c r="D12089" t="str">
        <f>HYPERLINK("http://service.sap.com/sap/support/notes/1846388","1846388")</f>
        <v>1846388</v>
      </c>
      <c r="E12089">
        <v>2</v>
      </c>
      <c r="F12089" t="s">
        <v>8981</v>
      </c>
    </row>
    <row r="12090" spans="1:6" x14ac:dyDescent="0.25">
      <c r="A12090" t="s">
        <v>13380</v>
      </c>
      <c r="B12090" t="s">
        <v>170</v>
      </c>
      <c r="C12090" t="s">
        <v>171</v>
      </c>
      <c r="D12090" t="str">
        <f>HYPERLINK("http://service.sap.com/sap/support/notes/1849925","1849925")</f>
        <v>1849925</v>
      </c>
      <c r="E12090">
        <v>4</v>
      </c>
      <c r="F12090" t="s">
        <v>13121</v>
      </c>
    </row>
    <row r="12091" spans="1:6" x14ac:dyDescent="0.25">
      <c r="A12091" t="s">
        <v>13380</v>
      </c>
      <c r="B12091" t="s">
        <v>175</v>
      </c>
      <c r="C12091" t="s">
        <v>176</v>
      </c>
    </row>
    <row r="12092" spans="1:6" x14ac:dyDescent="0.25">
      <c r="A12092" t="s">
        <v>13380</v>
      </c>
      <c r="B12092" t="s">
        <v>177</v>
      </c>
      <c r="C12092" t="s">
        <v>178</v>
      </c>
    </row>
    <row r="12093" spans="1:6" x14ac:dyDescent="0.25">
      <c r="A12093" t="s">
        <v>13380</v>
      </c>
      <c r="B12093" t="s">
        <v>209</v>
      </c>
      <c r="C12093" t="s">
        <v>210</v>
      </c>
    </row>
    <row r="12094" spans="1:6" x14ac:dyDescent="0.25">
      <c r="A12094" t="s">
        <v>13380</v>
      </c>
      <c r="B12094" t="s">
        <v>211</v>
      </c>
      <c r="C12094" t="s">
        <v>212</v>
      </c>
      <c r="D12094" t="str">
        <f>HYPERLINK("http://service.sap.com/sap/support/notes/1831093","1831093")</f>
        <v>1831093</v>
      </c>
      <c r="E12094">
        <v>2</v>
      </c>
      <c r="F12094" t="s">
        <v>8994</v>
      </c>
    </row>
    <row r="12095" spans="1:6" x14ac:dyDescent="0.25">
      <c r="A12095" t="s">
        <v>13380</v>
      </c>
      <c r="B12095" t="s">
        <v>214</v>
      </c>
      <c r="C12095" t="s">
        <v>215</v>
      </c>
      <c r="D12095" t="str">
        <f>HYPERLINK("http://service.sap.com/sap/support/notes/1820801","1820801")</f>
        <v>1820801</v>
      </c>
      <c r="E12095">
        <v>2</v>
      </c>
    </row>
    <row r="12096" spans="1:6" x14ac:dyDescent="0.25">
      <c r="A12096" t="s">
        <v>13380</v>
      </c>
      <c r="B12096" t="s">
        <v>4240</v>
      </c>
      <c r="C12096" t="s">
        <v>62</v>
      </c>
    </row>
    <row r="12097" spans="1:6" x14ac:dyDescent="0.25">
      <c r="A12097" t="s">
        <v>13380</v>
      </c>
      <c r="B12097" t="s">
        <v>4241</v>
      </c>
      <c r="C12097" t="s">
        <v>4242</v>
      </c>
      <c r="D12097" t="str">
        <f>HYPERLINK("http://service.sap.com/sap/support/notes/515542","515542")</f>
        <v>515542</v>
      </c>
      <c r="E12097">
        <v>1</v>
      </c>
      <c r="F12097" t="s">
        <v>13152</v>
      </c>
    </row>
    <row r="12098" spans="1:6" x14ac:dyDescent="0.25">
      <c r="A12098" t="s">
        <v>13380</v>
      </c>
      <c r="B12098" t="s">
        <v>217</v>
      </c>
      <c r="C12098" t="s">
        <v>218</v>
      </c>
    </row>
    <row r="12099" spans="1:6" x14ac:dyDescent="0.25">
      <c r="A12099" t="s">
        <v>13380</v>
      </c>
      <c r="B12099" t="s">
        <v>13153</v>
      </c>
      <c r="C12099" t="s">
        <v>1635</v>
      </c>
      <c r="D12099" t="str">
        <f>HYPERLINK("http://service.sap.com/sap/support/notes/1859982","1859982")</f>
        <v>1859982</v>
      </c>
      <c r="E12099">
        <v>1</v>
      </c>
      <c r="F12099" t="s">
        <v>13154</v>
      </c>
    </row>
    <row r="12100" spans="1:6" x14ac:dyDescent="0.25">
      <c r="A12100" t="s">
        <v>13380</v>
      </c>
      <c r="B12100" t="s">
        <v>6489</v>
      </c>
      <c r="C12100" t="s">
        <v>2321</v>
      </c>
      <c r="D12100" t="str">
        <f>HYPERLINK("http://service.sap.com/sap/support/notes/1844750","1844750")</f>
        <v>1844750</v>
      </c>
      <c r="E12100">
        <v>2</v>
      </c>
      <c r="F12100" t="s">
        <v>8996</v>
      </c>
    </row>
    <row r="12101" spans="1:6" x14ac:dyDescent="0.25">
      <c r="A12101" t="s">
        <v>13380</v>
      </c>
      <c r="B12101" t="s">
        <v>222</v>
      </c>
      <c r="C12101" t="s">
        <v>223</v>
      </c>
    </row>
    <row r="12102" spans="1:6" x14ac:dyDescent="0.25">
      <c r="A12102" t="s">
        <v>13380</v>
      </c>
      <c r="B12102" t="s">
        <v>224</v>
      </c>
      <c r="C12102" t="s">
        <v>225</v>
      </c>
      <c r="D12102" t="str">
        <f>HYPERLINK("http://service.sap.com/sap/support/notes/1839689","1839689")</f>
        <v>1839689</v>
      </c>
      <c r="E12102">
        <v>2</v>
      </c>
      <c r="F12102" t="s">
        <v>8999</v>
      </c>
    </row>
    <row r="12103" spans="1:6" x14ac:dyDescent="0.25">
      <c r="A12103" t="s">
        <v>13380</v>
      </c>
      <c r="B12103" t="s">
        <v>232</v>
      </c>
      <c r="C12103" t="s">
        <v>233</v>
      </c>
      <c r="D12103" t="str">
        <f>HYPERLINK("http://service.sap.com/sap/support/notes/1828267","1828267")</f>
        <v>1828267</v>
      </c>
      <c r="E12103">
        <v>1</v>
      </c>
      <c r="F12103" t="s">
        <v>9001</v>
      </c>
    </row>
    <row r="12104" spans="1:6" x14ac:dyDescent="0.25">
      <c r="A12104" t="s">
        <v>13380</v>
      </c>
      <c r="B12104" t="s">
        <v>232</v>
      </c>
      <c r="C12104" t="s">
        <v>233</v>
      </c>
      <c r="D12104" t="str">
        <f>HYPERLINK("http://service.sap.com/sap/support/notes/1851828","1851828")</f>
        <v>1851828</v>
      </c>
      <c r="E12104">
        <v>2</v>
      </c>
      <c r="F12104" t="s">
        <v>9002</v>
      </c>
    </row>
    <row r="12105" spans="1:6" x14ac:dyDescent="0.25">
      <c r="A12105" t="s">
        <v>13380</v>
      </c>
      <c r="B12105" t="s">
        <v>232</v>
      </c>
      <c r="C12105" t="s">
        <v>233</v>
      </c>
      <c r="D12105" t="str">
        <f>HYPERLINK("http://service.sap.com/sap/support/notes/1852778","1852778")</f>
        <v>1852778</v>
      </c>
      <c r="E12105">
        <v>1</v>
      </c>
      <c r="F12105" t="s">
        <v>9003</v>
      </c>
    </row>
    <row r="12106" spans="1:6" x14ac:dyDescent="0.25">
      <c r="A12106" t="s">
        <v>13380</v>
      </c>
      <c r="B12106" t="s">
        <v>232</v>
      </c>
      <c r="C12106" t="s">
        <v>233</v>
      </c>
      <c r="D12106" t="str">
        <f>HYPERLINK("http://service.sap.com/sap/support/notes/1859091","1859091")</f>
        <v>1859091</v>
      </c>
      <c r="E12106">
        <v>2</v>
      </c>
      <c r="F12106" t="s">
        <v>9004</v>
      </c>
    </row>
    <row r="12107" spans="1:6" x14ac:dyDescent="0.25">
      <c r="A12107" t="s">
        <v>13380</v>
      </c>
      <c r="B12107" t="s">
        <v>232</v>
      </c>
      <c r="C12107" t="s">
        <v>233</v>
      </c>
      <c r="D12107" t="str">
        <f>HYPERLINK("http://service.sap.com/sap/support/notes/1861749","1861749")</f>
        <v>1861749</v>
      </c>
      <c r="E12107">
        <v>1</v>
      </c>
      <c r="F12107" t="s">
        <v>9005</v>
      </c>
    </row>
    <row r="12108" spans="1:6" x14ac:dyDescent="0.25">
      <c r="A12108" t="s">
        <v>13380</v>
      </c>
      <c r="B12108" t="s">
        <v>237</v>
      </c>
      <c r="C12108" t="s">
        <v>238</v>
      </c>
    </row>
    <row r="12109" spans="1:6" x14ac:dyDescent="0.25">
      <c r="A12109" t="s">
        <v>13380</v>
      </c>
      <c r="B12109" t="s">
        <v>239</v>
      </c>
      <c r="C12109" t="s">
        <v>240</v>
      </c>
      <c r="D12109" t="str">
        <f>HYPERLINK("http://service.sap.com/sap/support/notes/1866201","1866201")</f>
        <v>1866201</v>
      </c>
      <c r="E12109">
        <v>1</v>
      </c>
      <c r="F12109" t="s">
        <v>9006</v>
      </c>
    </row>
    <row r="12110" spans="1:6" x14ac:dyDescent="0.25">
      <c r="A12110" t="s">
        <v>13380</v>
      </c>
      <c r="B12110" t="s">
        <v>6501</v>
      </c>
      <c r="C12110" t="s">
        <v>3342</v>
      </c>
    </row>
    <row r="12111" spans="1:6" x14ac:dyDescent="0.25">
      <c r="A12111" t="s">
        <v>13380</v>
      </c>
      <c r="B12111" t="s">
        <v>9007</v>
      </c>
      <c r="C12111" t="s">
        <v>1878</v>
      </c>
      <c r="D12111" t="str">
        <f>HYPERLINK("http://service.sap.com/sap/support/notes/1841940","1841940")</f>
        <v>1841940</v>
      </c>
      <c r="E12111">
        <v>1</v>
      </c>
    </row>
    <row r="12112" spans="1:6" x14ac:dyDescent="0.25">
      <c r="A12112" t="s">
        <v>13380</v>
      </c>
      <c r="B12112" t="s">
        <v>248</v>
      </c>
      <c r="C12112" t="s">
        <v>249</v>
      </c>
    </row>
    <row r="12113" spans="1:6" x14ac:dyDescent="0.25">
      <c r="A12113" t="s">
        <v>13380</v>
      </c>
      <c r="B12113" t="s">
        <v>258</v>
      </c>
      <c r="C12113" t="s">
        <v>259</v>
      </c>
      <c r="D12113" t="str">
        <f>HYPERLINK("http://service.sap.com/sap/support/notes/1846636","1846636")</f>
        <v>1846636</v>
      </c>
      <c r="E12113">
        <v>1</v>
      </c>
      <c r="F12113" t="s">
        <v>9008</v>
      </c>
    </row>
    <row r="12114" spans="1:6" x14ac:dyDescent="0.25">
      <c r="A12114" t="s">
        <v>13380</v>
      </c>
      <c r="B12114" t="s">
        <v>258</v>
      </c>
      <c r="C12114" t="s">
        <v>259</v>
      </c>
      <c r="D12114" t="str">
        <f>HYPERLINK("http://service.sap.com/sap/support/notes/1859546","1859546")</f>
        <v>1859546</v>
      </c>
      <c r="E12114">
        <v>1</v>
      </c>
      <c r="F12114" t="s">
        <v>13155</v>
      </c>
    </row>
    <row r="12115" spans="1:6" x14ac:dyDescent="0.25">
      <c r="A12115" t="s">
        <v>13380</v>
      </c>
      <c r="B12115" t="s">
        <v>267</v>
      </c>
      <c r="C12115" t="s">
        <v>268</v>
      </c>
    </row>
    <row r="12116" spans="1:6" x14ac:dyDescent="0.25">
      <c r="A12116" t="s">
        <v>13380</v>
      </c>
      <c r="B12116" t="s">
        <v>269</v>
      </c>
      <c r="C12116" t="s">
        <v>270</v>
      </c>
      <c r="D12116" t="str">
        <f>HYPERLINK("http://service.sap.com/sap/support/notes/1839820","1839820")</f>
        <v>1839820</v>
      </c>
      <c r="E12116">
        <v>2</v>
      </c>
      <c r="F12116" t="s">
        <v>9009</v>
      </c>
    </row>
    <row r="12117" spans="1:6" x14ac:dyDescent="0.25">
      <c r="A12117" t="s">
        <v>13380</v>
      </c>
      <c r="B12117" t="s">
        <v>269</v>
      </c>
      <c r="C12117" t="s">
        <v>270</v>
      </c>
      <c r="D12117" t="str">
        <f>HYPERLINK("http://service.sap.com/sap/support/notes/1840390","1840390")</f>
        <v>1840390</v>
      </c>
      <c r="E12117">
        <v>2</v>
      </c>
      <c r="F12117" t="s">
        <v>9010</v>
      </c>
    </row>
    <row r="12118" spans="1:6" x14ac:dyDescent="0.25">
      <c r="A12118" t="s">
        <v>13380</v>
      </c>
      <c r="B12118" t="s">
        <v>277</v>
      </c>
      <c r="C12118" t="s">
        <v>278</v>
      </c>
      <c r="D12118" t="str">
        <f>HYPERLINK("http://service.sap.com/sap/support/notes/1408956","1408956")</f>
        <v>1408956</v>
      </c>
      <c r="E12118">
        <v>3</v>
      </c>
      <c r="F12118" t="s">
        <v>9014</v>
      </c>
    </row>
    <row r="12119" spans="1:6" x14ac:dyDescent="0.25">
      <c r="A12119" t="s">
        <v>13380</v>
      </c>
      <c r="B12119" t="s">
        <v>277</v>
      </c>
      <c r="C12119" t="s">
        <v>278</v>
      </c>
      <c r="D12119" t="str">
        <f>HYPERLINK("http://service.sap.com/sap/support/notes/1711898","1711898")</f>
        <v>1711898</v>
      </c>
      <c r="E12119">
        <v>2</v>
      </c>
      <c r="F12119" t="s">
        <v>9015</v>
      </c>
    </row>
    <row r="12120" spans="1:6" x14ac:dyDescent="0.25">
      <c r="A12120" t="s">
        <v>13380</v>
      </c>
      <c r="B12120" t="s">
        <v>277</v>
      </c>
      <c r="C12120" t="s">
        <v>278</v>
      </c>
      <c r="D12120" t="str">
        <f>HYPERLINK("http://service.sap.com/sap/support/notes/1759501","1759501")</f>
        <v>1759501</v>
      </c>
      <c r="E12120">
        <v>2</v>
      </c>
      <c r="F12120" t="s">
        <v>9016</v>
      </c>
    </row>
    <row r="12121" spans="1:6" x14ac:dyDescent="0.25">
      <c r="A12121" t="s">
        <v>13380</v>
      </c>
      <c r="B12121" t="s">
        <v>277</v>
      </c>
      <c r="C12121" t="s">
        <v>278</v>
      </c>
      <c r="D12121" t="str">
        <f>HYPERLINK("http://service.sap.com/sap/support/notes/1834184","1834184")</f>
        <v>1834184</v>
      </c>
      <c r="E12121">
        <v>1</v>
      </c>
      <c r="F12121" t="s">
        <v>9019</v>
      </c>
    </row>
    <row r="12122" spans="1:6" x14ac:dyDescent="0.25">
      <c r="A12122" t="s">
        <v>13380</v>
      </c>
      <c r="B12122" t="s">
        <v>277</v>
      </c>
      <c r="C12122" t="s">
        <v>278</v>
      </c>
      <c r="D12122" t="str">
        <f>HYPERLINK("http://service.sap.com/sap/support/notes/1839993","1839993")</f>
        <v>1839993</v>
      </c>
      <c r="E12122">
        <v>3</v>
      </c>
      <c r="F12122" t="s">
        <v>9021</v>
      </c>
    </row>
    <row r="12123" spans="1:6" x14ac:dyDescent="0.25">
      <c r="A12123" t="s">
        <v>13380</v>
      </c>
      <c r="B12123" t="s">
        <v>277</v>
      </c>
      <c r="C12123" t="s">
        <v>278</v>
      </c>
      <c r="D12123" t="str">
        <f>HYPERLINK("http://service.sap.com/sap/support/notes/1844815","1844815")</f>
        <v>1844815</v>
      </c>
      <c r="E12123">
        <v>3</v>
      </c>
      <c r="F12123" t="s">
        <v>9024</v>
      </c>
    </row>
    <row r="12124" spans="1:6" x14ac:dyDescent="0.25">
      <c r="A12124" t="s">
        <v>13380</v>
      </c>
      <c r="B12124" t="s">
        <v>277</v>
      </c>
      <c r="C12124" t="s">
        <v>278</v>
      </c>
      <c r="D12124" t="str">
        <f>HYPERLINK("http://service.sap.com/sap/support/notes/1851592","1851592")</f>
        <v>1851592</v>
      </c>
      <c r="E12124">
        <v>2</v>
      </c>
      <c r="F12124" t="s">
        <v>6540</v>
      </c>
    </row>
    <row r="12125" spans="1:6" x14ac:dyDescent="0.25">
      <c r="A12125" t="s">
        <v>13380</v>
      </c>
      <c r="B12125" t="s">
        <v>277</v>
      </c>
      <c r="C12125" t="s">
        <v>278</v>
      </c>
      <c r="D12125" t="str">
        <f>HYPERLINK("http://service.sap.com/sap/support/notes/1861400","1861400")</f>
        <v>1861400</v>
      </c>
      <c r="E12125">
        <v>3</v>
      </c>
      <c r="F12125" t="s">
        <v>13156</v>
      </c>
    </row>
    <row r="12126" spans="1:6" x14ac:dyDescent="0.25">
      <c r="A12126" t="s">
        <v>13380</v>
      </c>
      <c r="B12126" t="s">
        <v>288</v>
      </c>
      <c r="C12126" t="s">
        <v>289</v>
      </c>
      <c r="D12126" t="str">
        <f>HYPERLINK("http://service.sap.com/sap/support/notes/1833173","1833173")</f>
        <v>1833173</v>
      </c>
      <c r="E12126">
        <v>1</v>
      </c>
      <c r="F12126" t="s">
        <v>9028</v>
      </c>
    </row>
    <row r="12127" spans="1:6" x14ac:dyDescent="0.25">
      <c r="A12127" t="s">
        <v>13380</v>
      </c>
      <c r="B12127" t="s">
        <v>288</v>
      </c>
      <c r="C12127" t="s">
        <v>289</v>
      </c>
      <c r="D12127" t="str">
        <f>HYPERLINK("http://service.sap.com/sap/support/notes/1841608","1841608")</f>
        <v>1841608</v>
      </c>
      <c r="E12127">
        <v>2</v>
      </c>
      <c r="F12127" t="s">
        <v>9030</v>
      </c>
    </row>
    <row r="12128" spans="1:6" x14ac:dyDescent="0.25">
      <c r="A12128" t="s">
        <v>13380</v>
      </c>
      <c r="B12128" t="s">
        <v>288</v>
      </c>
      <c r="C12128" t="s">
        <v>289</v>
      </c>
      <c r="D12128" t="str">
        <f>HYPERLINK("http://service.sap.com/sap/support/notes/1843291","1843291")</f>
        <v>1843291</v>
      </c>
      <c r="E12128">
        <v>3</v>
      </c>
      <c r="F12128" t="s">
        <v>9031</v>
      </c>
    </row>
    <row r="12129" spans="1:6" x14ac:dyDescent="0.25">
      <c r="A12129" t="s">
        <v>13380</v>
      </c>
      <c r="B12129" t="s">
        <v>288</v>
      </c>
      <c r="C12129" t="s">
        <v>289</v>
      </c>
      <c r="D12129" t="str">
        <f>HYPERLINK("http://service.sap.com/sap/support/notes/1844046","1844046")</f>
        <v>1844046</v>
      </c>
      <c r="E12129">
        <v>2</v>
      </c>
      <c r="F12129" t="s">
        <v>9032</v>
      </c>
    </row>
    <row r="12130" spans="1:6" x14ac:dyDescent="0.25">
      <c r="A12130" t="s">
        <v>13380</v>
      </c>
      <c r="B12130" t="s">
        <v>288</v>
      </c>
      <c r="C12130" t="s">
        <v>289</v>
      </c>
      <c r="D12130" t="str">
        <f>HYPERLINK("http://service.sap.com/sap/support/notes/1856425","1856425")</f>
        <v>1856425</v>
      </c>
      <c r="E12130">
        <v>1</v>
      </c>
      <c r="F12130" t="s">
        <v>9033</v>
      </c>
    </row>
    <row r="12131" spans="1:6" x14ac:dyDescent="0.25">
      <c r="A12131" t="s">
        <v>13380</v>
      </c>
      <c r="B12131" t="s">
        <v>288</v>
      </c>
      <c r="C12131" t="s">
        <v>289</v>
      </c>
      <c r="D12131" t="str">
        <f>HYPERLINK("http://service.sap.com/sap/support/notes/1857452","1857452")</f>
        <v>1857452</v>
      </c>
      <c r="E12131">
        <v>5</v>
      </c>
      <c r="F12131" t="s">
        <v>9034</v>
      </c>
    </row>
    <row r="12132" spans="1:6" x14ac:dyDescent="0.25">
      <c r="A12132" t="s">
        <v>13380</v>
      </c>
      <c r="B12132" t="s">
        <v>288</v>
      </c>
      <c r="C12132" t="s">
        <v>289</v>
      </c>
      <c r="D12132" t="str">
        <f>HYPERLINK("http://service.sap.com/sap/support/notes/1859386","1859386")</f>
        <v>1859386</v>
      </c>
      <c r="E12132">
        <v>1</v>
      </c>
      <c r="F12132" t="s">
        <v>9035</v>
      </c>
    </row>
    <row r="12133" spans="1:6" x14ac:dyDescent="0.25">
      <c r="A12133" t="s">
        <v>13380</v>
      </c>
      <c r="B12133" t="s">
        <v>288</v>
      </c>
      <c r="C12133" t="s">
        <v>289</v>
      </c>
      <c r="D12133" t="str">
        <f>HYPERLINK("http://service.sap.com/sap/support/notes/1860019","1860019")</f>
        <v>1860019</v>
      </c>
      <c r="E12133">
        <v>1</v>
      </c>
      <c r="F12133" t="s">
        <v>9036</v>
      </c>
    </row>
    <row r="12134" spans="1:6" x14ac:dyDescent="0.25">
      <c r="A12134" t="s">
        <v>13380</v>
      </c>
      <c r="B12134" t="s">
        <v>293</v>
      </c>
      <c r="C12134" t="s">
        <v>294</v>
      </c>
      <c r="D12134" t="str">
        <f>HYPERLINK("http://service.sap.com/sap/support/notes/1840488","1840488")</f>
        <v>1840488</v>
      </c>
      <c r="E12134">
        <v>2</v>
      </c>
      <c r="F12134" t="s">
        <v>9039</v>
      </c>
    </row>
    <row r="12135" spans="1:6" x14ac:dyDescent="0.25">
      <c r="A12135" t="s">
        <v>13380</v>
      </c>
      <c r="B12135" t="s">
        <v>293</v>
      </c>
      <c r="C12135" t="s">
        <v>294</v>
      </c>
      <c r="D12135" t="str">
        <f>HYPERLINK("http://service.sap.com/sap/support/notes/1843205","1843205")</f>
        <v>1843205</v>
      </c>
      <c r="E12135">
        <v>3</v>
      </c>
      <c r="F12135" t="s">
        <v>9040</v>
      </c>
    </row>
    <row r="12136" spans="1:6" x14ac:dyDescent="0.25">
      <c r="A12136" t="s">
        <v>13380</v>
      </c>
      <c r="B12136" t="s">
        <v>293</v>
      </c>
      <c r="C12136" t="s">
        <v>294</v>
      </c>
      <c r="D12136" t="str">
        <f>HYPERLINK("http://service.sap.com/sap/support/notes/1854901","1854901")</f>
        <v>1854901</v>
      </c>
      <c r="E12136">
        <v>2</v>
      </c>
      <c r="F12136" t="s">
        <v>9041</v>
      </c>
    </row>
    <row r="12137" spans="1:6" x14ac:dyDescent="0.25">
      <c r="A12137" t="s">
        <v>13380</v>
      </c>
      <c r="B12137" t="s">
        <v>293</v>
      </c>
      <c r="C12137" t="s">
        <v>294</v>
      </c>
      <c r="D12137" t="str">
        <f>HYPERLINK("http://service.sap.com/sap/support/notes/1863108","1863108")</f>
        <v>1863108</v>
      </c>
      <c r="E12137">
        <v>4</v>
      </c>
      <c r="F12137" t="s">
        <v>9042</v>
      </c>
    </row>
    <row r="12138" spans="1:6" x14ac:dyDescent="0.25">
      <c r="A12138" t="s">
        <v>13380</v>
      </c>
      <c r="B12138" t="s">
        <v>297</v>
      </c>
      <c r="C12138" t="s">
        <v>298</v>
      </c>
      <c r="D12138" t="str">
        <f>HYPERLINK("http://service.sap.com/sap/support/notes/1856838","1856838")</f>
        <v>1856838</v>
      </c>
      <c r="E12138">
        <v>1</v>
      </c>
      <c r="F12138" t="s">
        <v>9045</v>
      </c>
    </row>
    <row r="12139" spans="1:6" x14ac:dyDescent="0.25">
      <c r="A12139" t="s">
        <v>13380</v>
      </c>
      <c r="B12139" t="s">
        <v>307</v>
      </c>
      <c r="C12139" t="s">
        <v>308</v>
      </c>
    </row>
    <row r="12140" spans="1:6" x14ac:dyDescent="0.25">
      <c r="A12140" t="s">
        <v>13380</v>
      </c>
      <c r="B12140" t="s">
        <v>309</v>
      </c>
      <c r="C12140" t="s">
        <v>310</v>
      </c>
      <c r="D12140" t="str">
        <f>HYPERLINK("http://service.sap.com/sap/support/notes/1775470","1775470")</f>
        <v>1775470</v>
      </c>
      <c r="E12140">
        <v>1</v>
      </c>
      <c r="F12140" t="s">
        <v>4283</v>
      </c>
    </row>
    <row r="12141" spans="1:6" x14ac:dyDescent="0.25">
      <c r="A12141" t="s">
        <v>13380</v>
      </c>
      <c r="B12141" t="s">
        <v>309</v>
      </c>
      <c r="C12141" t="s">
        <v>310</v>
      </c>
      <c r="D12141" t="str">
        <f>HYPERLINK("http://service.sap.com/sap/support/notes/1861968","1861968")</f>
        <v>1861968</v>
      </c>
      <c r="E12141">
        <v>1</v>
      </c>
      <c r="F12141" t="s">
        <v>9177</v>
      </c>
    </row>
    <row r="12142" spans="1:6" x14ac:dyDescent="0.25">
      <c r="A12142" t="s">
        <v>13380</v>
      </c>
      <c r="B12142" t="s">
        <v>309</v>
      </c>
      <c r="C12142" t="s">
        <v>310</v>
      </c>
      <c r="D12142" t="str">
        <f>HYPERLINK("http://service.sap.com/sap/support/notes/1861971","1861971")</f>
        <v>1861971</v>
      </c>
      <c r="E12142">
        <v>2</v>
      </c>
      <c r="F12142" t="s">
        <v>9177</v>
      </c>
    </row>
    <row r="12143" spans="1:6" x14ac:dyDescent="0.25">
      <c r="A12143" t="s">
        <v>13380</v>
      </c>
      <c r="B12143" t="s">
        <v>312</v>
      </c>
      <c r="C12143" t="s">
        <v>313</v>
      </c>
    </row>
    <row r="12144" spans="1:6" x14ac:dyDescent="0.25">
      <c r="A12144" t="s">
        <v>13380</v>
      </c>
      <c r="B12144" t="s">
        <v>13157</v>
      </c>
      <c r="C12144" t="s">
        <v>13158</v>
      </c>
      <c r="D12144" t="str">
        <f>HYPERLINK("http://service.sap.com/sap/support/notes/1861942","1861942")</f>
        <v>1861942</v>
      </c>
      <c r="E12144">
        <v>2</v>
      </c>
      <c r="F12144" t="s">
        <v>9177</v>
      </c>
    </row>
    <row r="12145" spans="1:6" x14ac:dyDescent="0.25">
      <c r="A12145" t="s">
        <v>13380</v>
      </c>
      <c r="B12145" t="s">
        <v>13159</v>
      </c>
      <c r="C12145" t="s">
        <v>13160</v>
      </c>
      <c r="D12145" t="str">
        <f>HYPERLINK("http://service.sap.com/sap/support/notes/1868742","1868742")</f>
        <v>1868742</v>
      </c>
      <c r="E12145">
        <v>1</v>
      </c>
      <c r="F12145" t="s">
        <v>13161</v>
      </c>
    </row>
    <row r="12146" spans="1:6" x14ac:dyDescent="0.25">
      <c r="A12146" t="s">
        <v>13380</v>
      </c>
      <c r="B12146" t="s">
        <v>321</v>
      </c>
      <c r="C12146" t="s">
        <v>322</v>
      </c>
      <c r="D12146" t="str">
        <f>HYPERLINK("http://service.sap.com/sap/support/notes/1772463","1772463")</f>
        <v>1772463</v>
      </c>
      <c r="E12146">
        <v>1</v>
      </c>
      <c r="F12146" t="s">
        <v>13162</v>
      </c>
    </row>
    <row r="12147" spans="1:6" x14ac:dyDescent="0.25">
      <c r="A12147" t="s">
        <v>13380</v>
      </c>
      <c r="B12147" t="s">
        <v>321</v>
      </c>
      <c r="C12147" t="s">
        <v>322</v>
      </c>
      <c r="D12147" t="str">
        <f>HYPERLINK("http://service.sap.com/sap/support/notes/1859899","1859899")</f>
        <v>1859899</v>
      </c>
      <c r="E12147">
        <v>1</v>
      </c>
      <c r="F12147" t="s">
        <v>13163</v>
      </c>
    </row>
    <row r="12148" spans="1:6" x14ac:dyDescent="0.25">
      <c r="A12148" t="s">
        <v>13380</v>
      </c>
      <c r="B12148" t="s">
        <v>13164</v>
      </c>
      <c r="C12148" t="s">
        <v>13165</v>
      </c>
      <c r="D12148" t="str">
        <f>HYPERLINK("http://service.sap.com/sap/support/notes/1861013","1861013")</f>
        <v>1861013</v>
      </c>
      <c r="E12148">
        <v>1</v>
      </c>
      <c r="F12148" t="s">
        <v>13166</v>
      </c>
    </row>
    <row r="12149" spans="1:6" x14ac:dyDescent="0.25">
      <c r="A12149" t="s">
        <v>13380</v>
      </c>
      <c r="B12149" t="s">
        <v>335</v>
      </c>
      <c r="C12149" t="s">
        <v>336</v>
      </c>
      <c r="D12149" t="str">
        <f>HYPERLINK("http://service.sap.com/sap/support/notes/1855829","1855829")</f>
        <v>1855829</v>
      </c>
      <c r="E12149">
        <v>1</v>
      </c>
      <c r="F12149" t="s">
        <v>13167</v>
      </c>
    </row>
    <row r="12150" spans="1:6" x14ac:dyDescent="0.25">
      <c r="A12150" t="s">
        <v>13380</v>
      </c>
      <c r="B12150" t="s">
        <v>338</v>
      </c>
      <c r="C12150" t="s">
        <v>339</v>
      </c>
    </row>
    <row r="12151" spans="1:6" x14ac:dyDescent="0.25">
      <c r="A12151" t="s">
        <v>13380</v>
      </c>
      <c r="B12151" t="s">
        <v>340</v>
      </c>
      <c r="C12151" t="s">
        <v>341</v>
      </c>
    </row>
    <row r="12152" spans="1:6" x14ac:dyDescent="0.25">
      <c r="A12152" t="s">
        <v>13380</v>
      </c>
      <c r="B12152" t="s">
        <v>342</v>
      </c>
      <c r="C12152" t="s">
        <v>343</v>
      </c>
      <c r="D12152" t="str">
        <f>HYPERLINK("http://service.sap.com/sap/support/notes/1852932","1852932")</f>
        <v>1852932</v>
      </c>
      <c r="E12152">
        <v>1</v>
      </c>
      <c r="F12152" t="s">
        <v>5037</v>
      </c>
    </row>
    <row r="12153" spans="1:6" x14ac:dyDescent="0.25">
      <c r="A12153" t="s">
        <v>13380</v>
      </c>
      <c r="B12153" t="s">
        <v>342</v>
      </c>
      <c r="C12153" t="s">
        <v>343</v>
      </c>
      <c r="D12153" t="str">
        <f>HYPERLINK("http://service.sap.com/sap/support/notes/1863555","1863555")</f>
        <v>1863555</v>
      </c>
      <c r="E12153">
        <v>1</v>
      </c>
      <c r="F12153" t="s">
        <v>9053</v>
      </c>
    </row>
    <row r="12154" spans="1:6" x14ac:dyDescent="0.25">
      <c r="A12154" t="s">
        <v>13380</v>
      </c>
      <c r="B12154" t="s">
        <v>347</v>
      </c>
      <c r="C12154" t="s">
        <v>348</v>
      </c>
      <c r="D12154" t="str">
        <f>HYPERLINK("http://service.sap.com/sap/support/notes/1853574","1853574")</f>
        <v>1853574</v>
      </c>
      <c r="E12154">
        <v>1</v>
      </c>
      <c r="F12154" t="s">
        <v>9054</v>
      </c>
    </row>
    <row r="12155" spans="1:6" x14ac:dyDescent="0.25">
      <c r="A12155" t="s">
        <v>13380</v>
      </c>
      <c r="B12155" t="s">
        <v>347</v>
      </c>
      <c r="C12155" t="s">
        <v>348</v>
      </c>
      <c r="D12155" t="str">
        <f>HYPERLINK("http://service.sap.com/sap/support/notes/1855032","1855032")</f>
        <v>1855032</v>
      </c>
      <c r="E12155">
        <v>1</v>
      </c>
      <c r="F12155" t="s">
        <v>9055</v>
      </c>
    </row>
    <row r="12156" spans="1:6" x14ac:dyDescent="0.25">
      <c r="A12156" t="s">
        <v>13380</v>
      </c>
      <c r="B12156" t="s">
        <v>347</v>
      </c>
      <c r="C12156" t="s">
        <v>348</v>
      </c>
      <c r="D12156" t="str">
        <f>HYPERLINK("http://service.sap.com/sap/support/notes/1858576","1858576")</f>
        <v>1858576</v>
      </c>
      <c r="E12156">
        <v>2</v>
      </c>
      <c r="F12156" t="s">
        <v>9056</v>
      </c>
    </row>
    <row r="12157" spans="1:6" x14ac:dyDescent="0.25">
      <c r="A12157" t="s">
        <v>13380</v>
      </c>
      <c r="B12157" t="s">
        <v>356</v>
      </c>
      <c r="C12157" t="s">
        <v>357</v>
      </c>
      <c r="D12157" t="str">
        <f>HYPERLINK("http://service.sap.com/sap/support/notes/1831421","1831421")</f>
        <v>1831421</v>
      </c>
      <c r="E12157">
        <v>5</v>
      </c>
      <c r="F12157" t="s">
        <v>9057</v>
      </c>
    </row>
    <row r="12158" spans="1:6" x14ac:dyDescent="0.25">
      <c r="A12158" t="s">
        <v>13380</v>
      </c>
      <c r="B12158" t="s">
        <v>356</v>
      </c>
      <c r="C12158" t="s">
        <v>357</v>
      </c>
      <c r="D12158" t="str">
        <f>HYPERLINK("http://service.sap.com/sap/support/notes/1845345","1845345")</f>
        <v>1845345</v>
      </c>
      <c r="E12158">
        <v>2</v>
      </c>
      <c r="F12158" t="s">
        <v>9058</v>
      </c>
    </row>
    <row r="12159" spans="1:6" x14ac:dyDescent="0.25">
      <c r="A12159" t="s">
        <v>13380</v>
      </c>
      <c r="B12159" t="s">
        <v>13168</v>
      </c>
      <c r="C12159" t="s">
        <v>13169</v>
      </c>
      <c r="D12159" t="str">
        <f>HYPERLINK("http://service.sap.com/sap/support/notes/1857715","1857715")</f>
        <v>1857715</v>
      </c>
      <c r="E12159">
        <v>1</v>
      </c>
      <c r="F12159" t="s">
        <v>10654</v>
      </c>
    </row>
    <row r="12160" spans="1:6" x14ac:dyDescent="0.25">
      <c r="A12160" t="s">
        <v>13380</v>
      </c>
      <c r="B12160" t="s">
        <v>13170</v>
      </c>
      <c r="C12160" t="s">
        <v>13171</v>
      </c>
      <c r="D12160" t="str">
        <f>HYPERLINK("http://service.sap.com/sap/support/notes/1755599","1755599")</f>
        <v>1755599</v>
      </c>
      <c r="E12160">
        <v>5</v>
      </c>
      <c r="F12160" t="s">
        <v>13172</v>
      </c>
    </row>
    <row r="12161" spans="1:6" x14ac:dyDescent="0.25">
      <c r="A12161" t="s">
        <v>13380</v>
      </c>
      <c r="B12161" t="s">
        <v>13170</v>
      </c>
      <c r="C12161" t="s">
        <v>13171</v>
      </c>
      <c r="D12161" t="str">
        <f>HYPERLINK("http://service.sap.com/sap/support/notes/1862006","1862006")</f>
        <v>1862006</v>
      </c>
      <c r="E12161">
        <v>1</v>
      </c>
      <c r="F12161" t="s">
        <v>9177</v>
      </c>
    </row>
    <row r="12162" spans="1:6" x14ac:dyDescent="0.25">
      <c r="A12162" t="s">
        <v>13380</v>
      </c>
      <c r="B12162" t="s">
        <v>9060</v>
      </c>
      <c r="C12162" t="s">
        <v>3151</v>
      </c>
      <c r="D12162" t="str">
        <f>HYPERLINK("http://service.sap.com/sap/support/notes/1848450","1848450")</f>
        <v>1848450</v>
      </c>
      <c r="E12162">
        <v>1</v>
      </c>
      <c r="F12162" t="s">
        <v>9061</v>
      </c>
    </row>
    <row r="12163" spans="1:6" x14ac:dyDescent="0.25">
      <c r="A12163" t="s">
        <v>13380</v>
      </c>
      <c r="B12163" t="s">
        <v>9060</v>
      </c>
      <c r="C12163" t="s">
        <v>3151</v>
      </c>
      <c r="D12163" t="str">
        <f>HYPERLINK("http://service.sap.com/sap/support/notes/1860353","1860353")</f>
        <v>1860353</v>
      </c>
      <c r="E12163">
        <v>1</v>
      </c>
      <c r="F12163" t="s">
        <v>9062</v>
      </c>
    </row>
    <row r="12164" spans="1:6" x14ac:dyDescent="0.25">
      <c r="A12164" t="s">
        <v>13380</v>
      </c>
      <c r="B12164" t="s">
        <v>389</v>
      </c>
      <c r="C12164" t="s">
        <v>390</v>
      </c>
      <c r="D12164" t="str">
        <f>HYPERLINK("http://service.sap.com/sap/support/notes/1736559","1736559")</f>
        <v>1736559</v>
      </c>
      <c r="E12164">
        <v>2</v>
      </c>
      <c r="F12164" t="s">
        <v>9064</v>
      </c>
    </row>
    <row r="12165" spans="1:6" x14ac:dyDescent="0.25">
      <c r="A12165" t="s">
        <v>13380</v>
      </c>
      <c r="B12165" t="s">
        <v>389</v>
      </c>
      <c r="C12165" t="s">
        <v>390</v>
      </c>
      <c r="D12165" t="str">
        <f>HYPERLINK("http://service.sap.com/sap/support/notes/1811445","1811445")</f>
        <v>1811445</v>
      </c>
      <c r="E12165">
        <v>3</v>
      </c>
      <c r="F12165" t="s">
        <v>9065</v>
      </c>
    </row>
    <row r="12166" spans="1:6" x14ac:dyDescent="0.25">
      <c r="A12166" t="s">
        <v>13380</v>
      </c>
      <c r="B12166" t="s">
        <v>401</v>
      </c>
      <c r="C12166" t="s">
        <v>183</v>
      </c>
    </row>
    <row r="12167" spans="1:6" x14ac:dyDescent="0.25">
      <c r="A12167" t="s">
        <v>13380</v>
      </c>
      <c r="B12167" t="s">
        <v>519</v>
      </c>
      <c r="C12167" t="s">
        <v>13173</v>
      </c>
    </row>
    <row r="12168" spans="1:6" x14ac:dyDescent="0.25">
      <c r="A12168" t="s">
        <v>13380</v>
      </c>
      <c r="B12168" t="s">
        <v>543</v>
      </c>
      <c r="C12168" t="s">
        <v>29</v>
      </c>
      <c r="D12168" t="str">
        <f>HYPERLINK("http://service.sap.com/sap/support/notes/1860176","1860176")</f>
        <v>1860176</v>
      </c>
      <c r="E12168">
        <v>2</v>
      </c>
      <c r="F12168" t="s">
        <v>9126</v>
      </c>
    </row>
    <row r="12169" spans="1:6" x14ac:dyDescent="0.25">
      <c r="A12169" t="s">
        <v>13380</v>
      </c>
      <c r="B12169" t="s">
        <v>553</v>
      </c>
      <c r="C12169" t="s">
        <v>554</v>
      </c>
    </row>
    <row r="12170" spans="1:6" x14ac:dyDescent="0.25">
      <c r="A12170" t="s">
        <v>13380</v>
      </c>
      <c r="B12170" t="s">
        <v>555</v>
      </c>
      <c r="C12170" t="s">
        <v>556</v>
      </c>
      <c r="D12170" t="str">
        <f>HYPERLINK("http://service.sap.com/sap/support/notes/1807968","1807968")</f>
        <v>1807968</v>
      </c>
      <c r="E12170">
        <v>3</v>
      </c>
      <c r="F12170" t="s">
        <v>9140</v>
      </c>
    </row>
    <row r="12171" spans="1:6" x14ac:dyDescent="0.25">
      <c r="A12171" t="s">
        <v>13380</v>
      </c>
      <c r="B12171" t="s">
        <v>4427</v>
      </c>
      <c r="C12171" t="s">
        <v>4428</v>
      </c>
      <c r="D12171" t="str">
        <f>HYPERLINK("http://service.sap.com/sap/support/notes/1741680","1741680")</f>
        <v>1741680</v>
      </c>
      <c r="E12171">
        <v>3</v>
      </c>
      <c r="F12171" t="s">
        <v>9152</v>
      </c>
    </row>
    <row r="12172" spans="1:6" x14ac:dyDescent="0.25">
      <c r="A12172" t="s">
        <v>13380</v>
      </c>
      <c r="B12172" t="s">
        <v>116</v>
      </c>
      <c r="C12172" t="s">
        <v>117</v>
      </c>
    </row>
    <row r="12173" spans="1:6" x14ac:dyDescent="0.25">
      <c r="A12173" t="s">
        <v>13380</v>
      </c>
      <c r="B12173" t="s">
        <v>616</v>
      </c>
      <c r="C12173" t="s">
        <v>617</v>
      </c>
    </row>
    <row r="12174" spans="1:6" x14ac:dyDescent="0.25">
      <c r="A12174" t="s">
        <v>13380</v>
      </c>
      <c r="B12174" t="s">
        <v>618</v>
      </c>
      <c r="C12174" t="s">
        <v>619</v>
      </c>
    </row>
    <row r="12175" spans="1:6" x14ac:dyDescent="0.25">
      <c r="A12175" t="s">
        <v>13380</v>
      </c>
      <c r="B12175" t="s">
        <v>620</v>
      </c>
      <c r="C12175" t="s">
        <v>621</v>
      </c>
      <c r="D12175" t="str">
        <f>HYPERLINK("http://service.sap.com/sap/support/notes/1832749","1832749")</f>
        <v>1832749</v>
      </c>
      <c r="E12175">
        <v>6</v>
      </c>
      <c r="F12175" t="s">
        <v>9161</v>
      </c>
    </row>
    <row r="12176" spans="1:6" x14ac:dyDescent="0.25">
      <c r="A12176" t="s">
        <v>13380</v>
      </c>
      <c r="B12176" t="s">
        <v>626</v>
      </c>
      <c r="C12176" t="s">
        <v>627</v>
      </c>
      <c r="D12176" t="str">
        <f>HYPERLINK("http://service.sap.com/sap/support/notes/1827079","1827079")</f>
        <v>1827079</v>
      </c>
      <c r="E12176">
        <v>2</v>
      </c>
      <c r="F12176" t="s">
        <v>9165</v>
      </c>
    </row>
    <row r="12177" spans="1:6" x14ac:dyDescent="0.25">
      <c r="A12177" t="s">
        <v>13380</v>
      </c>
      <c r="B12177" t="s">
        <v>626</v>
      </c>
      <c r="C12177" t="s">
        <v>627</v>
      </c>
      <c r="D12177" t="str">
        <f>HYPERLINK("http://service.sap.com/sap/support/notes/1848678","1848678")</f>
        <v>1848678</v>
      </c>
      <c r="E12177">
        <v>3</v>
      </c>
      <c r="F12177" t="s">
        <v>9166</v>
      </c>
    </row>
    <row r="12178" spans="1:6" x14ac:dyDescent="0.25">
      <c r="A12178" t="s">
        <v>13380</v>
      </c>
      <c r="B12178" t="s">
        <v>626</v>
      </c>
      <c r="C12178" t="s">
        <v>627</v>
      </c>
      <c r="D12178" t="str">
        <f>HYPERLINK("http://service.sap.com/sap/support/notes/1853853","1853853")</f>
        <v>1853853</v>
      </c>
      <c r="E12178">
        <v>3</v>
      </c>
      <c r="F12178" t="s">
        <v>9167</v>
      </c>
    </row>
    <row r="12179" spans="1:6" x14ac:dyDescent="0.25">
      <c r="A12179" t="s">
        <v>13380</v>
      </c>
      <c r="B12179" t="s">
        <v>630</v>
      </c>
      <c r="C12179" t="s">
        <v>624</v>
      </c>
      <c r="D12179" t="str">
        <f>HYPERLINK("http://service.sap.com/sap/support/notes/1836839","1836839")</f>
        <v>1836839</v>
      </c>
      <c r="E12179">
        <v>2</v>
      </c>
      <c r="F12179" t="s">
        <v>9169</v>
      </c>
    </row>
    <row r="12180" spans="1:6" x14ac:dyDescent="0.25">
      <c r="A12180" t="s">
        <v>13380</v>
      </c>
      <c r="B12180" t="s">
        <v>4460</v>
      </c>
      <c r="C12180" t="s">
        <v>4461</v>
      </c>
    </row>
    <row r="12181" spans="1:6" x14ac:dyDescent="0.25">
      <c r="A12181" t="s">
        <v>13380</v>
      </c>
      <c r="B12181" t="s">
        <v>4462</v>
      </c>
      <c r="C12181" t="s">
        <v>4463</v>
      </c>
      <c r="D12181" t="str">
        <f>HYPERLINK("http://service.sap.com/sap/support/notes/1847531","1847531")</f>
        <v>1847531</v>
      </c>
      <c r="E12181">
        <v>2</v>
      </c>
      <c r="F12181" t="s">
        <v>9171</v>
      </c>
    </row>
    <row r="12182" spans="1:6" x14ac:dyDescent="0.25">
      <c r="A12182" t="s">
        <v>13380</v>
      </c>
      <c r="B12182" t="s">
        <v>655</v>
      </c>
      <c r="C12182" t="s">
        <v>29</v>
      </c>
    </row>
    <row r="12183" spans="1:6" x14ac:dyDescent="0.25">
      <c r="A12183" t="s">
        <v>13380</v>
      </c>
      <c r="B12183" t="s">
        <v>668</v>
      </c>
      <c r="C12183" t="s">
        <v>669</v>
      </c>
    </row>
    <row r="12184" spans="1:6" x14ac:dyDescent="0.25">
      <c r="A12184" t="s">
        <v>13380</v>
      </c>
      <c r="B12184" t="s">
        <v>671</v>
      </c>
      <c r="C12184" t="s">
        <v>672</v>
      </c>
      <c r="D12184" t="str">
        <f>HYPERLINK("http://service.sap.com/sap/support/notes/1846320","1846320")</f>
        <v>1846320</v>
      </c>
      <c r="E12184">
        <v>4</v>
      </c>
      <c r="F12184" t="s">
        <v>9176</v>
      </c>
    </row>
    <row r="12185" spans="1:6" x14ac:dyDescent="0.25">
      <c r="A12185" t="s">
        <v>13380</v>
      </c>
      <c r="B12185" t="s">
        <v>674</v>
      </c>
      <c r="C12185" t="s">
        <v>7388</v>
      </c>
      <c r="D12185" t="str">
        <f>HYPERLINK("http://service.sap.com/sap/support/notes/1861872","1861872")</f>
        <v>1861872</v>
      </c>
      <c r="E12185">
        <v>3</v>
      </c>
      <c r="F12185" t="s">
        <v>9177</v>
      </c>
    </row>
    <row r="12186" spans="1:6" x14ac:dyDescent="0.25">
      <c r="A12186" t="s">
        <v>13380</v>
      </c>
      <c r="B12186" t="s">
        <v>4485</v>
      </c>
      <c r="C12186" t="s">
        <v>1588</v>
      </c>
    </row>
    <row r="12187" spans="1:6" x14ac:dyDescent="0.25">
      <c r="A12187" t="s">
        <v>13380</v>
      </c>
      <c r="B12187" t="s">
        <v>4486</v>
      </c>
      <c r="C12187" t="s">
        <v>657</v>
      </c>
      <c r="D12187" t="str">
        <f>HYPERLINK("http://service.sap.com/sap/support/notes/1861645","1861645")</f>
        <v>1861645</v>
      </c>
      <c r="E12187">
        <v>2</v>
      </c>
      <c r="F12187" t="s">
        <v>9178</v>
      </c>
    </row>
    <row r="12188" spans="1:6" x14ac:dyDescent="0.25">
      <c r="A12188" t="s">
        <v>13380</v>
      </c>
      <c r="B12188" t="s">
        <v>680</v>
      </c>
      <c r="C12188" t="s">
        <v>681</v>
      </c>
    </row>
    <row r="12189" spans="1:6" x14ac:dyDescent="0.25">
      <c r="A12189" t="s">
        <v>13380</v>
      </c>
      <c r="B12189" t="s">
        <v>9180</v>
      </c>
      <c r="C12189" t="s">
        <v>9181</v>
      </c>
      <c r="D12189" t="str">
        <f>HYPERLINK("http://service.sap.com/sap/support/notes/1856248","1856248")</f>
        <v>1856248</v>
      </c>
      <c r="E12189">
        <v>3</v>
      </c>
      <c r="F12189" t="s">
        <v>9182</v>
      </c>
    </row>
    <row r="12190" spans="1:6" x14ac:dyDescent="0.25">
      <c r="A12190" t="s">
        <v>13380</v>
      </c>
      <c r="B12190" t="s">
        <v>4489</v>
      </c>
      <c r="C12190" t="s">
        <v>4490</v>
      </c>
      <c r="D12190" t="str">
        <f>HYPERLINK("http://service.sap.com/sap/support/notes/1858753","1858753")</f>
        <v>1858753</v>
      </c>
      <c r="E12190">
        <v>1</v>
      </c>
      <c r="F12190" t="s">
        <v>9184</v>
      </c>
    </row>
    <row r="12191" spans="1:6" x14ac:dyDescent="0.25">
      <c r="A12191" t="s">
        <v>13380</v>
      </c>
      <c r="B12191" t="s">
        <v>4489</v>
      </c>
      <c r="C12191" t="s">
        <v>4490</v>
      </c>
      <c r="D12191" t="str">
        <f>HYPERLINK("http://service.sap.com/sap/support/notes/1859280","1859280")</f>
        <v>1859280</v>
      </c>
      <c r="E12191">
        <v>1</v>
      </c>
      <c r="F12191" t="s">
        <v>9185</v>
      </c>
    </row>
    <row r="12192" spans="1:6" x14ac:dyDescent="0.25">
      <c r="A12192" t="s">
        <v>13380</v>
      </c>
      <c r="B12192" t="s">
        <v>693</v>
      </c>
      <c r="C12192" t="s">
        <v>694</v>
      </c>
    </row>
    <row r="12193" spans="1:6" x14ac:dyDescent="0.25">
      <c r="A12193" t="s">
        <v>13380</v>
      </c>
      <c r="B12193" t="s">
        <v>719</v>
      </c>
      <c r="C12193" t="s">
        <v>720</v>
      </c>
    </row>
    <row r="12194" spans="1:6" x14ac:dyDescent="0.25">
      <c r="A12194" t="s">
        <v>13380</v>
      </c>
      <c r="B12194" t="s">
        <v>721</v>
      </c>
      <c r="C12194" t="s">
        <v>722</v>
      </c>
      <c r="D12194" t="str">
        <f>HYPERLINK("http://service.sap.com/sap/support/notes/1858451","1858451")</f>
        <v>1858451</v>
      </c>
      <c r="E12194">
        <v>3</v>
      </c>
      <c r="F12194" t="s">
        <v>13174</v>
      </c>
    </row>
    <row r="12195" spans="1:6" x14ac:dyDescent="0.25">
      <c r="A12195" t="s">
        <v>13380</v>
      </c>
      <c r="B12195" t="s">
        <v>748</v>
      </c>
      <c r="C12195" t="s">
        <v>749</v>
      </c>
    </row>
    <row r="12196" spans="1:6" x14ac:dyDescent="0.25">
      <c r="A12196" t="s">
        <v>13380</v>
      </c>
      <c r="B12196" t="s">
        <v>750</v>
      </c>
      <c r="C12196" t="s">
        <v>751</v>
      </c>
    </row>
    <row r="12197" spans="1:6" x14ac:dyDescent="0.25">
      <c r="A12197" t="s">
        <v>13380</v>
      </c>
      <c r="B12197" t="s">
        <v>752</v>
      </c>
      <c r="C12197" t="s">
        <v>753</v>
      </c>
      <c r="D12197" t="str">
        <f>HYPERLINK("http://service.sap.com/sap/support/notes/1850711","1850711")</f>
        <v>1850711</v>
      </c>
      <c r="E12197">
        <v>1</v>
      </c>
      <c r="F12197" t="s">
        <v>9209</v>
      </c>
    </row>
    <row r="12198" spans="1:6" x14ac:dyDescent="0.25">
      <c r="A12198" t="s">
        <v>13380</v>
      </c>
      <c r="B12198" t="s">
        <v>763</v>
      </c>
      <c r="C12198" t="s">
        <v>764</v>
      </c>
    </row>
    <row r="12199" spans="1:6" x14ac:dyDescent="0.25">
      <c r="A12199" t="s">
        <v>13380</v>
      </c>
      <c r="B12199" t="s">
        <v>765</v>
      </c>
      <c r="C12199" t="s">
        <v>766</v>
      </c>
    </row>
    <row r="12200" spans="1:6" x14ac:dyDescent="0.25">
      <c r="A12200" t="s">
        <v>13380</v>
      </c>
      <c r="B12200" t="s">
        <v>767</v>
      </c>
      <c r="C12200" t="s">
        <v>768</v>
      </c>
    </row>
    <row r="12201" spans="1:6" x14ac:dyDescent="0.25">
      <c r="A12201" t="s">
        <v>13380</v>
      </c>
      <c r="B12201" t="s">
        <v>4535</v>
      </c>
      <c r="C12201" t="s">
        <v>4536</v>
      </c>
      <c r="D12201" t="str">
        <f>HYPERLINK("http://service.sap.com/sap/support/notes/1840673","1840673")</f>
        <v>1840673</v>
      </c>
      <c r="E12201">
        <v>2</v>
      </c>
      <c r="F12201" t="s">
        <v>9211</v>
      </c>
    </row>
    <row r="12202" spans="1:6" x14ac:dyDescent="0.25">
      <c r="A12202" t="s">
        <v>13380</v>
      </c>
      <c r="B12202" t="s">
        <v>9212</v>
      </c>
      <c r="C12202" t="s">
        <v>9213</v>
      </c>
      <c r="D12202" t="str">
        <f>HYPERLINK("http://service.sap.com/sap/support/notes/1859190","1859190")</f>
        <v>1859190</v>
      </c>
      <c r="E12202">
        <v>1</v>
      </c>
      <c r="F12202" t="s">
        <v>9185</v>
      </c>
    </row>
    <row r="12203" spans="1:6" x14ac:dyDescent="0.25">
      <c r="A12203" t="s">
        <v>13380</v>
      </c>
      <c r="B12203" t="s">
        <v>772</v>
      </c>
      <c r="C12203" t="s">
        <v>773</v>
      </c>
    </row>
    <row r="12204" spans="1:6" x14ac:dyDescent="0.25">
      <c r="A12204" t="s">
        <v>13380</v>
      </c>
      <c r="B12204" t="s">
        <v>774</v>
      </c>
      <c r="C12204" t="s">
        <v>775</v>
      </c>
      <c r="D12204" t="str">
        <f>HYPERLINK("http://service.sap.com/sap/support/notes/1694128","1694128")</f>
        <v>1694128</v>
      </c>
      <c r="E12204">
        <v>3</v>
      </c>
      <c r="F12204" t="s">
        <v>13175</v>
      </c>
    </row>
    <row r="12205" spans="1:6" x14ac:dyDescent="0.25">
      <c r="A12205" t="s">
        <v>13380</v>
      </c>
      <c r="B12205" t="s">
        <v>774</v>
      </c>
      <c r="C12205" t="s">
        <v>775</v>
      </c>
      <c r="D12205" t="str">
        <f>HYPERLINK("http://service.sap.com/sap/support/notes/1701238","1701238")</f>
        <v>1701238</v>
      </c>
      <c r="E12205">
        <v>1</v>
      </c>
      <c r="F12205" t="s">
        <v>13176</v>
      </c>
    </row>
    <row r="12206" spans="1:6" x14ac:dyDescent="0.25">
      <c r="A12206" t="s">
        <v>13380</v>
      </c>
      <c r="B12206" t="s">
        <v>774</v>
      </c>
      <c r="C12206" t="s">
        <v>775</v>
      </c>
      <c r="D12206" t="str">
        <f>HYPERLINK("http://service.sap.com/sap/support/notes/1706819","1706819")</f>
        <v>1706819</v>
      </c>
      <c r="E12206">
        <v>1</v>
      </c>
      <c r="F12206" t="s">
        <v>13177</v>
      </c>
    </row>
    <row r="12207" spans="1:6" x14ac:dyDescent="0.25">
      <c r="A12207" t="s">
        <v>13380</v>
      </c>
      <c r="B12207" t="s">
        <v>774</v>
      </c>
      <c r="C12207" t="s">
        <v>775</v>
      </c>
      <c r="D12207" t="str">
        <f>HYPERLINK("http://service.sap.com/sap/support/notes/1726693","1726693")</f>
        <v>1726693</v>
      </c>
      <c r="E12207">
        <v>2</v>
      </c>
      <c r="F12207" t="s">
        <v>13178</v>
      </c>
    </row>
    <row r="12208" spans="1:6" x14ac:dyDescent="0.25">
      <c r="A12208" t="s">
        <v>13380</v>
      </c>
      <c r="B12208" t="s">
        <v>774</v>
      </c>
      <c r="C12208" t="s">
        <v>775</v>
      </c>
      <c r="D12208" t="str">
        <f>HYPERLINK("http://service.sap.com/sap/support/notes/1821284","1821284")</f>
        <v>1821284</v>
      </c>
      <c r="E12208">
        <v>3</v>
      </c>
      <c r="F12208" t="s">
        <v>9218</v>
      </c>
    </row>
    <row r="12209" spans="1:6" x14ac:dyDescent="0.25">
      <c r="A12209" t="s">
        <v>13380</v>
      </c>
      <c r="B12209" t="s">
        <v>774</v>
      </c>
      <c r="C12209" t="s">
        <v>775</v>
      </c>
      <c r="D12209" t="str">
        <f>HYPERLINK("http://service.sap.com/sap/support/notes/1838471","1838471")</f>
        <v>1838471</v>
      </c>
      <c r="E12209">
        <v>2</v>
      </c>
      <c r="F12209" t="s">
        <v>9220</v>
      </c>
    </row>
    <row r="12210" spans="1:6" x14ac:dyDescent="0.25">
      <c r="A12210" t="s">
        <v>13380</v>
      </c>
      <c r="B12210" t="s">
        <v>774</v>
      </c>
      <c r="C12210" t="s">
        <v>775</v>
      </c>
      <c r="D12210" t="str">
        <f>HYPERLINK("http://service.sap.com/sap/support/notes/1861812","1861812")</f>
        <v>1861812</v>
      </c>
      <c r="E12210">
        <v>1</v>
      </c>
      <c r="F12210" t="s">
        <v>9221</v>
      </c>
    </row>
    <row r="12211" spans="1:6" x14ac:dyDescent="0.25">
      <c r="A12211" t="s">
        <v>13380</v>
      </c>
      <c r="B12211" t="s">
        <v>13179</v>
      </c>
      <c r="C12211" t="s">
        <v>13180</v>
      </c>
    </row>
    <row r="12212" spans="1:6" x14ac:dyDescent="0.25">
      <c r="A12212" t="s">
        <v>13380</v>
      </c>
      <c r="B12212" t="s">
        <v>13181</v>
      </c>
      <c r="C12212" t="s">
        <v>13182</v>
      </c>
      <c r="D12212" t="str">
        <f>HYPERLINK("http://service.sap.com/sap/support/notes/1861994","1861994")</f>
        <v>1861994</v>
      </c>
      <c r="E12212">
        <v>2</v>
      </c>
      <c r="F12212" t="s">
        <v>9177</v>
      </c>
    </row>
    <row r="12213" spans="1:6" x14ac:dyDescent="0.25">
      <c r="A12213" t="s">
        <v>13380</v>
      </c>
      <c r="B12213" t="s">
        <v>786</v>
      </c>
      <c r="C12213" t="s">
        <v>198</v>
      </c>
    </row>
    <row r="12214" spans="1:6" x14ac:dyDescent="0.25">
      <c r="A12214" t="s">
        <v>13380</v>
      </c>
      <c r="B12214" t="s">
        <v>830</v>
      </c>
      <c r="C12214" t="s">
        <v>831</v>
      </c>
    </row>
    <row r="12215" spans="1:6" x14ac:dyDescent="0.25">
      <c r="A12215" t="s">
        <v>13380</v>
      </c>
      <c r="B12215" t="s">
        <v>834</v>
      </c>
      <c r="C12215" t="s">
        <v>151</v>
      </c>
    </row>
    <row r="12216" spans="1:6" x14ac:dyDescent="0.25">
      <c r="A12216" t="s">
        <v>13380</v>
      </c>
      <c r="B12216" t="s">
        <v>838</v>
      </c>
      <c r="C12216" t="s">
        <v>839</v>
      </c>
      <c r="D12216" t="str">
        <f>HYPERLINK("http://service.sap.com/sap/support/notes/1848981","1848981")</f>
        <v>1848981</v>
      </c>
      <c r="E12216">
        <v>5</v>
      </c>
      <c r="F12216" t="s">
        <v>9249</v>
      </c>
    </row>
    <row r="12217" spans="1:6" x14ac:dyDescent="0.25">
      <c r="A12217" t="s">
        <v>13380</v>
      </c>
      <c r="B12217" t="s">
        <v>1065</v>
      </c>
      <c r="C12217" t="s">
        <v>1066</v>
      </c>
      <c r="D12217" t="str">
        <f>HYPERLINK("http://service.sap.com/sap/support/notes/1836348","1836348")</f>
        <v>1836348</v>
      </c>
      <c r="E12217">
        <v>4</v>
      </c>
      <c r="F12217" t="s">
        <v>9356</v>
      </c>
    </row>
    <row r="12218" spans="1:6" x14ac:dyDescent="0.25">
      <c r="A12218" t="s">
        <v>13380</v>
      </c>
      <c r="B12218" t="s">
        <v>1065</v>
      </c>
      <c r="C12218" t="s">
        <v>1066</v>
      </c>
      <c r="D12218" t="str">
        <f>HYPERLINK("http://service.sap.com/sap/support/notes/1845335","1845335")</f>
        <v>1845335</v>
      </c>
      <c r="E12218">
        <v>2</v>
      </c>
      <c r="F12218" t="s">
        <v>9357</v>
      </c>
    </row>
    <row r="12219" spans="1:6" x14ac:dyDescent="0.25">
      <c r="A12219" t="s">
        <v>13380</v>
      </c>
      <c r="B12219" t="s">
        <v>1065</v>
      </c>
      <c r="C12219" t="s">
        <v>1066</v>
      </c>
      <c r="D12219" t="str">
        <f>HYPERLINK("http://service.sap.com/sap/support/notes/1848761","1848761")</f>
        <v>1848761</v>
      </c>
      <c r="E12219">
        <v>2</v>
      </c>
      <c r="F12219" t="s">
        <v>9358</v>
      </c>
    </row>
    <row r="12220" spans="1:6" x14ac:dyDescent="0.25">
      <c r="A12220" t="s">
        <v>13380</v>
      </c>
      <c r="B12220" t="s">
        <v>1068</v>
      </c>
      <c r="C12220" t="s">
        <v>1069</v>
      </c>
      <c r="D12220" t="str">
        <f>HYPERLINK("http://service.sap.com/sap/support/notes/1866184","1866184")</f>
        <v>1866184</v>
      </c>
      <c r="E12220">
        <v>2</v>
      </c>
      <c r="F12220" t="s">
        <v>13183</v>
      </c>
    </row>
    <row r="12221" spans="1:6" x14ac:dyDescent="0.25">
      <c r="A12221" t="s">
        <v>13380</v>
      </c>
      <c r="B12221" t="s">
        <v>1108</v>
      </c>
      <c r="C12221" t="s">
        <v>151</v>
      </c>
    </row>
    <row r="12222" spans="1:6" x14ac:dyDescent="0.25">
      <c r="A12222" t="s">
        <v>13380</v>
      </c>
      <c r="B12222" t="s">
        <v>1150</v>
      </c>
      <c r="C12222" t="s">
        <v>1151</v>
      </c>
      <c r="D12222" t="str">
        <f>HYPERLINK("http://service.sap.com/sap/support/notes/1841103","1841103")</f>
        <v>1841103</v>
      </c>
      <c r="E12222">
        <v>1</v>
      </c>
      <c r="F12222" t="s">
        <v>9412</v>
      </c>
    </row>
    <row r="12223" spans="1:6" x14ac:dyDescent="0.25">
      <c r="A12223" t="s">
        <v>13380</v>
      </c>
      <c r="B12223" t="s">
        <v>1184</v>
      </c>
      <c r="C12223" t="s">
        <v>1185</v>
      </c>
      <c r="D12223" t="str">
        <f>HYPERLINK("http://service.sap.com/sap/support/notes/1862052","1862052")</f>
        <v>1862052</v>
      </c>
      <c r="E12223">
        <v>1</v>
      </c>
      <c r="F12223" t="s">
        <v>13184</v>
      </c>
    </row>
    <row r="12224" spans="1:6" x14ac:dyDescent="0.25">
      <c r="A12224" t="s">
        <v>13380</v>
      </c>
      <c r="B12224" t="s">
        <v>1287</v>
      </c>
      <c r="C12224" t="s">
        <v>824</v>
      </c>
      <c r="D12224" t="str">
        <f>HYPERLINK("http://service.sap.com/sap/support/notes/927123","927123")</f>
        <v>927123</v>
      </c>
      <c r="E12224">
        <v>1</v>
      </c>
      <c r="F12224" t="s">
        <v>13185</v>
      </c>
    </row>
    <row r="12225" spans="1:6" x14ac:dyDescent="0.25">
      <c r="A12225" t="s">
        <v>13380</v>
      </c>
      <c r="B12225" t="s">
        <v>1287</v>
      </c>
      <c r="C12225" t="s">
        <v>824</v>
      </c>
      <c r="D12225" t="str">
        <f>HYPERLINK("http://service.sap.com/sap/support/notes/1817949","1817949")</f>
        <v>1817949</v>
      </c>
      <c r="E12225">
        <v>2</v>
      </c>
      <c r="F12225" t="s">
        <v>9478</v>
      </c>
    </row>
    <row r="12226" spans="1:6" x14ac:dyDescent="0.25">
      <c r="A12226" t="s">
        <v>13380</v>
      </c>
      <c r="B12226" t="s">
        <v>1404</v>
      </c>
      <c r="C12226" t="s">
        <v>1405</v>
      </c>
    </row>
    <row r="12227" spans="1:6" x14ac:dyDescent="0.25">
      <c r="A12227" t="s">
        <v>13380</v>
      </c>
      <c r="B12227" t="s">
        <v>1406</v>
      </c>
      <c r="C12227" t="s">
        <v>1407</v>
      </c>
      <c r="D12227" t="str">
        <f>HYPERLINK("http://service.sap.com/sap/support/notes/1835204","1835204")</f>
        <v>1835204</v>
      </c>
      <c r="E12227">
        <v>2</v>
      </c>
      <c r="F12227" t="s">
        <v>9532</v>
      </c>
    </row>
    <row r="12228" spans="1:6" x14ac:dyDescent="0.25">
      <c r="A12228" t="s">
        <v>13380</v>
      </c>
      <c r="B12228" t="s">
        <v>1406</v>
      </c>
      <c r="C12228" t="s">
        <v>1407</v>
      </c>
      <c r="D12228" t="str">
        <f>HYPERLINK("http://service.sap.com/sap/support/notes/1858752","1858752")</f>
        <v>1858752</v>
      </c>
      <c r="E12228">
        <v>2</v>
      </c>
      <c r="F12228" t="s">
        <v>9533</v>
      </c>
    </row>
    <row r="12229" spans="1:6" x14ac:dyDescent="0.25">
      <c r="A12229" t="s">
        <v>13380</v>
      </c>
      <c r="B12229" t="s">
        <v>1411</v>
      </c>
      <c r="C12229" t="s">
        <v>1412</v>
      </c>
    </row>
    <row r="12230" spans="1:6" x14ac:dyDescent="0.25">
      <c r="A12230" t="s">
        <v>13380</v>
      </c>
      <c r="B12230" t="s">
        <v>1416</v>
      </c>
      <c r="C12230" t="s">
        <v>1417</v>
      </c>
    </row>
    <row r="12231" spans="1:6" x14ac:dyDescent="0.25">
      <c r="A12231" t="s">
        <v>13380</v>
      </c>
      <c r="B12231" t="s">
        <v>1482</v>
      </c>
      <c r="C12231" t="s">
        <v>1483</v>
      </c>
      <c r="D12231" t="str">
        <f>HYPERLINK("http://service.sap.com/sap/support/notes/1854388","1854388")</f>
        <v>1854388</v>
      </c>
      <c r="E12231">
        <v>1</v>
      </c>
      <c r="F12231" t="s">
        <v>13186</v>
      </c>
    </row>
    <row r="12232" spans="1:6" x14ac:dyDescent="0.25">
      <c r="A12232" t="s">
        <v>13380</v>
      </c>
      <c r="B12232" t="s">
        <v>1482</v>
      </c>
      <c r="C12232" t="s">
        <v>1483</v>
      </c>
      <c r="D12232" t="str">
        <f>HYPERLINK("http://service.sap.com/sap/support/notes/1854389","1854389")</f>
        <v>1854389</v>
      </c>
      <c r="E12232">
        <v>1</v>
      </c>
      <c r="F12232" t="s">
        <v>9569</v>
      </c>
    </row>
    <row r="12233" spans="1:6" x14ac:dyDescent="0.25">
      <c r="A12233" t="s">
        <v>13380</v>
      </c>
      <c r="B12233" t="s">
        <v>1482</v>
      </c>
      <c r="C12233" t="s">
        <v>1483</v>
      </c>
      <c r="D12233" t="str">
        <f>HYPERLINK("http://service.sap.com/sap/support/notes/1858447","1858447")</f>
        <v>1858447</v>
      </c>
      <c r="E12233">
        <v>1</v>
      </c>
      <c r="F12233" t="s">
        <v>13187</v>
      </c>
    </row>
    <row r="12234" spans="1:6" x14ac:dyDescent="0.25">
      <c r="A12234" t="s">
        <v>13380</v>
      </c>
      <c r="B12234" t="s">
        <v>1482</v>
      </c>
      <c r="C12234" t="s">
        <v>1483</v>
      </c>
      <c r="D12234" t="str">
        <f>HYPERLINK("http://service.sap.com/sap/support/notes/1858855","1858855")</f>
        <v>1858855</v>
      </c>
      <c r="E12234">
        <v>1</v>
      </c>
      <c r="F12234" t="s">
        <v>13188</v>
      </c>
    </row>
    <row r="12235" spans="1:6" x14ac:dyDescent="0.25">
      <c r="A12235" t="s">
        <v>13380</v>
      </c>
      <c r="B12235" t="s">
        <v>1482</v>
      </c>
      <c r="C12235" t="s">
        <v>1483</v>
      </c>
      <c r="D12235" t="str">
        <f>HYPERLINK("http://service.sap.com/sap/support/notes/1860373","1860373")</f>
        <v>1860373</v>
      </c>
      <c r="E12235">
        <v>1</v>
      </c>
      <c r="F12235" t="s">
        <v>9570</v>
      </c>
    </row>
    <row r="12236" spans="1:6" x14ac:dyDescent="0.25">
      <c r="A12236" t="s">
        <v>13380</v>
      </c>
      <c r="B12236" t="s">
        <v>13189</v>
      </c>
      <c r="C12236" t="s">
        <v>13190</v>
      </c>
      <c r="D12236" t="str">
        <f>HYPERLINK("http://service.sap.com/sap/support/notes/1858562","1858562")</f>
        <v>1858562</v>
      </c>
      <c r="E12236">
        <v>2</v>
      </c>
      <c r="F12236" t="s">
        <v>13191</v>
      </c>
    </row>
    <row r="12237" spans="1:6" x14ac:dyDescent="0.25">
      <c r="A12237" t="s">
        <v>13380</v>
      </c>
      <c r="B12237" t="s">
        <v>1488</v>
      </c>
      <c r="C12237" t="s">
        <v>1489</v>
      </c>
      <c r="D12237" t="str">
        <f>HYPERLINK("http://service.sap.com/sap/support/notes/1847551","1847551")</f>
        <v>1847551</v>
      </c>
      <c r="E12237">
        <v>1</v>
      </c>
      <c r="F12237" t="s">
        <v>13192</v>
      </c>
    </row>
    <row r="12238" spans="1:6" x14ac:dyDescent="0.25">
      <c r="A12238" t="s">
        <v>13380</v>
      </c>
      <c r="B12238" t="s">
        <v>1488</v>
      </c>
      <c r="C12238" t="s">
        <v>1489</v>
      </c>
      <c r="D12238" t="str">
        <f>HYPERLINK("http://service.sap.com/sap/support/notes/1847731","1847731")</f>
        <v>1847731</v>
      </c>
      <c r="E12238">
        <v>1</v>
      </c>
      <c r="F12238" t="s">
        <v>13193</v>
      </c>
    </row>
    <row r="12239" spans="1:6" x14ac:dyDescent="0.25">
      <c r="A12239" t="s">
        <v>13380</v>
      </c>
      <c r="B12239" t="s">
        <v>1488</v>
      </c>
      <c r="C12239" t="s">
        <v>1489</v>
      </c>
      <c r="D12239" t="str">
        <f>HYPERLINK("http://service.sap.com/sap/support/notes/1855935","1855935")</f>
        <v>1855935</v>
      </c>
      <c r="E12239">
        <v>1</v>
      </c>
    </row>
    <row r="12240" spans="1:6" x14ac:dyDescent="0.25">
      <c r="A12240" t="s">
        <v>13380</v>
      </c>
      <c r="B12240" t="s">
        <v>1488</v>
      </c>
      <c r="C12240" t="s">
        <v>1489</v>
      </c>
      <c r="D12240" t="str">
        <f>HYPERLINK("http://service.sap.com/sap/support/notes/1858566","1858566")</f>
        <v>1858566</v>
      </c>
      <c r="E12240">
        <v>3</v>
      </c>
      <c r="F12240" t="s">
        <v>9572</v>
      </c>
    </row>
    <row r="12241" spans="1:6" x14ac:dyDescent="0.25">
      <c r="A12241" t="s">
        <v>13380</v>
      </c>
      <c r="B12241" t="s">
        <v>1488</v>
      </c>
      <c r="C12241" t="s">
        <v>1489</v>
      </c>
      <c r="D12241" t="str">
        <f>HYPERLINK("http://service.sap.com/sap/support/notes/1859307","1859307")</f>
        <v>1859307</v>
      </c>
      <c r="E12241">
        <v>2</v>
      </c>
      <c r="F12241" t="s">
        <v>13194</v>
      </c>
    </row>
    <row r="12242" spans="1:6" x14ac:dyDescent="0.25">
      <c r="A12242" t="s">
        <v>13380</v>
      </c>
      <c r="B12242" t="s">
        <v>1496</v>
      </c>
      <c r="C12242" t="s">
        <v>1497</v>
      </c>
    </row>
    <row r="12243" spans="1:6" x14ac:dyDescent="0.25">
      <c r="A12243" t="s">
        <v>13380</v>
      </c>
      <c r="B12243" t="s">
        <v>1498</v>
      </c>
      <c r="C12243" t="s">
        <v>126</v>
      </c>
      <c r="D12243" t="str">
        <f>HYPERLINK("http://service.sap.com/sap/support/notes/1821996","1821996")</f>
        <v>1821996</v>
      </c>
      <c r="E12243">
        <v>3</v>
      </c>
      <c r="F12243" t="s">
        <v>7276</v>
      </c>
    </row>
    <row r="12244" spans="1:6" x14ac:dyDescent="0.25">
      <c r="A12244" t="s">
        <v>13380</v>
      </c>
      <c r="B12244" t="s">
        <v>1498</v>
      </c>
      <c r="C12244" t="s">
        <v>126</v>
      </c>
      <c r="D12244" t="str">
        <f>HYPERLINK("http://service.sap.com/sap/support/notes/1835000","1835000")</f>
        <v>1835000</v>
      </c>
      <c r="E12244">
        <v>4</v>
      </c>
      <c r="F12244" t="s">
        <v>9573</v>
      </c>
    </row>
    <row r="12245" spans="1:6" x14ac:dyDescent="0.25">
      <c r="A12245" t="s">
        <v>13380</v>
      </c>
      <c r="B12245" t="s">
        <v>1498</v>
      </c>
      <c r="C12245" t="s">
        <v>126</v>
      </c>
      <c r="D12245" t="str">
        <f>HYPERLINK("http://service.sap.com/sap/support/notes/1836085","1836085")</f>
        <v>1836085</v>
      </c>
      <c r="E12245">
        <v>4</v>
      </c>
      <c r="F12245" t="s">
        <v>9574</v>
      </c>
    </row>
    <row r="12246" spans="1:6" x14ac:dyDescent="0.25">
      <c r="A12246" t="s">
        <v>13380</v>
      </c>
      <c r="B12246" t="s">
        <v>1498</v>
      </c>
      <c r="C12246" t="s">
        <v>126</v>
      </c>
      <c r="D12246" t="str">
        <f>HYPERLINK("http://service.sap.com/sap/support/notes/1843213","1843213")</f>
        <v>1843213</v>
      </c>
      <c r="E12246">
        <v>2</v>
      </c>
      <c r="F12246" t="s">
        <v>9575</v>
      </c>
    </row>
    <row r="12247" spans="1:6" x14ac:dyDescent="0.25">
      <c r="A12247" t="s">
        <v>13380</v>
      </c>
      <c r="B12247" t="s">
        <v>1498</v>
      </c>
      <c r="C12247" t="s">
        <v>126</v>
      </c>
      <c r="D12247" t="str">
        <f>HYPERLINK("http://service.sap.com/sap/support/notes/1845016","1845016")</f>
        <v>1845016</v>
      </c>
      <c r="E12247">
        <v>5</v>
      </c>
      <c r="F12247" t="s">
        <v>9576</v>
      </c>
    </row>
    <row r="12248" spans="1:6" x14ac:dyDescent="0.25">
      <c r="A12248" t="s">
        <v>13380</v>
      </c>
      <c r="B12248" t="s">
        <v>1498</v>
      </c>
      <c r="C12248" t="s">
        <v>126</v>
      </c>
      <c r="D12248" t="str">
        <f>HYPERLINK("http://service.sap.com/sap/support/notes/1846602","1846602")</f>
        <v>1846602</v>
      </c>
      <c r="E12248">
        <v>3</v>
      </c>
      <c r="F12248" t="s">
        <v>9577</v>
      </c>
    </row>
    <row r="12249" spans="1:6" x14ac:dyDescent="0.25">
      <c r="A12249" t="s">
        <v>13380</v>
      </c>
      <c r="B12249" t="s">
        <v>1498</v>
      </c>
      <c r="C12249" t="s">
        <v>126</v>
      </c>
      <c r="D12249" t="str">
        <f>HYPERLINK("http://service.sap.com/sap/support/notes/1851705","1851705")</f>
        <v>1851705</v>
      </c>
      <c r="E12249">
        <v>1</v>
      </c>
      <c r="F12249" t="s">
        <v>13195</v>
      </c>
    </row>
    <row r="12250" spans="1:6" x14ac:dyDescent="0.25">
      <c r="A12250" t="s">
        <v>13380</v>
      </c>
      <c r="B12250" t="s">
        <v>1498</v>
      </c>
      <c r="C12250" t="s">
        <v>126</v>
      </c>
      <c r="D12250" t="str">
        <f>HYPERLINK("http://service.sap.com/sap/support/notes/1853485","1853485")</f>
        <v>1853485</v>
      </c>
      <c r="E12250">
        <v>2</v>
      </c>
      <c r="F12250" t="s">
        <v>9578</v>
      </c>
    </row>
    <row r="12251" spans="1:6" x14ac:dyDescent="0.25">
      <c r="A12251" t="s">
        <v>13380</v>
      </c>
      <c r="B12251" t="s">
        <v>1498</v>
      </c>
      <c r="C12251" t="s">
        <v>126</v>
      </c>
      <c r="D12251" t="str">
        <f>HYPERLINK("http://service.sap.com/sap/support/notes/1862008","1862008")</f>
        <v>1862008</v>
      </c>
      <c r="E12251">
        <v>2</v>
      </c>
      <c r="F12251" t="s">
        <v>9177</v>
      </c>
    </row>
    <row r="12252" spans="1:6" x14ac:dyDescent="0.25">
      <c r="A12252" t="s">
        <v>13380</v>
      </c>
      <c r="B12252" t="s">
        <v>1498</v>
      </c>
      <c r="C12252" t="s">
        <v>126</v>
      </c>
      <c r="D12252" t="str">
        <f>HYPERLINK("http://service.sap.com/sap/support/notes/1862009","1862009")</f>
        <v>1862009</v>
      </c>
      <c r="E12252">
        <v>1</v>
      </c>
      <c r="F12252" t="s">
        <v>9177</v>
      </c>
    </row>
    <row r="12253" spans="1:6" x14ac:dyDescent="0.25">
      <c r="A12253" t="s">
        <v>13380</v>
      </c>
      <c r="B12253" t="s">
        <v>1503</v>
      </c>
      <c r="C12253" t="s">
        <v>1504</v>
      </c>
      <c r="D12253" t="str">
        <f>HYPERLINK("http://service.sap.com/sap/support/notes/1855878","1855878")</f>
        <v>1855878</v>
      </c>
      <c r="E12253">
        <v>1</v>
      </c>
    </row>
    <row r="12254" spans="1:6" x14ac:dyDescent="0.25">
      <c r="A12254" t="s">
        <v>13380</v>
      </c>
      <c r="B12254" t="s">
        <v>1529</v>
      </c>
      <c r="C12254" t="s">
        <v>1530</v>
      </c>
    </row>
    <row r="12255" spans="1:6" x14ac:dyDescent="0.25">
      <c r="A12255" t="s">
        <v>13380</v>
      </c>
      <c r="B12255" t="s">
        <v>1531</v>
      </c>
      <c r="C12255" t="s">
        <v>1532</v>
      </c>
    </row>
    <row r="12256" spans="1:6" x14ac:dyDescent="0.25">
      <c r="A12256" t="s">
        <v>13380</v>
      </c>
      <c r="B12256" t="s">
        <v>1536</v>
      </c>
      <c r="C12256" t="s">
        <v>1537</v>
      </c>
      <c r="D12256" t="str">
        <f>HYPERLINK("http://service.sap.com/sap/support/notes/1678301","1678301")</f>
        <v>1678301</v>
      </c>
      <c r="E12256">
        <v>3</v>
      </c>
      <c r="F12256" t="s">
        <v>13196</v>
      </c>
    </row>
    <row r="12257" spans="1:6" x14ac:dyDescent="0.25">
      <c r="A12257" t="s">
        <v>13380</v>
      </c>
      <c r="B12257" t="s">
        <v>1536</v>
      </c>
      <c r="C12257" t="s">
        <v>1537</v>
      </c>
      <c r="D12257" t="str">
        <f>HYPERLINK("http://service.sap.com/sap/support/notes/1839460","1839460")</f>
        <v>1839460</v>
      </c>
      <c r="E12257">
        <v>3</v>
      </c>
    </row>
    <row r="12258" spans="1:6" x14ac:dyDescent="0.25">
      <c r="A12258" t="s">
        <v>13380</v>
      </c>
      <c r="B12258" t="s">
        <v>1536</v>
      </c>
      <c r="C12258" t="s">
        <v>1537</v>
      </c>
      <c r="D12258" t="str">
        <f>HYPERLINK("http://service.sap.com/sap/support/notes/1851735","1851735")</f>
        <v>1851735</v>
      </c>
      <c r="E12258">
        <v>1</v>
      </c>
    </row>
    <row r="12259" spans="1:6" x14ac:dyDescent="0.25">
      <c r="A12259" t="s">
        <v>13380</v>
      </c>
      <c r="B12259" t="s">
        <v>1536</v>
      </c>
      <c r="C12259" t="s">
        <v>1537</v>
      </c>
      <c r="D12259" t="str">
        <f>HYPERLINK("http://service.sap.com/sap/support/notes/1852240","1852240")</f>
        <v>1852240</v>
      </c>
      <c r="E12259">
        <v>2</v>
      </c>
    </row>
    <row r="12260" spans="1:6" x14ac:dyDescent="0.25">
      <c r="A12260" t="s">
        <v>13380</v>
      </c>
      <c r="B12260" t="s">
        <v>1539</v>
      </c>
      <c r="C12260" t="s">
        <v>1540</v>
      </c>
      <c r="D12260" t="str">
        <f>HYPERLINK("http://service.sap.com/sap/support/notes/1862608","1862608")</f>
        <v>1862608</v>
      </c>
      <c r="E12260">
        <v>2</v>
      </c>
    </row>
    <row r="12261" spans="1:6" x14ac:dyDescent="0.25">
      <c r="A12261" t="s">
        <v>13380</v>
      </c>
      <c r="B12261" t="s">
        <v>9582</v>
      </c>
      <c r="C12261" t="s">
        <v>9583</v>
      </c>
      <c r="D12261" t="str">
        <f>HYPERLINK("http://service.sap.com/sap/support/notes/1853336","1853336")</f>
        <v>1853336</v>
      </c>
      <c r="E12261">
        <v>1</v>
      </c>
      <c r="F12261" t="s">
        <v>1546</v>
      </c>
    </row>
    <row r="12262" spans="1:6" x14ac:dyDescent="0.25">
      <c r="A12262" t="s">
        <v>13380</v>
      </c>
      <c r="B12262" t="s">
        <v>1550</v>
      </c>
      <c r="C12262" t="s">
        <v>1551</v>
      </c>
    </row>
    <row r="12263" spans="1:6" x14ac:dyDescent="0.25">
      <c r="A12263" t="s">
        <v>13380</v>
      </c>
      <c r="B12263" t="s">
        <v>7302</v>
      </c>
      <c r="C12263" t="s">
        <v>7303</v>
      </c>
      <c r="D12263" t="str">
        <f>HYPERLINK("http://service.sap.com/sap/support/notes/1839310","1839310")</f>
        <v>1839310</v>
      </c>
      <c r="E12263">
        <v>3</v>
      </c>
      <c r="F12263" t="s">
        <v>9584</v>
      </c>
    </row>
    <row r="12264" spans="1:6" x14ac:dyDescent="0.25">
      <c r="A12264" t="s">
        <v>13380</v>
      </c>
      <c r="B12264" t="s">
        <v>7302</v>
      </c>
      <c r="C12264" t="s">
        <v>7303</v>
      </c>
      <c r="D12264" t="str">
        <f>HYPERLINK("http://service.sap.com/sap/support/notes/1854543","1854543")</f>
        <v>1854543</v>
      </c>
      <c r="E12264">
        <v>2</v>
      </c>
      <c r="F12264" t="s">
        <v>9585</v>
      </c>
    </row>
    <row r="12265" spans="1:6" x14ac:dyDescent="0.25">
      <c r="A12265" t="s">
        <v>13380</v>
      </c>
      <c r="B12265" t="s">
        <v>5004</v>
      </c>
      <c r="C12265" t="s">
        <v>2277</v>
      </c>
      <c r="D12265" t="str">
        <f>HYPERLINK("http://service.sap.com/sap/support/notes/1850997","1850997")</f>
        <v>1850997</v>
      </c>
      <c r="E12265">
        <v>2</v>
      </c>
      <c r="F12265" t="s">
        <v>7307</v>
      </c>
    </row>
    <row r="12266" spans="1:6" x14ac:dyDescent="0.25">
      <c r="A12266" t="s">
        <v>13380</v>
      </c>
      <c r="B12266" t="s">
        <v>5004</v>
      </c>
      <c r="C12266" t="s">
        <v>2277</v>
      </c>
      <c r="D12266" t="str">
        <f>HYPERLINK("http://service.sap.com/sap/support/notes/1854904","1854904")</f>
        <v>1854904</v>
      </c>
      <c r="E12266">
        <v>1</v>
      </c>
      <c r="F12266" t="s">
        <v>9589</v>
      </c>
    </row>
    <row r="12267" spans="1:6" x14ac:dyDescent="0.25">
      <c r="A12267" t="s">
        <v>13380</v>
      </c>
      <c r="B12267" t="s">
        <v>1569</v>
      </c>
      <c r="C12267" t="s">
        <v>5008</v>
      </c>
    </row>
    <row r="12268" spans="1:6" x14ac:dyDescent="0.25">
      <c r="A12268" t="s">
        <v>13380</v>
      </c>
      <c r="B12268" t="s">
        <v>9591</v>
      </c>
      <c r="C12268" t="s">
        <v>9592</v>
      </c>
      <c r="D12268" t="str">
        <f>HYPERLINK("http://service.sap.com/sap/support/notes/1844167","1844167")</f>
        <v>1844167</v>
      </c>
      <c r="E12268">
        <v>1</v>
      </c>
      <c r="F12268" t="s">
        <v>13197</v>
      </c>
    </row>
    <row r="12269" spans="1:6" x14ac:dyDescent="0.25">
      <c r="A12269" t="s">
        <v>13380</v>
      </c>
      <c r="B12269" t="s">
        <v>1577</v>
      </c>
      <c r="C12269" t="s">
        <v>1578</v>
      </c>
    </row>
    <row r="12270" spans="1:6" x14ac:dyDescent="0.25">
      <c r="A12270" t="s">
        <v>13380</v>
      </c>
      <c r="B12270" t="s">
        <v>9597</v>
      </c>
      <c r="C12270" t="s">
        <v>210</v>
      </c>
      <c r="D12270" t="str">
        <f>HYPERLINK("http://service.sap.com/sap/support/notes/1848413","1848413")</f>
        <v>1848413</v>
      </c>
      <c r="E12270">
        <v>2</v>
      </c>
      <c r="F12270" t="s">
        <v>9598</v>
      </c>
    </row>
    <row r="12271" spans="1:6" x14ac:dyDescent="0.25">
      <c r="A12271" t="s">
        <v>13380</v>
      </c>
      <c r="B12271" t="s">
        <v>5022</v>
      </c>
      <c r="C12271" t="s">
        <v>218</v>
      </c>
      <c r="D12271" t="str">
        <f>HYPERLINK("http://service.sap.com/sap/support/notes/1849564","1849564")</f>
        <v>1849564</v>
      </c>
      <c r="E12271">
        <v>1</v>
      </c>
      <c r="F12271" t="s">
        <v>9599</v>
      </c>
    </row>
    <row r="12272" spans="1:6" x14ac:dyDescent="0.25">
      <c r="A12272" t="s">
        <v>13380</v>
      </c>
      <c r="B12272" t="s">
        <v>1581</v>
      </c>
      <c r="C12272" t="s">
        <v>1582</v>
      </c>
    </row>
    <row r="12273" spans="1:6" x14ac:dyDescent="0.25">
      <c r="A12273" t="s">
        <v>13380</v>
      </c>
      <c r="B12273" t="s">
        <v>1583</v>
      </c>
      <c r="C12273" t="s">
        <v>1584</v>
      </c>
      <c r="D12273" t="str">
        <f>HYPERLINK("http://service.sap.com/sap/support/notes/1850894","1850894")</f>
        <v>1850894</v>
      </c>
      <c r="E12273">
        <v>2</v>
      </c>
      <c r="F12273" t="s">
        <v>1546</v>
      </c>
    </row>
    <row r="12274" spans="1:6" x14ac:dyDescent="0.25">
      <c r="A12274" t="s">
        <v>13380</v>
      </c>
      <c r="B12274" t="s">
        <v>1583</v>
      </c>
      <c r="C12274" t="s">
        <v>1584</v>
      </c>
      <c r="D12274" t="str">
        <f>HYPERLINK("http://service.sap.com/sap/support/notes/1859449","1859449")</f>
        <v>1859449</v>
      </c>
      <c r="E12274">
        <v>1</v>
      </c>
      <c r="F12274" t="s">
        <v>1546</v>
      </c>
    </row>
    <row r="12275" spans="1:6" x14ac:dyDescent="0.25">
      <c r="A12275" t="s">
        <v>13380</v>
      </c>
      <c r="B12275" t="s">
        <v>5029</v>
      </c>
      <c r="C12275" t="s">
        <v>5030</v>
      </c>
      <c r="D12275" t="str">
        <f>HYPERLINK("http://service.sap.com/sap/support/notes/1863169","1863169")</f>
        <v>1863169</v>
      </c>
      <c r="E12275">
        <v>1</v>
      </c>
      <c r="F12275" t="s">
        <v>13198</v>
      </c>
    </row>
    <row r="12276" spans="1:6" x14ac:dyDescent="0.25">
      <c r="A12276" t="s">
        <v>13380</v>
      </c>
      <c r="B12276" t="s">
        <v>9600</v>
      </c>
      <c r="C12276" t="s">
        <v>9601</v>
      </c>
      <c r="D12276" t="str">
        <f>HYPERLINK("http://service.sap.com/sap/support/notes/1848174","1848174")</f>
        <v>1848174</v>
      </c>
      <c r="E12276">
        <v>2</v>
      </c>
      <c r="F12276" t="s">
        <v>9602</v>
      </c>
    </row>
    <row r="12277" spans="1:6" x14ac:dyDescent="0.25">
      <c r="A12277" t="s">
        <v>13380</v>
      </c>
      <c r="B12277" t="s">
        <v>1585</v>
      </c>
      <c r="C12277" t="s">
        <v>12302</v>
      </c>
      <c r="D12277" t="str">
        <f>HYPERLINK("http://service.sap.com/sap/support/notes/1858557","1858557")</f>
        <v>1858557</v>
      </c>
      <c r="E12277">
        <v>1</v>
      </c>
      <c r="F12277" t="s">
        <v>13199</v>
      </c>
    </row>
    <row r="12278" spans="1:6" x14ac:dyDescent="0.25">
      <c r="A12278" t="s">
        <v>13380</v>
      </c>
      <c r="B12278" t="s">
        <v>1587</v>
      </c>
      <c r="C12278" t="s">
        <v>1588</v>
      </c>
    </row>
    <row r="12279" spans="1:6" x14ac:dyDescent="0.25">
      <c r="A12279" t="s">
        <v>13380</v>
      </c>
      <c r="B12279" t="s">
        <v>1589</v>
      </c>
      <c r="C12279" t="s">
        <v>1590</v>
      </c>
      <c r="D12279" t="str">
        <f>HYPERLINK("http://service.sap.com/sap/support/notes/1812681","1812681")</f>
        <v>1812681</v>
      </c>
      <c r="E12279">
        <v>1</v>
      </c>
      <c r="F12279" t="s">
        <v>7334</v>
      </c>
    </row>
    <row r="12280" spans="1:6" x14ac:dyDescent="0.25">
      <c r="A12280" t="s">
        <v>13380</v>
      </c>
      <c r="B12280" t="s">
        <v>1589</v>
      </c>
      <c r="C12280" t="s">
        <v>1590</v>
      </c>
      <c r="D12280" t="str">
        <f>HYPERLINK("http://service.sap.com/sap/support/notes/1844095","1844095")</f>
        <v>1844095</v>
      </c>
      <c r="E12280">
        <v>2</v>
      </c>
      <c r="F12280" t="s">
        <v>9603</v>
      </c>
    </row>
    <row r="12281" spans="1:6" x14ac:dyDescent="0.25">
      <c r="A12281" t="s">
        <v>13380</v>
      </c>
      <c r="B12281" t="s">
        <v>1589</v>
      </c>
      <c r="C12281" t="s">
        <v>1590</v>
      </c>
      <c r="D12281" t="str">
        <f>HYPERLINK("http://service.sap.com/sap/support/notes/1845357","1845357")</f>
        <v>1845357</v>
      </c>
      <c r="E12281">
        <v>3</v>
      </c>
      <c r="F12281" t="s">
        <v>9604</v>
      </c>
    </row>
    <row r="12282" spans="1:6" x14ac:dyDescent="0.25">
      <c r="A12282" t="s">
        <v>13380</v>
      </c>
      <c r="B12282" t="s">
        <v>1589</v>
      </c>
      <c r="C12282" t="s">
        <v>1590</v>
      </c>
      <c r="D12282" t="str">
        <f>HYPERLINK("http://service.sap.com/sap/support/notes/1855149","1855149")</f>
        <v>1855149</v>
      </c>
      <c r="E12282">
        <v>2</v>
      </c>
      <c r="F12282" t="s">
        <v>9605</v>
      </c>
    </row>
    <row r="12283" spans="1:6" x14ac:dyDescent="0.25">
      <c r="A12283" t="s">
        <v>13380</v>
      </c>
      <c r="B12283" t="s">
        <v>1589</v>
      </c>
      <c r="C12283" t="s">
        <v>1590</v>
      </c>
      <c r="D12283" t="str">
        <f>HYPERLINK("http://service.sap.com/sap/support/notes/1858666","1858666")</f>
        <v>1858666</v>
      </c>
      <c r="E12283">
        <v>1</v>
      </c>
      <c r="F12283" t="s">
        <v>9606</v>
      </c>
    </row>
    <row r="12284" spans="1:6" x14ac:dyDescent="0.25">
      <c r="A12284" t="s">
        <v>13380</v>
      </c>
      <c r="B12284" t="s">
        <v>1589</v>
      </c>
      <c r="C12284" t="s">
        <v>1590</v>
      </c>
      <c r="D12284" t="str">
        <f>HYPERLINK("http://service.sap.com/sap/support/notes/1861321","1861321")</f>
        <v>1861321</v>
      </c>
      <c r="E12284">
        <v>2</v>
      </c>
      <c r="F12284" t="s">
        <v>9607</v>
      </c>
    </row>
    <row r="12285" spans="1:6" x14ac:dyDescent="0.25">
      <c r="A12285" t="s">
        <v>13380</v>
      </c>
      <c r="B12285" t="s">
        <v>1599</v>
      </c>
      <c r="C12285" t="s">
        <v>1600</v>
      </c>
      <c r="D12285" t="str">
        <f>HYPERLINK("http://service.sap.com/sap/support/notes/1373610","1373610")</f>
        <v>1373610</v>
      </c>
      <c r="E12285">
        <v>5</v>
      </c>
      <c r="F12285" t="s">
        <v>9609</v>
      </c>
    </row>
    <row r="12286" spans="1:6" x14ac:dyDescent="0.25">
      <c r="A12286" t="s">
        <v>13380</v>
      </c>
      <c r="B12286" t="s">
        <v>1599</v>
      </c>
      <c r="C12286" t="s">
        <v>1600</v>
      </c>
      <c r="D12286" t="str">
        <f>HYPERLINK("http://service.sap.com/sap/support/notes/1842904","1842904")</f>
        <v>1842904</v>
      </c>
      <c r="E12286">
        <v>5</v>
      </c>
      <c r="F12286" t="s">
        <v>9610</v>
      </c>
    </row>
    <row r="12287" spans="1:6" x14ac:dyDescent="0.25">
      <c r="A12287" t="s">
        <v>13380</v>
      </c>
      <c r="B12287" t="s">
        <v>1599</v>
      </c>
      <c r="C12287" t="s">
        <v>1600</v>
      </c>
      <c r="D12287" t="str">
        <f>HYPERLINK("http://service.sap.com/sap/support/notes/1845484","1845484")</f>
        <v>1845484</v>
      </c>
      <c r="E12287">
        <v>1</v>
      </c>
      <c r="F12287" t="s">
        <v>9611</v>
      </c>
    </row>
    <row r="12288" spans="1:6" x14ac:dyDescent="0.25">
      <c r="A12288" t="s">
        <v>13380</v>
      </c>
      <c r="B12288" t="s">
        <v>1599</v>
      </c>
      <c r="C12288" t="s">
        <v>1600</v>
      </c>
      <c r="D12288" t="str">
        <f>HYPERLINK("http://service.sap.com/sap/support/notes/1853604","1853604")</f>
        <v>1853604</v>
      </c>
      <c r="E12288">
        <v>1</v>
      </c>
      <c r="F12288" t="s">
        <v>9612</v>
      </c>
    </row>
    <row r="12289" spans="1:6" x14ac:dyDescent="0.25">
      <c r="A12289" t="s">
        <v>13380</v>
      </c>
      <c r="B12289" t="s">
        <v>1599</v>
      </c>
      <c r="C12289" t="s">
        <v>1600</v>
      </c>
      <c r="D12289" t="str">
        <f>HYPERLINK("http://service.sap.com/sap/support/notes/1856801","1856801")</f>
        <v>1856801</v>
      </c>
      <c r="E12289">
        <v>1</v>
      </c>
      <c r="F12289" t="s">
        <v>9613</v>
      </c>
    </row>
    <row r="12290" spans="1:6" x14ac:dyDescent="0.25">
      <c r="A12290" t="s">
        <v>13380</v>
      </c>
      <c r="B12290" t="s">
        <v>1599</v>
      </c>
      <c r="C12290" t="s">
        <v>1600</v>
      </c>
      <c r="D12290" t="str">
        <f>HYPERLINK("http://service.sap.com/sap/support/notes/1856875","1856875")</f>
        <v>1856875</v>
      </c>
      <c r="E12290">
        <v>1</v>
      </c>
      <c r="F12290" t="s">
        <v>9614</v>
      </c>
    </row>
    <row r="12291" spans="1:6" x14ac:dyDescent="0.25">
      <c r="A12291" t="s">
        <v>13380</v>
      </c>
      <c r="B12291" t="s">
        <v>1599</v>
      </c>
      <c r="C12291" t="s">
        <v>1600</v>
      </c>
      <c r="D12291" t="str">
        <f>HYPERLINK("http://service.sap.com/sap/support/notes/1856876","1856876")</f>
        <v>1856876</v>
      </c>
      <c r="E12291">
        <v>2</v>
      </c>
      <c r="F12291" t="s">
        <v>9615</v>
      </c>
    </row>
    <row r="12292" spans="1:6" x14ac:dyDescent="0.25">
      <c r="A12292" t="s">
        <v>13380</v>
      </c>
      <c r="B12292" t="s">
        <v>1599</v>
      </c>
      <c r="C12292" t="s">
        <v>1600</v>
      </c>
      <c r="D12292" t="str">
        <f>HYPERLINK("http://service.sap.com/sap/support/notes/1856977","1856977")</f>
        <v>1856977</v>
      </c>
      <c r="E12292">
        <v>2</v>
      </c>
      <c r="F12292" t="s">
        <v>9616</v>
      </c>
    </row>
    <row r="12293" spans="1:6" x14ac:dyDescent="0.25">
      <c r="A12293" t="s">
        <v>13380</v>
      </c>
      <c r="B12293" t="s">
        <v>1599</v>
      </c>
      <c r="C12293" t="s">
        <v>1600</v>
      </c>
      <c r="D12293" t="str">
        <f>HYPERLINK("http://service.sap.com/sap/support/notes/1861081","1861081")</f>
        <v>1861081</v>
      </c>
      <c r="E12293">
        <v>2</v>
      </c>
      <c r="F12293" t="s">
        <v>13200</v>
      </c>
    </row>
    <row r="12294" spans="1:6" x14ac:dyDescent="0.25">
      <c r="A12294" t="s">
        <v>13380</v>
      </c>
      <c r="B12294" t="s">
        <v>1607</v>
      </c>
      <c r="C12294" t="s">
        <v>1608</v>
      </c>
    </row>
    <row r="12295" spans="1:6" x14ac:dyDescent="0.25">
      <c r="A12295" t="s">
        <v>13380</v>
      </c>
      <c r="B12295" t="s">
        <v>1609</v>
      </c>
      <c r="C12295" t="s">
        <v>1610</v>
      </c>
      <c r="D12295" t="str">
        <f>HYPERLINK("http://service.sap.com/sap/support/notes/1820478","1820478")</f>
        <v>1820478</v>
      </c>
      <c r="E12295">
        <v>3</v>
      </c>
      <c r="F12295" t="s">
        <v>9618</v>
      </c>
    </row>
    <row r="12296" spans="1:6" x14ac:dyDescent="0.25">
      <c r="A12296" t="s">
        <v>13380</v>
      </c>
      <c r="B12296" t="s">
        <v>1609</v>
      </c>
      <c r="C12296" t="s">
        <v>1610</v>
      </c>
      <c r="D12296" t="str">
        <f>HYPERLINK("http://service.sap.com/sap/support/notes/1841479","1841479")</f>
        <v>1841479</v>
      </c>
      <c r="E12296">
        <v>2</v>
      </c>
      <c r="F12296" t="s">
        <v>9619</v>
      </c>
    </row>
    <row r="12297" spans="1:6" x14ac:dyDescent="0.25">
      <c r="A12297" t="s">
        <v>13380</v>
      </c>
      <c r="B12297" t="s">
        <v>1609</v>
      </c>
      <c r="C12297" t="s">
        <v>1610</v>
      </c>
      <c r="D12297" t="str">
        <f>HYPERLINK("http://service.sap.com/sap/support/notes/1861188","1861188")</f>
        <v>1861188</v>
      </c>
      <c r="E12297">
        <v>1</v>
      </c>
      <c r="F12297" t="s">
        <v>9620</v>
      </c>
    </row>
    <row r="12298" spans="1:6" x14ac:dyDescent="0.25">
      <c r="A12298" t="s">
        <v>13380</v>
      </c>
      <c r="B12298" t="s">
        <v>1612</v>
      </c>
      <c r="C12298" t="s">
        <v>1613</v>
      </c>
      <c r="D12298" t="str">
        <f>HYPERLINK("http://service.sap.com/sap/support/notes/1852838","1852838")</f>
        <v>1852838</v>
      </c>
      <c r="E12298">
        <v>2</v>
      </c>
      <c r="F12298" t="s">
        <v>9621</v>
      </c>
    </row>
    <row r="12299" spans="1:6" x14ac:dyDescent="0.25">
      <c r="A12299" t="s">
        <v>13380</v>
      </c>
      <c r="B12299" t="s">
        <v>1618</v>
      </c>
      <c r="C12299" t="s">
        <v>1619</v>
      </c>
      <c r="D12299" t="str">
        <f>HYPERLINK("http://service.sap.com/sap/support/notes/1845376","1845376")</f>
        <v>1845376</v>
      </c>
      <c r="E12299">
        <v>2</v>
      </c>
      <c r="F12299" t="s">
        <v>9623</v>
      </c>
    </row>
    <row r="12300" spans="1:6" x14ac:dyDescent="0.25">
      <c r="A12300" t="s">
        <v>13380</v>
      </c>
      <c r="B12300" t="s">
        <v>1618</v>
      </c>
      <c r="C12300" t="s">
        <v>1619</v>
      </c>
      <c r="D12300" t="str">
        <f>HYPERLINK("http://service.sap.com/sap/support/notes/1861164","1861164")</f>
        <v>1861164</v>
      </c>
      <c r="E12300">
        <v>1</v>
      </c>
      <c r="F12300" t="s">
        <v>9624</v>
      </c>
    </row>
    <row r="12301" spans="1:6" x14ac:dyDescent="0.25">
      <c r="A12301" t="s">
        <v>13380</v>
      </c>
      <c r="B12301" t="s">
        <v>1626</v>
      </c>
      <c r="C12301" t="s">
        <v>1627</v>
      </c>
    </row>
    <row r="12302" spans="1:6" x14ac:dyDescent="0.25">
      <c r="A12302" t="s">
        <v>13380</v>
      </c>
      <c r="B12302" t="s">
        <v>1628</v>
      </c>
      <c r="C12302" t="s">
        <v>1629</v>
      </c>
      <c r="D12302" t="str">
        <f>HYPERLINK("http://service.sap.com/sap/support/notes/1849308","1849308")</f>
        <v>1849308</v>
      </c>
      <c r="E12302">
        <v>2</v>
      </c>
      <c r="F12302" t="s">
        <v>9626</v>
      </c>
    </row>
    <row r="12303" spans="1:6" x14ac:dyDescent="0.25">
      <c r="A12303" t="s">
        <v>13380</v>
      </c>
      <c r="B12303" t="s">
        <v>9627</v>
      </c>
      <c r="C12303" t="s">
        <v>9628</v>
      </c>
      <c r="D12303" t="str">
        <f>HYPERLINK("http://service.sap.com/sap/support/notes/1858746","1858746")</f>
        <v>1858746</v>
      </c>
      <c r="E12303">
        <v>1</v>
      </c>
      <c r="F12303" t="s">
        <v>9629</v>
      </c>
    </row>
    <row r="12304" spans="1:6" x14ac:dyDescent="0.25">
      <c r="A12304" t="s">
        <v>13380</v>
      </c>
      <c r="B12304" t="s">
        <v>5041</v>
      </c>
      <c r="C12304" t="s">
        <v>5042</v>
      </c>
      <c r="D12304" t="str">
        <f>HYPERLINK("http://service.sap.com/sap/support/notes/1784459","1784459")</f>
        <v>1784459</v>
      </c>
      <c r="E12304">
        <v>3</v>
      </c>
      <c r="F12304" t="s">
        <v>9630</v>
      </c>
    </row>
    <row r="12305" spans="1:6" x14ac:dyDescent="0.25">
      <c r="A12305" t="s">
        <v>13380</v>
      </c>
      <c r="B12305" t="s">
        <v>5041</v>
      </c>
      <c r="C12305" t="s">
        <v>5042</v>
      </c>
      <c r="D12305" t="str">
        <f>HYPERLINK("http://service.sap.com/sap/support/notes/1860173","1860173")</f>
        <v>1860173</v>
      </c>
      <c r="E12305">
        <v>2</v>
      </c>
      <c r="F12305" t="s">
        <v>13201</v>
      </c>
    </row>
    <row r="12306" spans="1:6" x14ac:dyDescent="0.25">
      <c r="A12306" t="s">
        <v>13380</v>
      </c>
      <c r="B12306" t="s">
        <v>1632</v>
      </c>
      <c r="C12306" t="s">
        <v>1633</v>
      </c>
    </row>
    <row r="12307" spans="1:6" x14ac:dyDescent="0.25">
      <c r="A12307" t="s">
        <v>13380</v>
      </c>
      <c r="B12307" t="s">
        <v>1634</v>
      </c>
      <c r="C12307" t="s">
        <v>1635</v>
      </c>
      <c r="D12307" t="str">
        <f>HYPERLINK("http://service.sap.com/sap/support/notes/1861318","1861318")</f>
        <v>1861318</v>
      </c>
      <c r="E12307">
        <v>1</v>
      </c>
      <c r="F12307" t="s">
        <v>13202</v>
      </c>
    </row>
    <row r="12308" spans="1:6" x14ac:dyDescent="0.25">
      <c r="A12308" t="s">
        <v>13380</v>
      </c>
      <c r="B12308" t="s">
        <v>13203</v>
      </c>
      <c r="C12308" t="s">
        <v>13204</v>
      </c>
      <c r="D12308" t="str">
        <f>HYPERLINK("http://service.sap.com/sap/support/notes/1859472","1859472")</f>
        <v>1859472</v>
      </c>
      <c r="E12308">
        <v>1</v>
      </c>
      <c r="F12308" t="s">
        <v>13205</v>
      </c>
    </row>
    <row r="12309" spans="1:6" x14ac:dyDescent="0.25">
      <c r="A12309" t="s">
        <v>13380</v>
      </c>
      <c r="B12309" t="s">
        <v>1637</v>
      </c>
      <c r="C12309" t="s">
        <v>1638</v>
      </c>
    </row>
    <row r="12310" spans="1:6" x14ac:dyDescent="0.25">
      <c r="A12310" t="s">
        <v>13380</v>
      </c>
      <c r="B12310" t="s">
        <v>1642</v>
      </c>
      <c r="C12310" t="s">
        <v>1643</v>
      </c>
      <c r="D12310" t="str">
        <f>HYPERLINK("http://service.sap.com/sap/support/notes/1131191","1131191")</f>
        <v>1131191</v>
      </c>
      <c r="E12310">
        <v>4</v>
      </c>
      <c r="F12310" t="s">
        <v>9633</v>
      </c>
    </row>
    <row r="12311" spans="1:6" x14ac:dyDescent="0.25">
      <c r="A12311" t="s">
        <v>13380</v>
      </c>
      <c r="B12311" t="s">
        <v>1642</v>
      </c>
      <c r="C12311" t="s">
        <v>1643</v>
      </c>
      <c r="D12311" t="str">
        <f>HYPERLINK("http://service.sap.com/sap/support/notes/1834188","1834188")</f>
        <v>1834188</v>
      </c>
      <c r="E12311">
        <v>2</v>
      </c>
      <c r="F12311" t="s">
        <v>9635</v>
      </c>
    </row>
    <row r="12312" spans="1:6" x14ac:dyDescent="0.25">
      <c r="A12312" t="s">
        <v>13380</v>
      </c>
      <c r="B12312" t="s">
        <v>1642</v>
      </c>
      <c r="C12312" t="s">
        <v>1643</v>
      </c>
      <c r="D12312" t="str">
        <f>HYPERLINK("http://service.sap.com/sap/support/notes/1837622","1837622")</f>
        <v>1837622</v>
      </c>
      <c r="E12312">
        <v>2</v>
      </c>
      <c r="F12312" t="s">
        <v>9636</v>
      </c>
    </row>
    <row r="12313" spans="1:6" x14ac:dyDescent="0.25">
      <c r="A12313" t="s">
        <v>13380</v>
      </c>
      <c r="B12313" t="s">
        <v>1642</v>
      </c>
      <c r="C12313" t="s">
        <v>1643</v>
      </c>
      <c r="D12313" t="str">
        <f>HYPERLINK("http://service.sap.com/sap/support/notes/1861315","1861315")</f>
        <v>1861315</v>
      </c>
      <c r="E12313">
        <v>1</v>
      </c>
      <c r="F12313" t="s">
        <v>9637</v>
      </c>
    </row>
    <row r="12314" spans="1:6" x14ac:dyDescent="0.25">
      <c r="A12314" t="s">
        <v>13380</v>
      </c>
      <c r="B12314" t="s">
        <v>1642</v>
      </c>
      <c r="C12314" t="s">
        <v>1643</v>
      </c>
      <c r="D12314" t="str">
        <f>HYPERLINK("http://service.sap.com/sap/support/notes/1865290","1865290")</f>
        <v>1865290</v>
      </c>
      <c r="E12314">
        <v>1</v>
      </c>
      <c r="F12314" t="s">
        <v>12276</v>
      </c>
    </row>
    <row r="12315" spans="1:6" x14ac:dyDescent="0.25">
      <c r="A12315" t="s">
        <v>13380</v>
      </c>
      <c r="B12315" t="s">
        <v>9638</v>
      </c>
      <c r="C12315" t="s">
        <v>9639</v>
      </c>
      <c r="D12315" t="str">
        <f>HYPERLINK("http://service.sap.com/sap/support/notes/1848887","1848887")</f>
        <v>1848887</v>
      </c>
      <c r="E12315">
        <v>1</v>
      </c>
      <c r="F12315" t="s">
        <v>9641</v>
      </c>
    </row>
    <row r="12316" spans="1:6" x14ac:dyDescent="0.25">
      <c r="A12316" t="s">
        <v>13380</v>
      </c>
      <c r="B12316" t="s">
        <v>1651</v>
      </c>
      <c r="C12316" t="s">
        <v>1652</v>
      </c>
      <c r="D12316" t="str">
        <f>HYPERLINK("http://service.sap.com/sap/support/notes/1769191","1769191")</f>
        <v>1769191</v>
      </c>
      <c r="E12316">
        <v>9</v>
      </c>
      <c r="F12316" t="s">
        <v>9642</v>
      </c>
    </row>
    <row r="12317" spans="1:6" x14ac:dyDescent="0.25">
      <c r="A12317" t="s">
        <v>13380</v>
      </c>
      <c r="B12317" t="s">
        <v>1654</v>
      </c>
      <c r="C12317" t="s">
        <v>1655</v>
      </c>
      <c r="D12317" t="str">
        <f>HYPERLINK("http://service.sap.com/sap/support/notes/1777710","1777710")</f>
        <v>1777710</v>
      </c>
      <c r="E12317">
        <v>2</v>
      </c>
      <c r="F12317" t="s">
        <v>9643</v>
      </c>
    </row>
    <row r="12318" spans="1:6" x14ac:dyDescent="0.25">
      <c r="A12318" t="s">
        <v>13380</v>
      </c>
      <c r="B12318" t="s">
        <v>1657</v>
      </c>
      <c r="C12318" t="s">
        <v>1658</v>
      </c>
      <c r="D12318" t="str">
        <f>HYPERLINK("http://service.sap.com/sap/support/notes/1659754","1659754")</f>
        <v>1659754</v>
      </c>
      <c r="E12318">
        <v>3</v>
      </c>
      <c r="F12318" t="s">
        <v>9644</v>
      </c>
    </row>
    <row r="12319" spans="1:6" x14ac:dyDescent="0.25">
      <c r="A12319" t="s">
        <v>13380</v>
      </c>
      <c r="B12319" t="s">
        <v>1657</v>
      </c>
      <c r="C12319" t="s">
        <v>1658</v>
      </c>
      <c r="D12319" t="str">
        <f>HYPERLINK("http://service.sap.com/sap/support/notes/1846379","1846379")</f>
        <v>1846379</v>
      </c>
      <c r="E12319">
        <v>1</v>
      </c>
      <c r="F12319" t="s">
        <v>9645</v>
      </c>
    </row>
    <row r="12320" spans="1:6" x14ac:dyDescent="0.25">
      <c r="A12320" t="s">
        <v>13380</v>
      </c>
      <c r="B12320" t="s">
        <v>1657</v>
      </c>
      <c r="C12320" t="s">
        <v>1658</v>
      </c>
      <c r="D12320" t="str">
        <f>HYPERLINK("http://service.sap.com/sap/support/notes/1859988","1859988")</f>
        <v>1859988</v>
      </c>
      <c r="E12320">
        <v>1</v>
      </c>
      <c r="F12320" t="s">
        <v>13206</v>
      </c>
    </row>
    <row r="12321" spans="1:6" x14ac:dyDescent="0.25">
      <c r="A12321" t="s">
        <v>13380</v>
      </c>
      <c r="B12321" t="s">
        <v>9647</v>
      </c>
      <c r="C12321" t="s">
        <v>9648</v>
      </c>
      <c r="D12321" t="str">
        <f>HYPERLINK("http://service.sap.com/sap/support/notes/1152886","1152886")</f>
        <v>1152886</v>
      </c>
      <c r="E12321">
        <v>7</v>
      </c>
      <c r="F12321" t="s">
        <v>9649</v>
      </c>
    </row>
    <row r="12322" spans="1:6" x14ac:dyDescent="0.25">
      <c r="A12322" t="s">
        <v>13380</v>
      </c>
      <c r="B12322" t="s">
        <v>9647</v>
      </c>
      <c r="C12322" t="s">
        <v>9648</v>
      </c>
      <c r="D12322" t="str">
        <f>HYPERLINK("http://service.sap.com/sap/support/notes/1789278","1789278")</f>
        <v>1789278</v>
      </c>
      <c r="E12322">
        <v>2</v>
      </c>
      <c r="F12322" t="s">
        <v>9650</v>
      </c>
    </row>
    <row r="12323" spans="1:6" x14ac:dyDescent="0.25">
      <c r="A12323" t="s">
        <v>13380</v>
      </c>
      <c r="B12323" t="s">
        <v>9647</v>
      </c>
      <c r="C12323" t="s">
        <v>9648</v>
      </c>
      <c r="D12323" t="str">
        <f>HYPERLINK("http://service.sap.com/sap/support/notes/1844625","1844625")</f>
        <v>1844625</v>
      </c>
      <c r="E12323">
        <v>4</v>
      </c>
      <c r="F12323" t="s">
        <v>9651</v>
      </c>
    </row>
    <row r="12324" spans="1:6" x14ac:dyDescent="0.25">
      <c r="A12324" t="s">
        <v>13380</v>
      </c>
      <c r="B12324" t="s">
        <v>1660</v>
      </c>
      <c r="C12324" t="s">
        <v>210</v>
      </c>
    </row>
    <row r="12325" spans="1:6" x14ac:dyDescent="0.25">
      <c r="A12325" t="s">
        <v>13380</v>
      </c>
      <c r="B12325" t="s">
        <v>1661</v>
      </c>
      <c r="C12325" t="s">
        <v>5050</v>
      </c>
      <c r="D12325" t="str">
        <f>HYPERLINK("http://service.sap.com/sap/support/notes/1848558","1848558")</f>
        <v>1848558</v>
      </c>
      <c r="E12325">
        <v>1</v>
      </c>
      <c r="F12325" t="s">
        <v>9652</v>
      </c>
    </row>
    <row r="12326" spans="1:6" x14ac:dyDescent="0.25">
      <c r="A12326" t="s">
        <v>13380</v>
      </c>
      <c r="B12326" t="s">
        <v>1661</v>
      </c>
      <c r="C12326" t="s">
        <v>5050</v>
      </c>
      <c r="D12326" t="str">
        <f>HYPERLINK("http://service.sap.com/sap/support/notes/1859492","1859492")</f>
        <v>1859492</v>
      </c>
      <c r="E12326">
        <v>1</v>
      </c>
      <c r="F12326" t="s">
        <v>9653</v>
      </c>
    </row>
    <row r="12327" spans="1:6" x14ac:dyDescent="0.25">
      <c r="A12327" t="s">
        <v>13380</v>
      </c>
      <c r="B12327" t="s">
        <v>1666</v>
      </c>
      <c r="C12327" t="s">
        <v>9654</v>
      </c>
      <c r="D12327" t="str">
        <f>HYPERLINK("http://service.sap.com/sap/support/notes/1822545","1822545")</f>
        <v>1822545</v>
      </c>
      <c r="E12327">
        <v>3</v>
      </c>
      <c r="F12327" t="s">
        <v>9655</v>
      </c>
    </row>
    <row r="12328" spans="1:6" x14ac:dyDescent="0.25">
      <c r="A12328" t="s">
        <v>13380</v>
      </c>
      <c r="B12328" t="s">
        <v>1672</v>
      </c>
      <c r="C12328" t="s">
        <v>1673</v>
      </c>
      <c r="D12328" t="str">
        <f>HYPERLINK("http://service.sap.com/sap/support/notes/1840358","1840358")</f>
        <v>1840358</v>
      </c>
      <c r="E12328">
        <v>2</v>
      </c>
      <c r="F12328" t="s">
        <v>9656</v>
      </c>
    </row>
    <row r="12329" spans="1:6" x14ac:dyDescent="0.25">
      <c r="A12329" t="s">
        <v>13380</v>
      </c>
      <c r="B12329" t="s">
        <v>1672</v>
      </c>
      <c r="C12329" t="s">
        <v>1673</v>
      </c>
      <c r="D12329" t="str">
        <f>HYPERLINK("http://service.sap.com/sap/support/notes/1858866","1858866")</f>
        <v>1858866</v>
      </c>
      <c r="E12329">
        <v>2</v>
      </c>
      <c r="F12329" t="s">
        <v>9657</v>
      </c>
    </row>
    <row r="12330" spans="1:6" x14ac:dyDescent="0.25">
      <c r="A12330" t="s">
        <v>13380</v>
      </c>
      <c r="B12330" t="s">
        <v>1682</v>
      </c>
      <c r="C12330" t="s">
        <v>1683</v>
      </c>
      <c r="D12330" t="str">
        <f>HYPERLINK("http://service.sap.com/sap/support/notes/1804593","1804593")</f>
        <v>1804593</v>
      </c>
      <c r="E12330">
        <v>4</v>
      </c>
      <c r="F12330" t="s">
        <v>9658</v>
      </c>
    </row>
    <row r="12331" spans="1:6" x14ac:dyDescent="0.25">
      <c r="A12331" t="s">
        <v>13380</v>
      </c>
      <c r="B12331" t="s">
        <v>1682</v>
      </c>
      <c r="C12331" t="s">
        <v>1683</v>
      </c>
      <c r="D12331" t="str">
        <f>HYPERLINK("http://service.sap.com/sap/support/notes/1841463","1841463")</f>
        <v>1841463</v>
      </c>
      <c r="E12331">
        <v>5</v>
      </c>
      <c r="F12331" t="s">
        <v>9660</v>
      </c>
    </row>
    <row r="12332" spans="1:6" x14ac:dyDescent="0.25">
      <c r="A12332" t="s">
        <v>13380</v>
      </c>
      <c r="B12332" t="s">
        <v>1682</v>
      </c>
      <c r="C12332" t="s">
        <v>1683</v>
      </c>
      <c r="D12332" t="str">
        <f>HYPERLINK("http://service.sap.com/sap/support/notes/1847329","1847329")</f>
        <v>1847329</v>
      </c>
      <c r="E12332">
        <v>2</v>
      </c>
      <c r="F12332" t="s">
        <v>9661</v>
      </c>
    </row>
    <row r="12333" spans="1:6" x14ac:dyDescent="0.25">
      <c r="A12333" t="s">
        <v>13380</v>
      </c>
      <c r="B12333" t="s">
        <v>1682</v>
      </c>
      <c r="C12333" t="s">
        <v>1683</v>
      </c>
      <c r="D12333" t="str">
        <f>HYPERLINK("http://service.sap.com/sap/support/notes/1852619","1852619")</f>
        <v>1852619</v>
      </c>
      <c r="E12333">
        <v>5</v>
      </c>
      <c r="F12333" t="s">
        <v>9662</v>
      </c>
    </row>
    <row r="12334" spans="1:6" x14ac:dyDescent="0.25">
      <c r="A12334" t="s">
        <v>13380</v>
      </c>
      <c r="B12334" t="s">
        <v>1682</v>
      </c>
      <c r="C12334" t="s">
        <v>1683</v>
      </c>
      <c r="D12334" t="str">
        <f>HYPERLINK("http://service.sap.com/sap/support/notes/1853762","1853762")</f>
        <v>1853762</v>
      </c>
      <c r="E12334">
        <v>2</v>
      </c>
      <c r="F12334" t="s">
        <v>9663</v>
      </c>
    </row>
    <row r="12335" spans="1:6" x14ac:dyDescent="0.25">
      <c r="A12335" t="s">
        <v>13380</v>
      </c>
      <c r="B12335" t="s">
        <v>1694</v>
      </c>
      <c r="C12335" t="s">
        <v>212</v>
      </c>
      <c r="D12335" t="str">
        <f>HYPERLINK("http://service.sap.com/sap/support/notes/1838984","1838984")</f>
        <v>1838984</v>
      </c>
      <c r="E12335">
        <v>2</v>
      </c>
      <c r="F12335" t="s">
        <v>9664</v>
      </c>
    </row>
    <row r="12336" spans="1:6" x14ac:dyDescent="0.25">
      <c r="A12336" t="s">
        <v>13380</v>
      </c>
      <c r="B12336" t="s">
        <v>1694</v>
      </c>
      <c r="C12336" t="s">
        <v>212</v>
      </c>
      <c r="D12336" t="str">
        <f>HYPERLINK("http://service.sap.com/sap/support/notes/1858523","1858523")</f>
        <v>1858523</v>
      </c>
      <c r="E12336">
        <v>2</v>
      </c>
      <c r="F12336" t="s">
        <v>9808</v>
      </c>
    </row>
    <row r="12337" spans="1:6" x14ac:dyDescent="0.25">
      <c r="A12337" t="s">
        <v>13380</v>
      </c>
      <c r="B12337" t="s">
        <v>1695</v>
      </c>
      <c r="C12337" t="s">
        <v>1696</v>
      </c>
      <c r="D12337" t="str">
        <f>HYPERLINK("http://service.sap.com/sap/support/notes/1806869","1806869")</f>
        <v>1806869</v>
      </c>
      <c r="E12337">
        <v>3</v>
      </c>
    </row>
    <row r="12338" spans="1:6" x14ac:dyDescent="0.25">
      <c r="A12338" t="s">
        <v>13380</v>
      </c>
      <c r="B12338" t="s">
        <v>1695</v>
      </c>
      <c r="C12338" t="s">
        <v>1696</v>
      </c>
      <c r="D12338" t="str">
        <f>HYPERLINK("http://service.sap.com/sap/support/notes/1841776","1841776")</f>
        <v>1841776</v>
      </c>
      <c r="E12338">
        <v>3</v>
      </c>
    </row>
    <row r="12339" spans="1:6" x14ac:dyDescent="0.25">
      <c r="A12339" t="s">
        <v>13380</v>
      </c>
      <c r="B12339" t="s">
        <v>1695</v>
      </c>
      <c r="C12339" t="s">
        <v>1696</v>
      </c>
      <c r="D12339" t="str">
        <f>HYPERLINK("http://service.sap.com/sap/support/notes/1852742","1852742")</f>
        <v>1852742</v>
      </c>
      <c r="E12339">
        <v>1</v>
      </c>
    </row>
    <row r="12340" spans="1:6" x14ac:dyDescent="0.25">
      <c r="A12340" t="s">
        <v>13380</v>
      </c>
      <c r="B12340" t="s">
        <v>1711</v>
      </c>
      <c r="C12340" t="s">
        <v>1712</v>
      </c>
      <c r="D12340" t="str">
        <f>HYPERLINK("http://service.sap.com/sap/support/notes/1853589","1853589")</f>
        <v>1853589</v>
      </c>
      <c r="E12340">
        <v>1</v>
      </c>
    </row>
    <row r="12341" spans="1:6" x14ac:dyDescent="0.25">
      <c r="A12341" t="s">
        <v>13380</v>
      </c>
      <c r="B12341" t="s">
        <v>1714</v>
      </c>
      <c r="C12341" t="s">
        <v>1715</v>
      </c>
      <c r="D12341" t="str">
        <f>HYPERLINK("http://service.sap.com/sap/support/notes/1605463","1605463")</f>
        <v>1605463</v>
      </c>
      <c r="E12341">
        <v>3</v>
      </c>
      <c r="F12341" t="s">
        <v>13207</v>
      </c>
    </row>
    <row r="12342" spans="1:6" x14ac:dyDescent="0.25">
      <c r="A12342" t="s">
        <v>13380</v>
      </c>
      <c r="B12342" t="s">
        <v>1714</v>
      </c>
      <c r="C12342" t="s">
        <v>1715</v>
      </c>
      <c r="D12342" t="str">
        <f>HYPERLINK("http://service.sap.com/sap/support/notes/1815092","1815092")</f>
        <v>1815092</v>
      </c>
      <c r="E12342">
        <v>2</v>
      </c>
      <c r="F12342" t="s">
        <v>9667</v>
      </c>
    </row>
    <row r="12343" spans="1:6" x14ac:dyDescent="0.25">
      <c r="A12343" t="s">
        <v>13380</v>
      </c>
      <c r="B12343" t="s">
        <v>1714</v>
      </c>
      <c r="C12343" t="s">
        <v>1715</v>
      </c>
      <c r="D12343" t="str">
        <f>HYPERLINK("http://service.sap.com/sap/support/notes/1823096","1823096")</f>
        <v>1823096</v>
      </c>
      <c r="E12343">
        <v>3</v>
      </c>
      <c r="F12343" t="s">
        <v>9669</v>
      </c>
    </row>
    <row r="12344" spans="1:6" x14ac:dyDescent="0.25">
      <c r="A12344" t="s">
        <v>13380</v>
      </c>
      <c r="B12344" t="s">
        <v>1720</v>
      </c>
      <c r="C12344" t="s">
        <v>1721</v>
      </c>
      <c r="D12344" t="str">
        <f>HYPERLINK("http://service.sap.com/sap/support/notes/1834534","1834534")</f>
        <v>1834534</v>
      </c>
      <c r="E12344">
        <v>2</v>
      </c>
      <c r="F12344" t="s">
        <v>9673</v>
      </c>
    </row>
    <row r="12345" spans="1:6" x14ac:dyDescent="0.25">
      <c r="A12345" t="s">
        <v>13380</v>
      </c>
      <c r="B12345" t="s">
        <v>1720</v>
      </c>
      <c r="C12345" t="s">
        <v>1721</v>
      </c>
      <c r="D12345" t="str">
        <f>HYPERLINK("http://service.sap.com/sap/support/notes/1860838","1860838")</f>
        <v>1860838</v>
      </c>
      <c r="E12345">
        <v>1</v>
      </c>
      <c r="F12345" t="s">
        <v>9674</v>
      </c>
    </row>
    <row r="12346" spans="1:6" x14ac:dyDescent="0.25">
      <c r="A12346" t="s">
        <v>13380</v>
      </c>
      <c r="B12346" t="s">
        <v>1728</v>
      </c>
      <c r="C12346" t="s">
        <v>1729</v>
      </c>
      <c r="D12346" t="str">
        <f>HYPERLINK("http://service.sap.com/sap/support/notes/1842901","1842901")</f>
        <v>1842901</v>
      </c>
      <c r="E12346">
        <v>1</v>
      </c>
      <c r="F12346" t="s">
        <v>9675</v>
      </c>
    </row>
    <row r="12347" spans="1:6" x14ac:dyDescent="0.25">
      <c r="A12347" t="s">
        <v>13380</v>
      </c>
      <c r="B12347" t="s">
        <v>5076</v>
      </c>
      <c r="C12347" t="s">
        <v>5077</v>
      </c>
      <c r="D12347" t="str">
        <f>HYPERLINK("http://service.sap.com/sap/support/notes/1835097","1835097")</f>
        <v>1835097</v>
      </c>
      <c r="E12347">
        <v>3</v>
      </c>
      <c r="F12347" t="s">
        <v>9678</v>
      </c>
    </row>
    <row r="12348" spans="1:6" x14ac:dyDescent="0.25">
      <c r="A12348" t="s">
        <v>13380</v>
      </c>
      <c r="B12348" t="s">
        <v>1734</v>
      </c>
      <c r="C12348" t="s">
        <v>151</v>
      </c>
    </row>
    <row r="12349" spans="1:6" x14ac:dyDescent="0.25">
      <c r="A12349" t="s">
        <v>13380</v>
      </c>
      <c r="B12349" t="s">
        <v>5083</v>
      </c>
      <c r="C12349" t="s">
        <v>5084</v>
      </c>
      <c r="D12349" t="str">
        <f>HYPERLINK("http://service.sap.com/sap/support/notes/1816484","1816484")</f>
        <v>1816484</v>
      </c>
      <c r="E12349">
        <v>2</v>
      </c>
      <c r="F12349" t="s">
        <v>9679</v>
      </c>
    </row>
    <row r="12350" spans="1:6" x14ac:dyDescent="0.25">
      <c r="A12350" t="s">
        <v>13380</v>
      </c>
      <c r="B12350" t="s">
        <v>1742</v>
      </c>
      <c r="C12350" t="s">
        <v>1743</v>
      </c>
      <c r="D12350" t="str">
        <f>HYPERLINK("http://service.sap.com/sap/support/notes/1862532","1862532")</f>
        <v>1862532</v>
      </c>
      <c r="E12350">
        <v>1</v>
      </c>
      <c r="F12350" t="s">
        <v>9682</v>
      </c>
    </row>
    <row r="12351" spans="1:6" x14ac:dyDescent="0.25">
      <c r="A12351" t="s">
        <v>13380</v>
      </c>
      <c r="B12351" t="s">
        <v>1754</v>
      </c>
      <c r="C12351" t="s">
        <v>1755</v>
      </c>
      <c r="D12351" t="str">
        <f>HYPERLINK("http://service.sap.com/sap/support/notes/1859406","1859406")</f>
        <v>1859406</v>
      </c>
      <c r="E12351">
        <v>1</v>
      </c>
      <c r="F12351" t="s">
        <v>9686</v>
      </c>
    </row>
    <row r="12352" spans="1:6" x14ac:dyDescent="0.25">
      <c r="A12352" t="s">
        <v>13380</v>
      </c>
      <c r="B12352" t="s">
        <v>1758</v>
      </c>
      <c r="C12352" t="s">
        <v>1759</v>
      </c>
      <c r="D12352" t="str">
        <f>HYPERLINK("http://service.sap.com/sap/support/notes/1854995","1854995")</f>
        <v>1854995</v>
      </c>
      <c r="E12352">
        <v>1</v>
      </c>
      <c r="F12352" t="s">
        <v>9687</v>
      </c>
    </row>
    <row r="12353" spans="1:6" x14ac:dyDescent="0.25">
      <c r="A12353" t="s">
        <v>13380</v>
      </c>
      <c r="B12353" t="s">
        <v>1761</v>
      </c>
      <c r="C12353" t="s">
        <v>1762</v>
      </c>
      <c r="D12353" t="str">
        <f>HYPERLINK("http://service.sap.com/sap/support/notes/1862105","1862105")</f>
        <v>1862105</v>
      </c>
      <c r="E12353">
        <v>1</v>
      </c>
      <c r="F12353" t="s">
        <v>13208</v>
      </c>
    </row>
    <row r="12354" spans="1:6" x14ac:dyDescent="0.25">
      <c r="A12354" t="s">
        <v>13380</v>
      </c>
      <c r="B12354" t="s">
        <v>1774</v>
      </c>
      <c r="C12354" t="s">
        <v>1775</v>
      </c>
      <c r="D12354" t="str">
        <f>HYPERLINK("http://service.sap.com/sap/support/notes/1849864","1849864")</f>
        <v>1849864</v>
      </c>
      <c r="E12354">
        <v>2</v>
      </c>
      <c r="F12354" t="s">
        <v>9688</v>
      </c>
    </row>
    <row r="12355" spans="1:6" x14ac:dyDescent="0.25">
      <c r="A12355" t="s">
        <v>13380</v>
      </c>
      <c r="B12355" t="s">
        <v>1783</v>
      </c>
      <c r="C12355" t="s">
        <v>1784</v>
      </c>
      <c r="D12355" t="str">
        <f>HYPERLINK("http://service.sap.com/sap/support/notes/1791509","1791509")</f>
        <v>1791509</v>
      </c>
      <c r="E12355">
        <v>1</v>
      </c>
      <c r="F12355" t="s">
        <v>9689</v>
      </c>
    </row>
    <row r="12356" spans="1:6" x14ac:dyDescent="0.25">
      <c r="A12356" t="s">
        <v>13380</v>
      </c>
      <c r="B12356" t="s">
        <v>1789</v>
      </c>
      <c r="C12356" t="s">
        <v>1790</v>
      </c>
      <c r="D12356" t="str">
        <f>HYPERLINK("http://service.sap.com/sap/support/notes/1822492","1822492")</f>
        <v>1822492</v>
      </c>
      <c r="E12356">
        <v>2</v>
      </c>
      <c r="F12356" t="s">
        <v>9690</v>
      </c>
    </row>
    <row r="12357" spans="1:6" x14ac:dyDescent="0.25">
      <c r="A12357" t="s">
        <v>13380</v>
      </c>
      <c r="B12357" t="s">
        <v>1789</v>
      </c>
      <c r="C12357" t="s">
        <v>1790</v>
      </c>
      <c r="D12357" t="str">
        <f>HYPERLINK("http://service.sap.com/sap/support/notes/1856111","1856111")</f>
        <v>1856111</v>
      </c>
      <c r="E12357">
        <v>2</v>
      </c>
      <c r="F12357" t="s">
        <v>9691</v>
      </c>
    </row>
    <row r="12358" spans="1:6" x14ac:dyDescent="0.25">
      <c r="A12358" t="s">
        <v>13380</v>
      </c>
      <c r="B12358" t="s">
        <v>1789</v>
      </c>
      <c r="C12358" t="s">
        <v>1790</v>
      </c>
      <c r="D12358" t="str">
        <f>HYPERLINK("http://service.sap.com/sap/support/notes/1862195","1862195")</f>
        <v>1862195</v>
      </c>
      <c r="E12358">
        <v>2</v>
      </c>
      <c r="F12358" t="s">
        <v>9692</v>
      </c>
    </row>
    <row r="12359" spans="1:6" x14ac:dyDescent="0.25">
      <c r="A12359" t="s">
        <v>13380</v>
      </c>
      <c r="B12359" t="s">
        <v>1798</v>
      </c>
      <c r="C12359" t="s">
        <v>1799</v>
      </c>
      <c r="D12359" t="str">
        <f>HYPERLINK("http://service.sap.com/sap/support/notes/1828248","1828248")</f>
        <v>1828248</v>
      </c>
      <c r="E12359">
        <v>2</v>
      </c>
      <c r="F12359" t="s">
        <v>9693</v>
      </c>
    </row>
    <row r="12360" spans="1:6" x14ac:dyDescent="0.25">
      <c r="A12360" t="s">
        <v>13380</v>
      </c>
      <c r="B12360" t="s">
        <v>1798</v>
      </c>
      <c r="C12360" t="s">
        <v>1799</v>
      </c>
      <c r="D12360" t="str">
        <f>HYPERLINK("http://service.sap.com/sap/support/notes/1842390","1842390")</f>
        <v>1842390</v>
      </c>
      <c r="E12360">
        <v>2</v>
      </c>
      <c r="F12360" t="s">
        <v>9694</v>
      </c>
    </row>
    <row r="12361" spans="1:6" x14ac:dyDescent="0.25">
      <c r="A12361" t="s">
        <v>13380</v>
      </c>
      <c r="B12361" t="s">
        <v>1804</v>
      </c>
      <c r="C12361" t="s">
        <v>1805</v>
      </c>
      <c r="D12361" t="str">
        <f>HYPERLINK("http://service.sap.com/sap/support/notes/1818518","1818518")</f>
        <v>1818518</v>
      </c>
      <c r="E12361">
        <v>3</v>
      </c>
      <c r="F12361" t="s">
        <v>9695</v>
      </c>
    </row>
    <row r="12362" spans="1:6" x14ac:dyDescent="0.25">
      <c r="A12362" t="s">
        <v>13380</v>
      </c>
      <c r="B12362" t="s">
        <v>61</v>
      </c>
      <c r="C12362" t="s">
        <v>62</v>
      </c>
    </row>
    <row r="12363" spans="1:6" x14ac:dyDescent="0.25">
      <c r="A12363" t="s">
        <v>13380</v>
      </c>
      <c r="B12363" t="s">
        <v>1807</v>
      </c>
      <c r="C12363" t="s">
        <v>1808</v>
      </c>
      <c r="D12363" t="str">
        <f>HYPERLINK("http://service.sap.com/sap/support/notes/1819940","1819940")</f>
        <v>1819940</v>
      </c>
      <c r="E12363">
        <v>2</v>
      </c>
      <c r="F12363" t="s">
        <v>9696</v>
      </c>
    </row>
    <row r="12364" spans="1:6" x14ac:dyDescent="0.25">
      <c r="A12364" t="s">
        <v>13380</v>
      </c>
      <c r="B12364" t="s">
        <v>1807</v>
      </c>
      <c r="C12364" t="s">
        <v>1808</v>
      </c>
      <c r="D12364" t="str">
        <f>HYPERLINK("http://service.sap.com/sap/support/notes/1823731","1823731")</f>
        <v>1823731</v>
      </c>
      <c r="E12364">
        <v>3</v>
      </c>
      <c r="F12364" t="s">
        <v>9697</v>
      </c>
    </row>
    <row r="12365" spans="1:6" x14ac:dyDescent="0.25">
      <c r="A12365" t="s">
        <v>13380</v>
      </c>
      <c r="B12365" t="s">
        <v>1807</v>
      </c>
      <c r="C12365" t="s">
        <v>1808</v>
      </c>
      <c r="D12365" t="str">
        <f>HYPERLINK("http://service.sap.com/sap/support/notes/1837986","1837986")</f>
        <v>1837986</v>
      </c>
      <c r="E12365">
        <v>2</v>
      </c>
      <c r="F12365" t="s">
        <v>9704</v>
      </c>
    </row>
    <row r="12366" spans="1:6" x14ac:dyDescent="0.25">
      <c r="A12366" t="s">
        <v>13380</v>
      </c>
      <c r="B12366" t="s">
        <v>1807</v>
      </c>
      <c r="C12366" t="s">
        <v>1808</v>
      </c>
      <c r="D12366" t="str">
        <f>HYPERLINK("http://service.sap.com/sap/support/notes/1838598","1838598")</f>
        <v>1838598</v>
      </c>
      <c r="E12366">
        <v>2</v>
      </c>
      <c r="F12366" t="s">
        <v>9705</v>
      </c>
    </row>
    <row r="12367" spans="1:6" x14ac:dyDescent="0.25">
      <c r="A12367" t="s">
        <v>13380</v>
      </c>
      <c r="B12367" t="s">
        <v>1807</v>
      </c>
      <c r="C12367" t="s">
        <v>1808</v>
      </c>
      <c r="D12367" t="str">
        <f>HYPERLINK("http://service.sap.com/sap/support/notes/1839840","1839840")</f>
        <v>1839840</v>
      </c>
      <c r="E12367">
        <v>3</v>
      </c>
      <c r="F12367" t="s">
        <v>9706</v>
      </c>
    </row>
    <row r="12368" spans="1:6" x14ac:dyDescent="0.25">
      <c r="A12368" t="s">
        <v>13380</v>
      </c>
      <c r="B12368" t="s">
        <v>1807</v>
      </c>
      <c r="C12368" t="s">
        <v>1808</v>
      </c>
      <c r="D12368" t="str">
        <f>HYPERLINK("http://service.sap.com/sap/support/notes/1840068","1840068")</f>
        <v>1840068</v>
      </c>
      <c r="E12368">
        <v>2</v>
      </c>
      <c r="F12368" t="s">
        <v>9707</v>
      </c>
    </row>
    <row r="12369" spans="1:6" x14ac:dyDescent="0.25">
      <c r="A12369" t="s">
        <v>13380</v>
      </c>
      <c r="B12369" t="s">
        <v>1807</v>
      </c>
      <c r="C12369" t="s">
        <v>1808</v>
      </c>
      <c r="D12369" t="str">
        <f>HYPERLINK("http://service.sap.com/sap/support/notes/1840151","1840151")</f>
        <v>1840151</v>
      </c>
      <c r="E12369">
        <v>2</v>
      </c>
      <c r="F12369" t="s">
        <v>9708</v>
      </c>
    </row>
    <row r="12370" spans="1:6" x14ac:dyDescent="0.25">
      <c r="A12370" t="s">
        <v>13380</v>
      </c>
      <c r="B12370" t="s">
        <v>1807</v>
      </c>
      <c r="C12370" t="s">
        <v>1808</v>
      </c>
      <c r="D12370" t="str">
        <f>HYPERLINK("http://service.sap.com/sap/support/notes/1841140","1841140")</f>
        <v>1841140</v>
      </c>
      <c r="E12370">
        <v>2</v>
      </c>
      <c r="F12370" t="s">
        <v>9709</v>
      </c>
    </row>
    <row r="12371" spans="1:6" x14ac:dyDescent="0.25">
      <c r="A12371" t="s">
        <v>13380</v>
      </c>
      <c r="B12371" t="s">
        <v>1807</v>
      </c>
      <c r="C12371" t="s">
        <v>1808</v>
      </c>
      <c r="D12371" t="str">
        <f>HYPERLINK("http://service.sap.com/sap/support/notes/1841688","1841688")</f>
        <v>1841688</v>
      </c>
      <c r="E12371">
        <v>2</v>
      </c>
      <c r="F12371" t="s">
        <v>9710</v>
      </c>
    </row>
    <row r="12372" spans="1:6" x14ac:dyDescent="0.25">
      <c r="A12372" t="s">
        <v>13380</v>
      </c>
      <c r="B12372" t="s">
        <v>1807</v>
      </c>
      <c r="C12372" t="s">
        <v>1808</v>
      </c>
      <c r="D12372" t="str">
        <f>HYPERLINK("http://service.sap.com/sap/support/notes/1842306","1842306")</f>
        <v>1842306</v>
      </c>
      <c r="E12372">
        <v>2</v>
      </c>
      <c r="F12372" t="s">
        <v>9711</v>
      </c>
    </row>
    <row r="12373" spans="1:6" x14ac:dyDescent="0.25">
      <c r="A12373" t="s">
        <v>13380</v>
      </c>
      <c r="B12373" t="s">
        <v>1807</v>
      </c>
      <c r="C12373" t="s">
        <v>1808</v>
      </c>
      <c r="D12373" t="str">
        <f>HYPERLINK("http://service.sap.com/sap/support/notes/1842680","1842680")</f>
        <v>1842680</v>
      </c>
      <c r="E12373">
        <v>3</v>
      </c>
      <c r="F12373" t="s">
        <v>9712</v>
      </c>
    </row>
    <row r="12374" spans="1:6" x14ac:dyDescent="0.25">
      <c r="A12374" t="s">
        <v>13380</v>
      </c>
      <c r="B12374" t="s">
        <v>1807</v>
      </c>
      <c r="C12374" t="s">
        <v>1808</v>
      </c>
      <c r="D12374" t="str">
        <f>HYPERLINK("http://service.sap.com/sap/support/notes/1844266","1844266")</f>
        <v>1844266</v>
      </c>
      <c r="E12374">
        <v>2</v>
      </c>
      <c r="F12374" t="s">
        <v>9713</v>
      </c>
    </row>
    <row r="12375" spans="1:6" x14ac:dyDescent="0.25">
      <c r="A12375" t="s">
        <v>13380</v>
      </c>
      <c r="B12375" t="s">
        <v>1807</v>
      </c>
      <c r="C12375" t="s">
        <v>1808</v>
      </c>
      <c r="D12375" t="str">
        <f>HYPERLINK("http://service.sap.com/sap/support/notes/1845205","1845205")</f>
        <v>1845205</v>
      </c>
      <c r="E12375">
        <v>2</v>
      </c>
      <c r="F12375" t="s">
        <v>9714</v>
      </c>
    </row>
    <row r="12376" spans="1:6" x14ac:dyDescent="0.25">
      <c r="A12376" t="s">
        <v>13380</v>
      </c>
      <c r="B12376" t="s">
        <v>1807</v>
      </c>
      <c r="C12376" t="s">
        <v>1808</v>
      </c>
      <c r="D12376" t="str">
        <f>HYPERLINK("http://service.sap.com/sap/support/notes/1845605","1845605")</f>
        <v>1845605</v>
      </c>
      <c r="E12376">
        <v>3</v>
      </c>
      <c r="F12376" t="s">
        <v>9715</v>
      </c>
    </row>
    <row r="12377" spans="1:6" x14ac:dyDescent="0.25">
      <c r="A12377" t="s">
        <v>13380</v>
      </c>
      <c r="B12377" t="s">
        <v>1807</v>
      </c>
      <c r="C12377" t="s">
        <v>1808</v>
      </c>
      <c r="D12377" t="str">
        <f>HYPERLINK("http://service.sap.com/sap/support/notes/1849917","1849917")</f>
        <v>1849917</v>
      </c>
      <c r="E12377">
        <v>2</v>
      </c>
      <c r="F12377" t="s">
        <v>9716</v>
      </c>
    </row>
    <row r="12378" spans="1:6" x14ac:dyDescent="0.25">
      <c r="A12378" t="s">
        <v>13380</v>
      </c>
      <c r="B12378" t="s">
        <v>1807</v>
      </c>
      <c r="C12378" t="s">
        <v>1808</v>
      </c>
      <c r="D12378" t="str">
        <f>HYPERLINK("http://service.sap.com/sap/support/notes/1850664","1850664")</f>
        <v>1850664</v>
      </c>
      <c r="E12378">
        <v>1</v>
      </c>
      <c r="F12378" t="s">
        <v>9717</v>
      </c>
    </row>
    <row r="12379" spans="1:6" x14ac:dyDescent="0.25">
      <c r="A12379" t="s">
        <v>13380</v>
      </c>
      <c r="B12379" t="s">
        <v>1807</v>
      </c>
      <c r="C12379" t="s">
        <v>1808</v>
      </c>
      <c r="D12379" t="str">
        <f>HYPERLINK("http://service.sap.com/sap/support/notes/1851993","1851993")</f>
        <v>1851993</v>
      </c>
      <c r="E12379">
        <v>1</v>
      </c>
      <c r="F12379" t="s">
        <v>9718</v>
      </c>
    </row>
    <row r="12380" spans="1:6" x14ac:dyDescent="0.25">
      <c r="A12380" t="s">
        <v>13380</v>
      </c>
      <c r="B12380" t="s">
        <v>1807</v>
      </c>
      <c r="C12380" t="s">
        <v>1808</v>
      </c>
      <c r="D12380" t="str">
        <f>HYPERLINK("http://service.sap.com/sap/support/notes/1853176","1853176")</f>
        <v>1853176</v>
      </c>
      <c r="E12380">
        <v>2</v>
      </c>
      <c r="F12380" t="s">
        <v>9719</v>
      </c>
    </row>
    <row r="12381" spans="1:6" x14ac:dyDescent="0.25">
      <c r="A12381" t="s">
        <v>13380</v>
      </c>
      <c r="B12381" t="s">
        <v>1807</v>
      </c>
      <c r="C12381" t="s">
        <v>1808</v>
      </c>
      <c r="D12381" t="str">
        <f>HYPERLINK("http://service.sap.com/sap/support/notes/1855860","1855860")</f>
        <v>1855860</v>
      </c>
      <c r="E12381">
        <v>1</v>
      </c>
      <c r="F12381" t="s">
        <v>9720</v>
      </c>
    </row>
    <row r="12382" spans="1:6" x14ac:dyDescent="0.25">
      <c r="A12382" t="s">
        <v>13380</v>
      </c>
      <c r="B12382" t="s">
        <v>1807</v>
      </c>
      <c r="C12382" t="s">
        <v>1808</v>
      </c>
      <c r="D12382" t="str">
        <f>HYPERLINK("http://service.sap.com/sap/support/notes/1858780","1858780")</f>
        <v>1858780</v>
      </c>
      <c r="E12382">
        <v>1</v>
      </c>
      <c r="F12382" t="s">
        <v>9721</v>
      </c>
    </row>
    <row r="12383" spans="1:6" x14ac:dyDescent="0.25">
      <c r="A12383" t="s">
        <v>13380</v>
      </c>
      <c r="B12383" t="s">
        <v>1807</v>
      </c>
      <c r="C12383" t="s">
        <v>1808</v>
      </c>
      <c r="D12383" t="str">
        <f>HYPERLINK("http://service.sap.com/sap/support/notes/1860404","1860404")</f>
        <v>1860404</v>
      </c>
      <c r="E12383">
        <v>3</v>
      </c>
      <c r="F12383" t="s">
        <v>9722</v>
      </c>
    </row>
    <row r="12384" spans="1:6" x14ac:dyDescent="0.25">
      <c r="A12384" t="s">
        <v>13380</v>
      </c>
      <c r="B12384" t="s">
        <v>1807</v>
      </c>
      <c r="C12384" t="s">
        <v>1808</v>
      </c>
      <c r="D12384" t="str">
        <f>HYPERLINK("http://service.sap.com/sap/support/notes/1862623","1862623")</f>
        <v>1862623</v>
      </c>
      <c r="E12384">
        <v>1</v>
      </c>
      <c r="F12384" t="s">
        <v>13209</v>
      </c>
    </row>
    <row r="12385" spans="1:6" x14ac:dyDescent="0.25">
      <c r="A12385" t="s">
        <v>13380</v>
      </c>
      <c r="B12385" t="s">
        <v>1807</v>
      </c>
      <c r="C12385" t="s">
        <v>1808</v>
      </c>
      <c r="D12385" t="str">
        <f>HYPERLINK("http://service.sap.com/sap/support/notes/1862641","1862641")</f>
        <v>1862641</v>
      </c>
      <c r="E12385">
        <v>2</v>
      </c>
      <c r="F12385" t="s">
        <v>9723</v>
      </c>
    </row>
    <row r="12386" spans="1:6" x14ac:dyDescent="0.25">
      <c r="A12386" t="s">
        <v>13380</v>
      </c>
      <c r="B12386" t="s">
        <v>1807</v>
      </c>
      <c r="C12386" t="s">
        <v>1808</v>
      </c>
      <c r="D12386" t="str">
        <f>HYPERLINK("http://service.sap.com/sap/support/notes/1863046","1863046")</f>
        <v>1863046</v>
      </c>
      <c r="E12386">
        <v>1</v>
      </c>
      <c r="F12386" t="s">
        <v>9724</v>
      </c>
    </row>
    <row r="12387" spans="1:6" x14ac:dyDescent="0.25">
      <c r="A12387" t="s">
        <v>13380</v>
      </c>
      <c r="B12387" t="s">
        <v>1807</v>
      </c>
      <c r="C12387" t="s">
        <v>1808</v>
      </c>
      <c r="D12387" t="str">
        <f>HYPERLINK("http://service.sap.com/sap/support/notes/1864114","1864114")</f>
        <v>1864114</v>
      </c>
      <c r="E12387">
        <v>1</v>
      </c>
      <c r="F12387" t="s">
        <v>9725</v>
      </c>
    </row>
    <row r="12388" spans="1:6" x14ac:dyDescent="0.25">
      <c r="A12388" t="s">
        <v>13380</v>
      </c>
      <c r="B12388" t="s">
        <v>1807</v>
      </c>
      <c r="C12388" t="s">
        <v>1808</v>
      </c>
      <c r="D12388" t="str">
        <f>HYPERLINK("http://service.sap.com/sap/support/notes/1865768","1865768")</f>
        <v>1865768</v>
      </c>
      <c r="E12388">
        <v>1</v>
      </c>
      <c r="F12388" t="s">
        <v>9726</v>
      </c>
    </row>
    <row r="12389" spans="1:6" x14ac:dyDescent="0.25">
      <c r="A12389" t="s">
        <v>13380</v>
      </c>
      <c r="B12389" t="s">
        <v>9727</v>
      </c>
      <c r="C12389" t="s">
        <v>9728</v>
      </c>
      <c r="D12389" t="str">
        <f>HYPERLINK("http://service.sap.com/sap/support/notes/1855455","1855455")</f>
        <v>1855455</v>
      </c>
      <c r="E12389">
        <v>1</v>
      </c>
      <c r="F12389" t="s">
        <v>9729</v>
      </c>
    </row>
    <row r="12390" spans="1:6" x14ac:dyDescent="0.25">
      <c r="A12390" t="s">
        <v>13380</v>
      </c>
      <c r="B12390" t="s">
        <v>1844</v>
      </c>
      <c r="C12390" t="s">
        <v>1845</v>
      </c>
      <c r="D12390" t="str">
        <f>HYPERLINK("http://service.sap.com/sap/support/notes/1840996","1840996")</f>
        <v>1840996</v>
      </c>
      <c r="E12390">
        <v>2</v>
      </c>
      <c r="F12390" t="s">
        <v>9732</v>
      </c>
    </row>
    <row r="12391" spans="1:6" x14ac:dyDescent="0.25">
      <c r="A12391" t="s">
        <v>13380</v>
      </c>
      <c r="B12391" t="s">
        <v>1856</v>
      </c>
      <c r="C12391" t="s">
        <v>1857</v>
      </c>
      <c r="D12391" t="str">
        <f>HYPERLINK("http://service.sap.com/sap/support/notes/939731","939731")</f>
        <v>939731</v>
      </c>
      <c r="E12391">
        <v>3</v>
      </c>
      <c r="F12391" t="s">
        <v>9733</v>
      </c>
    </row>
    <row r="12392" spans="1:6" x14ac:dyDescent="0.25">
      <c r="A12392" t="s">
        <v>13380</v>
      </c>
      <c r="B12392" t="s">
        <v>1860</v>
      </c>
      <c r="C12392" t="s">
        <v>1861</v>
      </c>
      <c r="D12392" t="str">
        <f>HYPERLINK("http://service.sap.com/sap/support/notes/1780677","1780677")</f>
        <v>1780677</v>
      </c>
      <c r="E12392">
        <v>4</v>
      </c>
      <c r="F12392" t="s">
        <v>9734</v>
      </c>
    </row>
    <row r="12393" spans="1:6" x14ac:dyDescent="0.25">
      <c r="A12393" t="s">
        <v>13380</v>
      </c>
      <c r="B12393" t="s">
        <v>1860</v>
      </c>
      <c r="C12393" t="s">
        <v>1861</v>
      </c>
      <c r="D12393" t="str">
        <f>HYPERLINK("http://service.sap.com/sap/support/notes/1821801","1821801")</f>
        <v>1821801</v>
      </c>
      <c r="E12393">
        <v>4</v>
      </c>
      <c r="F12393" t="s">
        <v>9736</v>
      </c>
    </row>
    <row r="12394" spans="1:6" x14ac:dyDescent="0.25">
      <c r="A12394" t="s">
        <v>13380</v>
      </c>
      <c r="B12394" t="s">
        <v>1860</v>
      </c>
      <c r="C12394" t="s">
        <v>1861</v>
      </c>
      <c r="D12394" t="str">
        <f>HYPERLINK("http://service.sap.com/sap/support/notes/1837582","1837582")</f>
        <v>1837582</v>
      </c>
      <c r="E12394">
        <v>3</v>
      </c>
      <c r="F12394" t="s">
        <v>9739</v>
      </c>
    </row>
    <row r="12395" spans="1:6" x14ac:dyDescent="0.25">
      <c r="A12395" t="s">
        <v>13380</v>
      </c>
      <c r="B12395" t="s">
        <v>1860</v>
      </c>
      <c r="C12395" t="s">
        <v>1861</v>
      </c>
      <c r="D12395" t="str">
        <f>HYPERLINK("http://service.sap.com/sap/support/notes/1842338","1842338")</f>
        <v>1842338</v>
      </c>
      <c r="E12395">
        <v>1</v>
      </c>
      <c r="F12395" t="s">
        <v>9740</v>
      </c>
    </row>
    <row r="12396" spans="1:6" x14ac:dyDescent="0.25">
      <c r="A12396" t="s">
        <v>13380</v>
      </c>
      <c r="B12396" t="s">
        <v>1860</v>
      </c>
      <c r="C12396" t="s">
        <v>1861</v>
      </c>
      <c r="D12396" t="str">
        <f>HYPERLINK("http://service.sap.com/sap/support/notes/1849808","1849808")</f>
        <v>1849808</v>
      </c>
      <c r="E12396">
        <v>1</v>
      </c>
      <c r="F12396" t="s">
        <v>9741</v>
      </c>
    </row>
    <row r="12397" spans="1:6" x14ac:dyDescent="0.25">
      <c r="A12397" t="s">
        <v>13380</v>
      </c>
      <c r="B12397" t="s">
        <v>1860</v>
      </c>
      <c r="C12397" t="s">
        <v>1861</v>
      </c>
      <c r="D12397" t="str">
        <f>HYPERLINK("http://service.sap.com/sap/support/notes/1858863","1858863")</f>
        <v>1858863</v>
      </c>
      <c r="E12397">
        <v>4</v>
      </c>
      <c r="F12397" t="s">
        <v>9808</v>
      </c>
    </row>
    <row r="12398" spans="1:6" x14ac:dyDescent="0.25">
      <c r="A12398" t="s">
        <v>13380</v>
      </c>
      <c r="B12398" t="s">
        <v>1870</v>
      </c>
      <c r="C12398" t="s">
        <v>1871</v>
      </c>
      <c r="D12398" t="str">
        <f>HYPERLINK("http://service.sap.com/sap/support/notes/1840583","1840583")</f>
        <v>1840583</v>
      </c>
      <c r="E12398">
        <v>1</v>
      </c>
      <c r="F12398" t="s">
        <v>9742</v>
      </c>
    </row>
    <row r="12399" spans="1:6" x14ac:dyDescent="0.25">
      <c r="A12399" t="s">
        <v>13380</v>
      </c>
      <c r="B12399" t="s">
        <v>1870</v>
      </c>
      <c r="C12399" t="s">
        <v>1871</v>
      </c>
      <c r="D12399" t="str">
        <f>HYPERLINK("http://service.sap.com/sap/support/notes/1849548","1849548")</f>
        <v>1849548</v>
      </c>
      <c r="E12399">
        <v>1</v>
      </c>
      <c r="F12399" t="s">
        <v>9743</v>
      </c>
    </row>
    <row r="12400" spans="1:6" x14ac:dyDescent="0.25">
      <c r="A12400" t="s">
        <v>13380</v>
      </c>
      <c r="B12400" t="s">
        <v>1877</v>
      </c>
      <c r="C12400" t="s">
        <v>1878</v>
      </c>
      <c r="D12400" t="str">
        <f>HYPERLINK("http://service.sap.com/sap/support/notes/1832725","1832725")</f>
        <v>1832725</v>
      </c>
      <c r="E12400">
        <v>2</v>
      </c>
    </row>
    <row r="12401" spans="1:6" x14ac:dyDescent="0.25">
      <c r="A12401" t="s">
        <v>13380</v>
      </c>
      <c r="B12401" t="s">
        <v>1877</v>
      </c>
      <c r="C12401" t="s">
        <v>1878</v>
      </c>
      <c r="D12401" t="str">
        <f>HYPERLINK("http://service.sap.com/sap/support/notes/1833322","1833322")</f>
        <v>1833322</v>
      </c>
      <c r="E12401">
        <v>2</v>
      </c>
    </row>
    <row r="12402" spans="1:6" x14ac:dyDescent="0.25">
      <c r="A12402" t="s">
        <v>13380</v>
      </c>
      <c r="B12402" t="s">
        <v>1877</v>
      </c>
      <c r="C12402" t="s">
        <v>1878</v>
      </c>
      <c r="D12402" t="str">
        <f>HYPERLINK("http://service.sap.com/sap/support/notes/1839998","1839998")</f>
        <v>1839998</v>
      </c>
      <c r="E12402">
        <v>1</v>
      </c>
    </row>
    <row r="12403" spans="1:6" x14ac:dyDescent="0.25">
      <c r="A12403" t="s">
        <v>13380</v>
      </c>
      <c r="B12403" t="s">
        <v>1877</v>
      </c>
      <c r="C12403" t="s">
        <v>1878</v>
      </c>
      <c r="D12403" t="str">
        <f>HYPERLINK("http://service.sap.com/sap/support/notes/1844680","1844680")</f>
        <v>1844680</v>
      </c>
      <c r="E12403">
        <v>1</v>
      </c>
    </row>
    <row r="12404" spans="1:6" x14ac:dyDescent="0.25">
      <c r="A12404" t="s">
        <v>13380</v>
      </c>
      <c r="B12404" t="s">
        <v>1877</v>
      </c>
      <c r="C12404" t="s">
        <v>1878</v>
      </c>
      <c r="D12404" t="str">
        <f>HYPERLINK("http://service.sap.com/sap/support/notes/1849449","1849449")</f>
        <v>1849449</v>
      </c>
      <c r="E12404">
        <v>1</v>
      </c>
    </row>
    <row r="12405" spans="1:6" x14ac:dyDescent="0.25">
      <c r="A12405" t="s">
        <v>13380</v>
      </c>
      <c r="B12405" t="s">
        <v>1877</v>
      </c>
      <c r="C12405" t="s">
        <v>1878</v>
      </c>
      <c r="D12405" t="str">
        <f>HYPERLINK("http://service.sap.com/sap/support/notes/1850951","1850951")</f>
        <v>1850951</v>
      </c>
      <c r="E12405">
        <v>1</v>
      </c>
    </row>
    <row r="12406" spans="1:6" x14ac:dyDescent="0.25">
      <c r="A12406" t="s">
        <v>13380</v>
      </c>
      <c r="B12406" t="s">
        <v>1882</v>
      </c>
      <c r="C12406" t="s">
        <v>1883</v>
      </c>
    </row>
    <row r="12407" spans="1:6" x14ac:dyDescent="0.25">
      <c r="A12407" t="s">
        <v>13380</v>
      </c>
      <c r="B12407" t="s">
        <v>1887</v>
      </c>
      <c r="C12407" t="s">
        <v>1888</v>
      </c>
      <c r="D12407" t="str">
        <f>HYPERLINK("http://service.sap.com/sap/support/notes/1816719","1816719")</f>
        <v>1816719</v>
      </c>
      <c r="E12407">
        <v>4</v>
      </c>
      <c r="F12407" t="s">
        <v>9744</v>
      </c>
    </row>
    <row r="12408" spans="1:6" x14ac:dyDescent="0.25">
      <c r="A12408" t="s">
        <v>13380</v>
      </c>
      <c r="B12408" t="s">
        <v>1890</v>
      </c>
      <c r="C12408" t="s">
        <v>1712</v>
      </c>
      <c r="D12408" t="str">
        <f>HYPERLINK("http://service.sap.com/sap/support/notes/1829573","1829573")</f>
        <v>1829573</v>
      </c>
      <c r="E12408">
        <v>12</v>
      </c>
      <c r="F12408" t="s">
        <v>9745</v>
      </c>
    </row>
    <row r="12409" spans="1:6" x14ac:dyDescent="0.25">
      <c r="A12409" t="s">
        <v>13380</v>
      </c>
      <c r="B12409" t="s">
        <v>1890</v>
      </c>
      <c r="C12409" t="s">
        <v>1712</v>
      </c>
      <c r="D12409" t="str">
        <f>HYPERLINK("http://service.sap.com/sap/support/notes/1846639","1846639")</f>
        <v>1846639</v>
      </c>
      <c r="E12409">
        <v>3</v>
      </c>
      <c r="F12409" t="s">
        <v>13210</v>
      </c>
    </row>
    <row r="12410" spans="1:6" x14ac:dyDescent="0.25">
      <c r="A12410" t="s">
        <v>13380</v>
      </c>
      <c r="B12410" t="s">
        <v>1894</v>
      </c>
      <c r="C12410" t="s">
        <v>151</v>
      </c>
      <c r="D12410" t="str">
        <f>HYPERLINK("http://service.sap.com/sap/support/notes/1858882","1858882")</f>
        <v>1858882</v>
      </c>
      <c r="E12410">
        <v>1</v>
      </c>
      <c r="F12410" t="s">
        <v>13211</v>
      </c>
    </row>
    <row r="12411" spans="1:6" x14ac:dyDescent="0.25">
      <c r="A12411" t="s">
        <v>13380</v>
      </c>
      <c r="B12411" t="s">
        <v>1897</v>
      </c>
      <c r="C12411" t="s">
        <v>1898</v>
      </c>
      <c r="D12411" t="str">
        <f>HYPERLINK("http://service.sap.com/sap/support/notes/1772392","1772392")</f>
        <v>1772392</v>
      </c>
      <c r="E12411">
        <v>5</v>
      </c>
      <c r="F12411" t="s">
        <v>9746</v>
      </c>
    </row>
    <row r="12412" spans="1:6" x14ac:dyDescent="0.25">
      <c r="A12412" t="s">
        <v>13380</v>
      </c>
      <c r="B12412" t="s">
        <v>1897</v>
      </c>
      <c r="C12412" t="s">
        <v>1898</v>
      </c>
      <c r="D12412" t="str">
        <f>HYPERLINK("http://service.sap.com/sap/support/notes/1825026","1825026")</f>
        <v>1825026</v>
      </c>
      <c r="E12412">
        <v>5</v>
      </c>
      <c r="F12412" t="s">
        <v>9747</v>
      </c>
    </row>
    <row r="12413" spans="1:6" x14ac:dyDescent="0.25">
      <c r="A12413" t="s">
        <v>13380</v>
      </c>
      <c r="B12413" t="s">
        <v>1900</v>
      </c>
      <c r="C12413" t="s">
        <v>1901</v>
      </c>
      <c r="D12413" t="str">
        <f>HYPERLINK("http://service.sap.com/sap/support/notes/1794272","1794272")</f>
        <v>1794272</v>
      </c>
      <c r="E12413">
        <v>6</v>
      </c>
      <c r="F12413" t="s">
        <v>9748</v>
      </c>
    </row>
    <row r="12414" spans="1:6" x14ac:dyDescent="0.25">
      <c r="A12414" t="s">
        <v>13380</v>
      </c>
      <c r="B12414" t="s">
        <v>1900</v>
      </c>
      <c r="C12414" t="s">
        <v>1901</v>
      </c>
      <c r="D12414" t="str">
        <f>HYPERLINK("http://service.sap.com/sap/support/notes/1835318","1835318")</f>
        <v>1835318</v>
      </c>
      <c r="E12414">
        <v>5</v>
      </c>
      <c r="F12414" t="s">
        <v>9749</v>
      </c>
    </row>
    <row r="12415" spans="1:6" x14ac:dyDescent="0.25">
      <c r="A12415" t="s">
        <v>13380</v>
      </c>
      <c r="B12415" t="s">
        <v>1900</v>
      </c>
      <c r="C12415" t="s">
        <v>1901</v>
      </c>
      <c r="D12415" t="str">
        <f>HYPERLINK("http://service.sap.com/sap/support/notes/1837733","1837733")</f>
        <v>1837733</v>
      </c>
      <c r="E12415">
        <v>2</v>
      </c>
      <c r="F12415" t="s">
        <v>9750</v>
      </c>
    </row>
    <row r="12416" spans="1:6" x14ac:dyDescent="0.25">
      <c r="A12416" t="s">
        <v>13380</v>
      </c>
      <c r="B12416" t="s">
        <v>1900</v>
      </c>
      <c r="C12416" t="s">
        <v>1901</v>
      </c>
      <c r="D12416" t="str">
        <f>HYPERLINK("http://service.sap.com/sap/support/notes/1842801","1842801")</f>
        <v>1842801</v>
      </c>
      <c r="E12416">
        <v>1</v>
      </c>
      <c r="F12416" t="s">
        <v>9751</v>
      </c>
    </row>
    <row r="12417" spans="1:6" x14ac:dyDescent="0.25">
      <c r="A12417" t="s">
        <v>13380</v>
      </c>
      <c r="B12417" t="s">
        <v>1900</v>
      </c>
      <c r="C12417" t="s">
        <v>1901</v>
      </c>
      <c r="D12417" t="str">
        <f>HYPERLINK("http://service.sap.com/sap/support/notes/1847298","1847298")</f>
        <v>1847298</v>
      </c>
      <c r="E12417">
        <v>2</v>
      </c>
      <c r="F12417" t="s">
        <v>9752</v>
      </c>
    </row>
    <row r="12418" spans="1:6" x14ac:dyDescent="0.25">
      <c r="A12418" t="s">
        <v>13380</v>
      </c>
      <c r="B12418" t="s">
        <v>1900</v>
      </c>
      <c r="C12418" t="s">
        <v>1901</v>
      </c>
      <c r="D12418" t="str">
        <f>HYPERLINK("http://service.sap.com/sap/support/notes/1849884","1849884")</f>
        <v>1849884</v>
      </c>
      <c r="E12418">
        <v>1</v>
      </c>
      <c r="F12418" t="s">
        <v>9753</v>
      </c>
    </row>
    <row r="12419" spans="1:6" x14ac:dyDescent="0.25">
      <c r="A12419" t="s">
        <v>13380</v>
      </c>
      <c r="B12419" t="s">
        <v>7544</v>
      </c>
      <c r="C12419" t="s">
        <v>7545</v>
      </c>
      <c r="D12419" t="str">
        <f>HYPERLINK("http://service.sap.com/sap/support/notes/1782823","1782823")</f>
        <v>1782823</v>
      </c>
      <c r="E12419">
        <v>5</v>
      </c>
      <c r="F12419" t="s">
        <v>9754</v>
      </c>
    </row>
    <row r="12420" spans="1:6" x14ac:dyDescent="0.25">
      <c r="A12420" t="s">
        <v>13380</v>
      </c>
      <c r="B12420" t="s">
        <v>7544</v>
      </c>
      <c r="C12420" t="s">
        <v>7545</v>
      </c>
      <c r="D12420" t="str">
        <f>HYPERLINK("http://service.sap.com/sap/support/notes/1836764","1836764")</f>
        <v>1836764</v>
      </c>
      <c r="E12420">
        <v>4</v>
      </c>
      <c r="F12420" t="s">
        <v>9756</v>
      </c>
    </row>
    <row r="12421" spans="1:6" x14ac:dyDescent="0.25">
      <c r="A12421" t="s">
        <v>13380</v>
      </c>
      <c r="B12421" t="s">
        <v>7544</v>
      </c>
      <c r="C12421" t="s">
        <v>7545</v>
      </c>
      <c r="D12421" t="str">
        <f>HYPERLINK("http://service.sap.com/sap/support/notes/1841473","1841473")</f>
        <v>1841473</v>
      </c>
      <c r="E12421">
        <v>2</v>
      </c>
      <c r="F12421" t="s">
        <v>9757</v>
      </c>
    </row>
    <row r="12422" spans="1:6" x14ac:dyDescent="0.25">
      <c r="A12422" t="s">
        <v>13380</v>
      </c>
      <c r="B12422" t="s">
        <v>13212</v>
      </c>
      <c r="C12422" t="s">
        <v>7892</v>
      </c>
      <c r="D12422" t="str">
        <f>HYPERLINK("http://service.sap.com/sap/support/notes/1860942","1860942")</f>
        <v>1860942</v>
      </c>
      <c r="E12422">
        <v>2</v>
      </c>
      <c r="F12422" t="s">
        <v>13213</v>
      </c>
    </row>
    <row r="12423" spans="1:6" x14ac:dyDescent="0.25">
      <c r="A12423" t="s">
        <v>13380</v>
      </c>
      <c r="B12423" t="s">
        <v>13214</v>
      </c>
      <c r="C12423" t="s">
        <v>13215</v>
      </c>
      <c r="D12423" t="str">
        <f>HYPERLINK("http://service.sap.com/sap/support/notes/1842619","1842619")</f>
        <v>1842619</v>
      </c>
      <c r="E12423">
        <v>2</v>
      </c>
      <c r="F12423" t="s">
        <v>13216</v>
      </c>
    </row>
    <row r="12424" spans="1:6" x14ac:dyDescent="0.25">
      <c r="A12424" t="s">
        <v>13380</v>
      </c>
      <c r="B12424" t="s">
        <v>9759</v>
      </c>
      <c r="C12424" t="s">
        <v>9760</v>
      </c>
      <c r="D12424" t="str">
        <f>HYPERLINK("http://service.sap.com/sap/support/notes/1817562","1817562")</f>
        <v>1817562</v>
      </c>
      <c r="E12424">
        <v>3</v>
      </c>
      <c r="F12424" t="s">
        <v>9761</v>
      </c>
    </row>
    <row r="12425" spans="1:6" x14ac:dyDescent="0.25">
      <c r="A12425" t="s">
        <v>13380</v>
      </c>
      <c r="B12425" t="s">
        <v>5198</v>
      </c>
      <c r="C12425" t="s">
        <v>5199</v>
      </c>
      <c r="D12425" t="str">
        <f>HYPERLINK("http://service.sap.com/sap/support/notes/1834239","1834239")</f>
        <v>1834239</v>
      </c>
      <c r="E12425">
        <v>2</v>
      </c>
      <c r="F12425" t="s">
        <v>9762</v>
      </c>
    </row>
    <row r="12426" spans="1:6" x14ac:dyDescent="0.25">
      <c r="A12426" t="s">
        <v>13380</v>
      </c>
      <c r="B12426" t="s">
        <v>5198</v>
      </c>
      <c r="C12426" t="s">
        <v>5199</v>
      </c>
      <c r="D12426" t="str">
        <f>HYPERLINK("http://service.sap.com/sap/support/notes/1838381","1838381")</f>
        <v>1838381</v>
      </c>
      <c r="E12426">
        <v>2</v>
      </c>
      <c r="F12426" t="s">
        <v>9763</v>
      </c>
    </row>
    <row r="12427" spans="1:6" x14ac:dyDescent="0.25">
      <c r="A12427" t="s">
        <v>13380</v>
      </c>
      <c r="B12427" t="s">
        <v>5198</v>
      </c>
      <c r="C12427" t="s">
        <v>5199</v>
      </c>
      <c r="D12427" t="str">
        <f>HYPERLINK("http://service.sap.com/sap/support/notes/1858913","1858913")</f>
        <v>1858913</v>
      </c>
      <c r="E12427">
        <v>1</v>
      </c>
      <c r="F12427" t="s">
        <v>13217</v>
      </c>
    </row>
    <row r="12428" spans="1:6" x14ac:dyDescent="0.25">
      <c r="A12428" t="s">
        <v>13380</v>
      </c>
      <c r="B12428" t="s">
        <v>5198</v>
      </c>
      <c r="C12428" t="s">
        <v>5199</v>
      </c>
      <c r="D12428" t="str">
        <f>HYPERLINK("http://service.sap.com/sap/support/notes/1860997","1860997")</f>
        <v>1860997</v>
      </c>
      <c r="E12428">
        <v>1</v>
      </c>
      <c r="F12428" t="s">
        <v>13218</v>
      </c>
    </row>
    <row r="12429" spans="1:6" x14ac:dyDescent="0.25">
      <c r="A12429" t="s">
        <v>13380</v>
      </c>
      <c r="B12429" t="s">
        <v>7554</v>
      </c>
      <c r="C12429" t="s">
        <v>7555</v>
      </c>
      <c r="D12429" t="str">
        <f>HYPERLINK("http://service.sap.com/sap/support/notes/1761197","1761197")</f>
        <v>1761197</v>
      </c>
      <c r="E12429">
        <v>1</v>
      </c>
      <c r="F12429" t="s">
        <v>13219</v>
      </c>
    </row>
    <row r="12430" spans="1:6" x14ac:dyDescent="0.25">
      <c r="A12430" t="s">
        <v>13380</v>
      </c>
      <c r="B12430" t="s">
        <v>12135</v>
      </c>
      <c r="C12430" t="s">
        <v>12134</v>
      </c>
      <c r="D12430" t="str">
        <f>HYPERLINK("http://service.sap.com/sap/support/notes/1850767","1850767")</f>
        <v>1850767</v>
      </c>
      <c r="E12430">
        <v>1</v>
      </c>
      <c r="F12430" t="s">
        <v>12133</v>
      </c>
    </row>
    <row r="12431" spans="1:6" x14ac:dyDescent="0.25">
      <c r="A12431" t="s">
        <v>13380</v>
      </c>
      <c r="B12431" t="s">
        <v>1913</v>
      </c>
      <c r="C12431" t="s">
        <v>1914</v>
      </c>
      <c r="D12431" t="str">
        <f>HYPERLINK("http://service.sap.com/sap/support/notes/1173827","1173827")</f>
        <v>1173827</v>
      </c>
      <c r="E12431">
        <v>3</v>
      </c>
      <c r="F12431" t="s">
        <v>9764</v>
      </c>
    </row>
    <row r="12432" spans="1:6" x14ac:dyDescent="0.25">
      <c r="A12432" t="s">
        <v>13380</v>
      </c>
      <c r="B12432" t="s">
        <v>1913</v>
      </c>
      <c r="C12432" t="s">
        <v>1914</v>
      </c>
      <c r="D12432" t="str">
        <f>HYPERLINK("http://service.sap.com/sap/support/notes/1809564","1809564")</f>
        <v>1809564</v>
      </c>
      <c r="E12432">
        <v>2</v>
      </c>
      <c r="F12432" t="s">
        <v>13220</v>
      </c>
    </row>
    <row r="12433" spans="1:6" x14ac:dyDescent="0.25">
      <c r="A12433" t="s">
        <v>13380</v>
      </c>
      <c r="B12433" t="s">
        <v>1922</v>
      </c>
      <c r="C12433" t="s">
        <v>1923</v>
      </c>
    </row>
    <row r="12434" spans="1:6" x14ac:dyDescent="0.25">
      <c r="A12434" t="s">
        <v>13380</v>
      </c>
      <c r="B12434" t="s">
        <v>1924</v>
      </c>
      <c r="C12434" t="s">
        <v>1925</v>
      </c>
      <c r="D12434" t="str">
        <f>HYPERLINK("http://service.sap.com/sap/support/notes/1854952","1854952")</f>
        <v>1854952</v>
      </c>
      <c r="E12434">
        <v>1</v>
      </c>
      <c r="F12434" t="s">
        <v>9765</v>
      </c>
    </row>
    <row r="12435" spans="1:6" x14ac:dyDescent="0.25">
      <c r="A12435" t="s">
        <v>13380</v>
      </c>
      <c r="B12435" t="s">
        <v>1928</v>
      </c>
      <c r="C12435" t="s">
        <v>1929</v>
      </c>
    </row>
    <row r="12436" spans="1:6" x14ac:dyDescent="0.25">
      <c r="A12436" t="s">
        <v>13380</v>
      </c>
      <c r="B12436" t="s">
        <v>9766</v>
      </c>
      <c r="C12436" t="s">
        <v>9767</v>
      </c>
      <c r="D12436" t="str">
        <f>HYPERLINK("http://service.sap.com/sap/support/notes/1857203","1857203")</f>
        <v>1857203</v>
      </c>
      <c r="E12436">
        <v>1</v>
      </c>
      <c r="F12436" t="s">
        <v>9768</v>
      </c>
    </row>
    <row r="12437" spans="1:6" x14ac:dyDescent="0.25">
      <c r="A12437" t="s">
        <v>13380</v>
      </c>
      <c r="B12437" t="s">
        <v>9766</v>
      </c>
      <c r="C12437" t="s">
        <v>9767</v>
      </c>
      <c r="D12437" t="str">
        <f>HYPERLINK("http://service.sap.com/sap/support/notes/1860329","1860329")</f>
        <v>1860329</v>
      </c>
      <c r="E12437">
        <v>1</v>
      </c>
      <c r="F12437" t="s">
        <v>13221</v>
      </c>
    </row>
    <row r="12438" spans="1:6" x14ac:dyDescent="0.25">
      <c r="A12438" t="s">
        <v>13380</v>
      </c>
      <c r="B12438" t="s">
        <v>13222</v>
      </c>
      <c r="C12438" t="s">
        <v>7555</v>
      </c>
      <c r="D12438" t="str">
        <f>HYPERLINK("http://service.sap.com/sap/support/notes/1844393","1844393")</f>
        <v>1844393</v>
      </c>
      <c r="E12438">
        <v>1</v>
      </c>
      <c r="F12438" t="s">
        <v>13223</v>
      </c>
    </row>
    <row r="12439" spans="1:6" x14ac:dyDescent="0.25">
      <c r="A12439" t="s">
        <v>13380</v>
      </c>
      <c r="B12439" t="s">
        <v>1933</v>
      </c>
      <c r="C12439" t="s">
        <v>5213</v>
      </c>
      <c r="D12439" t="str">
        <f>HYPERLINK("http://service.sap.com/sap/support/notes/1830827","1830827")</f>
        <v>1830827</v>
      </c>
      <c r="E12439">
        <v>3</v>
      </c>
      <c r="F12439" t="s">
        <v>9772</v>
      </c>
    </row>
    <row r="12440" spans="1:6" x14ac:dyDescent="0.25">
      <c r="A12440" t="s">
        <v>13380</v>
      </c>
      <c r="B12440" t="s">
        <v>1933</v>
      </c>
      <c r="C12440" t="s">
        <v>5213</v>
      </c>
      <c r="D12440" t="str">
        <f>HYPERLINK("http://service.sap.com/sap/support/notes/1845027","1845027")</f>
        <v>1845027</v>
      </c>
      <c r="E12440">
        <v>3</v>
      </c>
      <c r="F12440" t="s">
        <v>9773</v>
      </c>
    </row>
    <row r="12441" spans="1:6" x14ac:dyDescent="0.25">
      <c r="A12441" t="s">
        <v>13380</v>
      </c>
      <c r="B12441" t="s">
        <v>1933</v>
      </c>
      <c r="C12441" t="s">
        <v>5213</v>
      </c>
      <c r="D12441" t="str">
        <f>HYPERLINK("http://service.sap.com/sap/support/notes/1845520","1845520")</f>
        <v>1845520</v>
      </c>
      <c r="E12441">
        <v>2</v>
      </c>
      <c r="F12441" t="s">
        <v>9774</v>
      </c>
    </row>
    <row r="12442" spans="1:6" x14ac:dyDescent="0.25">
      <c r="A12442" t="s">
        <v>13380</v>
      </c>
      <c r="B12442" t="s">
        <v>1933</v>
      </c>
      <c r="C12442" t="s">
        <v>5213</v>
      </c>
      <c r="D12442" t="str">
        <f>HYPERLINK("http://service.sap.com/sap/support/notes/1850105","1850105")</f>
        <v>1850105</v>
      </c>
      <c r="E12442">
        <v>2</v>
      </c>
      <c r="F12442" t="s">
        <v>9775</v>
      </c>
    </row>
    <row r="12443" spans="1:6" x14ac:dyDescent="0.25">
      <c r="A12443" t="s">
        <v>13380</v>
      </c>
      <c r="B12443" t="s">
        <v>1933</v>
      </c>
      <c r="C12443" t="s">
        <v>5213</v>
      </c>
      <c r="D12443" t="str">
        <f>HYPERLINK("http://service.sap.com/sap/support/notes/1851136","1851136")</f>
        <v>1851136</v>
      </c>
      <c r="E12443">
        <v>1</v>
      </c>
      <c r="F12443" t="s">
        <v>9776</v>
      </c>
    </row>
    <row r="12444" spans="1:6" x14ac:dyDescent="0.25">
      <c r="A12444" t="s">
        <v>13380</v>
      </c>
      <c r="B12444" t="s">
        <v>1935</v>
      </c>
      <c r="C12444" t="s">
        <v>1936</v>
      </c>
      <c r="D12444" t="str">
        <f>HYPERLINK("http://service.sap.com/sap/support/notes/1848591","1848591")</f>
        <v>1848591</v>
      </c>
      <c r="E12444">
        <v>1</v>
      </c>
      <c r="F12444" t="s">
        <v>9777</v>
      </c>
    </row>
    <row r="12445" spans="1:6" x14ac:dyDescent="0.25">
      <c r="A12445" t="s">
        <v>13380</v>
      </c>
      <c r="B12445" t="s">
        <v>1939</v>
      </c>
      <c r="C12445" t="s">
        <v>29</v>
      </c>
    </row>
    <row r="12446" spans="1:6" x14ac:dyDescent="0.25">
      <c r="A12446" t="s">
        <v>13380</v>
      </c>
      <c r="B12446" t="s">
        <v>1940</v>
      </c>
      <c r="C12446" t="s">
        <v>1941</v>
      </c>
      <c r="D12446" t="str">
        <f>HYPERLINK("http://service.sap.com/sap/support/notes/1838875","1838875")</f>
        <v>1838875</v>
      </c>
      <c r="E12446">
        <v>2</v>
      </c>
    </row>
    <row r="12447" spans="1:6" x14ac:dyDescent="0.25">
      <c r="A12447" t="s">
        <v>13380</v>
      </c>
      <c r="B12447" t="s">
        <v>1945</v>
      </c>
      <c r="C12447" t="s">
        <v>1946</v>
      </c>
      <c r="D12447" t="str">
        <f>HYPERLINK("http://service.sap.com/sap/support/notes/1823930","1823930")</f>
        <v>1823930</v>
      </c>
      <c r="E12447">
        <v>5</v>
      </c>
      <c r="F12447" t="s">
        <v>9779</v>
      </c>
    </row>
    <row r="12448" spans="1:6" x14ac:dyDescent="0.25">
      <c r="A12448" t="s">
        <v>13380</v>
      </c>
      <c r="B12448" t="s">
        <v>1945</v>
      </c>
      <c r="C12448" t="s">
        <v>1946</v>
      </c>
      <c r="D12448" t="str">
        <f>HYPERLINK("http://service.sap.com/sap/support/notes/1859246","1859246")</f>
        <v>1859246</v>
      </c>
      <c r="E12448">
        <v>1</v>
      </c>
      <c r="F12448" t="s">
        <v>9780</v>
      </c>
    </row>
    <row r="12449" spans="1:6" x14ac:dyDescent="0.25">
      <c r="A12449" t="s">
        <v>13380</v>
      </c>
      <c r="B12449" t="s">
        <v>1948</v>
      </c>
      <c r="C12449" t="s">
        <v>1949</v>
      </c>
    </row>
    <row r="12450" spans="1:6" x14ac:dyDescent="0.25">
      <c r="A12450" t="s">
        <v>13380</v>
      </c>
      <c r="B12450" t="s">
        <v>1955</v>
      </c>
      <c r="C12450" t="s">
        <v>1956</v>
      </c>
    </row>
    <row r="12451" spans="1:6" x14ac:dyDescent="0.25">
      <c r="A12451" t="s">
        <v>13380</v>
      </c>
      <c r="B12451" t="s">
        <v>1957</v>
      </c>
      <c r="C12451" t="s">
        <v>1696</v>
      </c>
      <c r="D12451" t="str">
        <f>HYPERLINK("http://service.sap.com/sap/support/notes/1856701","1856701")</f>
        <v>1856701</v>
      </c>
      <c r="E12451">
        <v>2</v>
      </c>
      <c r="F12451" t="s">
        <v>9781</v>
      </c>
    </row>
    <row r="12452" spans="1:6" x14ac:dyDescent="0.25">
      <c r="A12452" t="s">
        <v>13380</v>
      </c>
      <c r="B12452" t="s">
        <v>1966</v>
      </c>
      <c r="C12452" t="s">
        <v>1638</v>
      </c>
      <c r="D12452" t="str">
        <f>HYPERLINK("http://service.sap.com/sap/support/notes/1861717","1861717")</f>
        <v>1861717</v>
      </c>
      <c r="E12452">
        <v>1</v>
      </c>
      <c r="F12452" t="s">
        <v>9783</v>
      </c>
    </row>
    <row r="12453" spans="1:6" x14ac:dyDescent="0.25">
      <c r="A12453" t="s">
        <v>13380</v>
      </c>
      <c r="B12453" t="s">
        <v>1966</v>
      </c>
      <c r="C12453" t="s">
        <v>1638</v>
      </c>
      <c r="D12453" t="str">
        <f>HYPERLINK("http://service.sap.com/sap/support/notes/1865701","1865701")</f>
        <v>1865701</v>
      </c>
      <c r="E12453">
        <v>1</v>
      </c>
      <c r="F12453" t="s">
        <v>13224</v>
      </c>
    </row>
    <row r="12454" spans="1:6" x14ac:dyDescent="0.25">
      <c r="A12454" t="s">
        <v>13380</v>
      </c>
      <c r="B12454" t="s">
        <v>1969</v>
      </c>
      <c r="C12454" t="s">
        <v>1878</v>
      </c>
      <c r="D12454" t="str">
        <f>HYPERLINK("http://service.sap.com/sap/support/notes/1853158","1853158")</f>
        <v>1853158</v>
      </c>
      <c r="E12454">
        <v>1</v>
      </c>
      <c r="F12454" t="s">
        <v>9787</v>
      </c>
    </row>
    <row r="12455" spans="1:6" x14ac:dyDescent="0.25">
      <c r="A12455" t="s">
        <v>13380</v>
      </c>
      <c r="B12455" t="s">
        <v>1978</v>
      </c>
      <c r="C12455" t="s">
        <v>1979</v>
      </c>
      <c r="D12455" t="str">
        <f>HYPERLINK("http://service.sap.com/sap/support/notes/1848839","1848839")</f>
        <v>1848839</v>
      </c>
      <c r="E12455">
        <v>1</v>
      </c>
      <c r="F12455" t="s">
        <v>13225</v>
      </c>
    </row>
    <row r="12456" spans="1:6" x14ac:dyDescent="0.25">
      <c r="A12456" t="s">
        <v>13380</v>
      </c>
      <c r="B12456" t="s">
        <v>1978</v>
      </c>
      <c r="C12456" t="s">
        <v>1979</v>
      </c>
      <c r="D12456" t="str">
        <f>HYPERLINK("http://service.sap.com/sap/support/notes/1856383","1856383")</f>
        <v>1856383</v>
      </c>
      <c r="E12456">
        <v>1</v>
      </c>
      <c r="F12456" t="s">
        <v>9790</v>
      </c>
    </row>
    <row r="12457" spans="1:6" x14ac:dyDescent="0.25">
      <c r="A12457" t="s">
        <v>13380</v>
      </c>
      <c r="B12457" t="s">
        <v>1978</v>
      </c>
      <c r="C12457" t="s">
        <v>1979</v>
      </c>
      <c r="D12457" t="str">
        <f>HYPERLINK("http://service.sap.com/sap/support/notes/1860252","1860252")</f>
        <v>1860252</v>
      </c>
      <c r="E12457">
        <v>1</v>
      </c>
      <c r="F12457" t="s">
        <v>9791</v>
      </c>
    </row>
    <row r="12458" spans="1:6" x14ac:dyDescent="0.25">
      <c r="A12458" t="s">
        <v>13380</v>
      </c>
      <c r="B12458" t="s">
        <v>1988</v>
      </c>
      <c r="C12458" t="s">
        <v>1989</v>
      </c>
    </row>
    <row r="12459" spans="1:6" x14ac:dyDescent="0.25">
      <c r="A12459" t="s">
        <v>13380</v>
      </c>
      <c r="B12459" t="s">
        <v>1990</v>
      </c>
      <c r="C12459" t="s">
        <v>445</v>
      </c>
      <c r="D12459" t="str">
        <f>HYPERLINK("http://service.sap.com/sap/support/notes/1792170","1792170")</f>
        <v>1792170</v>
      </c>
      <c r="E12459">
        <v>4</v>
      </c>
      <c r="F12459" t="s">
        <v>13226</v>
      </c>
    </row>
    <row r="12460" spans="1:6" x14ac:dyDescent="0.25">
      <c r="A12460" t="s">
        <v>13380</v>
      </c>
      <c r="B12460" t="s">
        <v>5252</v>
      </c>
      <c r="C12460" t="s">
        <v>5253</v>
      </c>
      <c r="D12460" t="str">
        <f>HYPERLINK("http://service.sap.com/sap/support/notes/1854349","1854349")</f>
        <v>1854349</v>
      </c>
      <c r="E12460">
        <v>1</v>
      </c>
      <c r="F12460" t="s">
        <v>13227</v>
      </c>
    </row>
    <row r="12461" spans="1:6" x14ac:dyDescent="0.25">
      <c r="A12461" t="s">
        <v>13380</v>
      </c>
      <c r="B12461" t="s">
        <v>1994</v>
      </c>
      <c r="C12461" t="s">
        <v>1995</v>
      </c>
    </row>
    <row r="12462" spans="1:6" x14ac:dyDescent="0.25">
      <c r="A12462" t="s">
        <v>13380</v>
      </c>
      <c r="B12462" t="s">
        <v>1996</v>
      </c>
      <c r="C12462" t="s">
        <v>1997</v>
      </c>
      <c r="D12462" t="str">
        <f>HYPERLINK("http://service.sap.com/sap/support/notes/1084355","1084355")</f>
        <v>1084355</v>
      </c>
      <c r="E12462">
        <v>3</v>
      </c>
      <c r="F12462" t="s">
        <v>9793</v>
      </c>
    </row>
    <row r="12463" spans="1:6" x14ac:dyDescent="0.25">
      <c r="A12463" t="s">
        <v>13380</v>
      </c>
      <c r="B12463" t="s">
        <v>1996</v>
      </c>
      <c r="C12463" t="s">
        <v>1997</v>
      </c>
      <c r="D12463" t="str">
        <f>HYPERLINK("http://service.sap.com/sap/support/notes/1529095","1529095")</f>
        <v>1529095</v>
      </c>
      <c r="E12463">
        <v>3</v>
      </c>
      <c r="F12463" t="s">
        <v>9794</v>
      </c>
    </row>
    <row r="12464" spans="1:6" x14ac:dyDescent="0.25">
      <c r="A12464" t="s">
        <v>13380</v>
      </c>
      <c r="B12464" t="s">
        <v>1996</v>
      </c>
      <c r="C12464" t="s">
        <v>1997</v>
      </c>
      <c r="D12464" t="str">
        <f>HYPERLINK("http://service.sap.com/sap/support/notes/1685390","1685390")</f>
        <v>1685390</v>
      </c>
      <c r="E12464">
        <v>3</v>
      </c>
      <c r="F12464" t="s">
        <v>9795</v>
      </c>
    </row>
    <row r="12465" spans="1:6" x14ac:dyDescent="0.25">
      <c r="A12465" t="s">
        <v>13380</v>
      </c>
      <c r="B12465" t="s">
        <v>1996</v>
      </c>
      <c r="C12465" t="s">
        <v>1997</v>
      </c>
      <c r="D12465" t="str">
        <f>HYPERLINK("http://service.sap.com/sap/support/notes/1697152","1697152")</f>
        <v>1697152</v>
      </c>
      <c r="E12465">
        <v>4</v>
      </c>
      <c r="F12465" t="s">
        <v>9797</v>
      </c>
    </row>
    <row r="12466" spans="1:6" x14ac:dyDescent="0.25">
      <c r="A12466" t="s">
        <v>13380</v>
      </c>
      <c r="B12466" t="s">
        <v>1996</v>
      </c>
      <c r="C12466" t="s">
        <v>1997</v>
      </c>
      <c r="D12466" t="str">
        <f>HYPERLINK("http://service.sap.com/sap/support/notes/1739263","1739263")</f>
        <v>1739263</v>
      </c>
      <c r="E12466">
        <v>3</v>
      </c>
      <c r="F12466" t="s">
        <v>9798</v>
      </c>
    </row>
    <row r="12467" spans="1:6" x14ac:dyDescent="0.25">
      <c r="A12467" t="s">
        <v>13380</v>
      </c>
      <c r="B12467" t="s">
        <v>1996</v>
      </c>
      <c r="C12467" t="s">
        <v>1997</v>
      </c>
      <c r="D12467" t="str">
        <f>HYPERLINK("http://service.sap.com/sap/support/notes/1789537","1789537")</f>
        <v>1789537</v>
      </c>
      <c r="E12467">
        <v>5</v>
      </c>
      <c r="F12467" t="s">
        <v>9799</v>
      </c>
    </row>
    <row r="12468" spans="1:6" x14ac:dyDescent="0.25">
      <c r="A12468" t="s">
        <v>13380</v>
      </c>
      <c r="B12468" t="s">
        <v>1996</v>
      </c>
      <c r="C12468" t="s">
        <v>1997</v>
      </c>
      <c r="D12468" t="str">
        <f>HYPERLINK("http://service.sap.com/sap/support/notes/1793024","1793024")</f>
        <v>1793024</v>
      </c>
      <c r="E12468">
        <v>2</v>
      </c>
      <c r="F12468" t="s">
        <v>13228</v>
      </c>
    </row>
    <row r="12469" spans="1:6" x14ac:dyDescent="0.25">
      <c r="A12469" t="s">
        <v>13380</v>
      </c>
      <c r="B12469" t="s">
        <v>1996</v>
      </c>
      <c r="C12469" t="s">
        <v>1997</v>
      </c>
      <c r="D12469" t="str">
        <f>HYPERLINK("http://service.sap.com/sap/support/notes/1801153","1801153")</f>
        <v>1801153</v>
      </c>
      <c r="E12469">
        <v>1</v>
      </c>
      <c r="F12469" t="s">
        <v>13229</v>
      </c>
    </row>
    <row r="12470" spans="1:6" x14ac:dyDescent="0.25">
      <c r="A12470" t="s">
        <v>13380</v>
      </c>
      <c r="B12470" t="s">
        <v>1996</v>
      </c>
      <c r="C12470" t="s">
        <v>1997</v>
      </c>
      <c r="D12470" t="str">
        <f>HYPERLINK("http://service.sap.com/sap/support/notes/1833895","1833895")</f>
        <v>1833895</v>
      </c>
      <c r="E12470">
        <v>2</v>
      </c>
      <c r="F12470" t="s">
        <v>9800</v>
      </c>
    </row>
    <row r="12471" spans="1:6" x14ac:dyDescent="0.25">
      <c r="A12471" t="s">
        <v>13380</v>
      </c>
      <c r="B12471" t="s">
        <v>1996</v>
      </c>
      <c r="C12471" t="s">
        <v>1997</v>
      </c>
      <c r="D12471" t="str">
        <f>HYPERLINK("http://service.sap.com/sap/support/notes/1837525","1837525")</f>
        <v>1837525</v>
      </c>
      <c r="E12471">
        <v>2</v>
      </c>
      <c r="F12471" t="s">
        <v>9801</v>
      </c>
    </row>
    <row r="12472" spans="1:6" x14ac:dyDescent="0.25">
      <c r="A12472" t="s">
        <v>13380</v>
      </c>
      <c r="B12472" t="s">
        <v>1996</v>
      </c>
      <c r="C12472" t="s">
        <v>1997</v>
      </c>
      <c r="D12472" t="str">
        <f>HYPERLINK("http://service.sap.com/sap/support/notes/1844570","1844570")</f>
        <v>1844570</v>
      </c>
      <c r="E12472">
        <v>3</v>
      </c>
      <c r="F12472" t="s">
        <v>9802</v>
      </c>
    </row>
    <row r="12473" spans="1:6" x14ac:dyDescent="0.25">
      <c r="A12473" t="s">
        <v>13380</v>
      </c>
      <c r="B12473" t="s">
        <v>1996</v>
      </c>
      <c r="C12473" t="s">
        <v>1997</v>
      </c>
      <c r="D12473" t="str">
        <f>HYPERLINK("http://service.sap.com/sap/support/notes/1860766","1860766")</f>
        <v>1860766</v>
      </c>
      <c r="E12473">
        <v>2</v>
      </c>
      <c r="F12473" t="s">
        <v>9177</v>
      </c>
    </row>
    <row r="12474" spans="1:6" x14ac:dyDescent="0.25">
      <c r="A12474" t="s">
        <v>13380</v>
      </c>
      <c r="B12474" t="s">
        <v>2002</v>
      </c>
      <c r="C12474" t="s">
        <v>657</v>
      </c>
    </row>
    <row r="12475" spans="1:6" x14ac:dyDescent="0.25">
      <c r="A12475" t="s">
        <v>13380</v>
      </c>
      <c r="B12475" t="s">
        <v>2003</v>
      </c>
      <c r="C12475" t="s">
        <v>2004</v>
      </c>
      <c r="D12475" t="str">
        <f>HYPERLINK("http://service.sap.com/sap/support/notes/1831803","1831803")</f>
        <v>1831803</v>
      </c>
      <c r="E12475">
        <v>2</v>
      </c>
      <c r="F12475" t="s">
        <v>7602</v>
      </c>
    </row>
    <row r="12476" spans="1:6" x14ac:dyDescent="0.25">
      <c r="A12476" t="s">
        <v>13380</v>
      </c>
      <c r="B12476" t="s">
        <v>2003</v>
      </c>
      <c r="C12476" t="s">
        <v>2004</v>
      </c>
      <c r="D12476" t="str">
        <f>HYPERLINK("http://service.sap.com/sap/support/notes/1843263","1843263")</f>
        <v>1843263</v>
      </c>
      <c r="E12476">
        <v>2</v>
      </c>
      <c r="F12476" t="s">
        <v>9806</v>
      </c>
    </row>
    <row r="12477" spans="1:6" x14ac:dyDescent="0.25">
      <c r="A12477" t="s">
        <v>13380</v>
      </c>
      <c r="B12477" t="s">
        <v>2003</v>
      </c>
      <c r="C12477" t="s">
        <v>2004</v>
      </c>
      <c r="D12477" t="str">
        <f>HYPERLINK("http://service.sap.com/sap/support/notes/1843861","1843861")</f>
        <v>1843861</v>
      </c>
      <c r="E12477">
        <v>2</v>
      </c>
      <c r="F12477" t="s">
        <v>9807</v>
      </c>
    </row>
    <row r="12478" spans="1:6" x14ac:dyDescent="0.25">
      <c r="A12478" t="s">
        <v>13380</v>
      </c>
      <c r="B12478" t="s">
        <v>2003</v>
      </c>
      <c r="C12478" t="s">
        <v>2004</v>
      </c>
      <c r="D12478" t="str">
        <f>HYPERLINK("http://service.sap.com/sap/support/notes/1848433","1848433")</f>
        <v>1848433</v>
      </c>
      <c r="E12478">
        <v>1</v>
      </c>
      <c r="F12478" t="s">
        <v>13230</v>
      </c>
    </row>
    <row r="12479" spans="1:6" x14ac:dyDescent="0.25">
      <c r="A12479" t="s">
        <v>13380</v>
      </c>
      <c r="B12479" t="s">
        <v>2003</v>
      </c>
      <c r="C12479" t="s">
        <v>2004</v>
      </c>
      <c r="D12479" t="str">
        <f>HYPERLINK("http://service.sap.com/sap/support/notes/1858908","1858908")</f>
        <v>1858908</v>
      </c>
      <c r="E12479">
        <v>1</v>
      </c>
      <c r="F12479" t="s">
        <v>9808</v>
      </c>
    </row>
    <row r="12480" spans="1:6" x14ac:dyDescent="0.25">
      <c r="A12480" t="s">
        <v>13380</v>
      </c>
      <c r="B12480" t="s">
        <v>2003</v>
      </c>
      <c r="C12480" t="s">
        <v>2004</v>
      </c>
      <c r="D12480" t="str">
        <f>HYPERLINK("http://service.sap.com/sap/support/notes/1861811","1861811")</f>
        <v>1861811</v>
      </c>
      <c r="E12480">
        <v>1</v>
      </c>
      <c r="F12480" t="s">
        <v>9809</v>
      </c>
    </row>
    <row r="12481" spans="1:6" x14ac:dyDescent="0.25">
      <c r="A12481" t="s">
        <v>13380</v>
      </c>
      <c r="B12481" t="s">
        <v>2003</v>
      </c>
      <c r="C12481" t="s">
        <v>2004</v>
      </c>
      <c r="D12481" t="str">
        <f>HYPERLINK("http://service.sap.com/sap/support/notes/1862849","1862849")</f>
        <v>1862849</v>
      </c>
      <c r="E12481">
        <v>1</v>
      </c>
    </row>
    <row r="12482" spans="1:6" x14ac:dyDescent="0.25">
      <c r="A12482" t="s">
        <v>13380</v>
      </c>
      <c r="B12482" t="s">
        <v>7603</v>
      </c>
      <c r="C12482" t="s">
        <v>7604</v>
      </c>
      <c r="D12482" t="str">
        <f>HYPERLINK("http://service.sap.com/sap/support/notes/1864214","1864214")</f>
        <v>1864214</v>
      </c>
      <c r="E12482">
        <v>1</v>
      </c>
      <c r="F12482" t="s">
        <v>13231</v>
      </c>
    </row>
    <row r="12483" spans="1:6" x14ac:dyDescent="0.25">
      <c r="A12483" t="s">
        <v>13380</v>
      </c>
      <c r="B12483" t="s">
        <v>2011</v>
      </c>
      <c r="C12483" t="s">
        <v>2012</v>
      </c>
      <c r="D12483" t="str">
        <f>HYPERLINK("http://service.sap.com/sap/support/notes/1837601","1837601")</f>
        <v>1837601</v>
      </c>
      <c r="E12483">
        <v>4</v>
      </c>
      <c r="F12483" t="s">
        <v>9810</v>
      </c>
    </row>
    <row r="12484" spans="1:6" x14ac:dyDescent="0.25">
      <c r="A12484" t="s">
        <v>13380</v>
      </c>
      <c r="B12484" t="s">
        <v>2011</v>
      </c>
      <c r="C12484" t="s">
        <v>2012</v>
      </c>
      <c r="D12484" t="str">
        <f>HYPERLINK("http://service.sap.com/sap/support/notes/1841669","1841669")</f>
        <v>1841669</v>
      </c>
      <c r="E12484">
        <v>2</v>
      </c>
      <c r="F12484" t="s">
        <v>9811</v>
      </c>
    </row>
    <row r="12485" spans="1:6" x14ac:dyDescent="0.25">
      <c r="A12485" t="s">
        <v>13380</v>
      </c>
      <c r="B12485" t="s">
        <v>2011</v>
      </c>
      <c r="C12485" t="s">
        <v>2012</v>
      </c>
      <c r="D12485" t="str">
        <f>HYPERLINK("http://service.sap.com/sap/support/notes/1841689","1841689")</f>
        <v>1841689</v>
      </c>
      <c r="E12485">
        <v>2</v>
      </c>
      <c r="F12485" t="s">
        <v>9812</v>
      </c>
    </row>
    <row r="12486" spans="1:6" x14ac:dyDescent="0.25">
      <c r="A12486" t="s">
        <v>13380</v>
      </c>
      <c r="B12486" t="s">
        <v>2011</v>
      </c>
      <c r="C12486" t="s">
        <v>2012</v>
      </c>
      <c r="D12486" t="str">
        <f>HYPERLINK("http://service.sap.com/sap/support/notes/1846223","1846223")</f>
        <v>1846223</v>
      </c>
      <c r="E12486">
        <v>3</v>
      </c>
      <c r="F12486" t="s">
        <v>9813</v>
      </c>
    </row>
    <row r="12487" spans="1:6" x14ac:dyDescent="0.25">
      <c r="A12487" t="s">
        <v>13380</v>
      </c>
      <c r="B12487" t="s">
        <v>2011</v>
      </c>
      <c r="C12487" t="s">
        <v>2012</v>
      </c>
      <c r="D12487" t="str">
        <f>HYPERLINK("http://service.sap.com/sap/support/notes/1852466","1852466")</f>
        <v>1852466</v>
      </c>
      <c r="E12487">
        <v>1</v>
      </c>
      <c r="F12487" t="s">
        <v>9814</v>
      </c>
    </row>
    <row r="12488" spans="1:6" x14ac:dyDescent="0.25">
      <c r="A12488" t="s">
        <v>13380</v>
      </c>
      <c r="B12488" t="s">
        <v>2022</v>
      </c>
      <c r="C12488" t="s">
        <v>2023</v>
      </c>
      <c r="D12488" t="str">
        <f>HYPERLINK("http://service.sap.com/sap/support/notes/1819801","1819801")</f>
        <v>1819801</v>
      </c>
      <c r="E12488">
        <v>2</v>
      </c>
      <c r="F12488" t="s">
        <v>9815</v>
      </c>
    </row>
    <row r="12489" spans="1:6" x14ac:dyDescent="0.25">
      <c r="A12489" t="s">
        <v>13380</v>
      </c>
      <c r="B12489" t="s">
        <v>2022</v>
      </c>
      <c r="C12489" t="s">
        <v>2023</v>
      </c>
      <c r="D12489" t="str">
        <f>HYPERLINK("http://service.sap.com/sap/support/notes/1839729","1839729")</f>
        <v>1839729</v>
      </c>
      <c r="E12489">
        <v>2</v>
      </c>
      <c r="F12489" t="s">
        <v>9816</v>
      </c>
    </row>
    <row r="12490" spans="1:6" x14ac:dyDescent="0.25">
      <c r="A12490" t="s">
        <v>13380</v>
      </c>
      <c r="B12490" t="s">
        <v>2031</v>
      </c>
      <c r="C12490" t="s">
        <v>2032</v>
      </c>
      <c r="D12490" t="str">
        <f>HYPERLINK("http://service.sap.com/sap/support/notes/1851662","1851662")</f>
        <v>1851662</v>
      </c>
      <c r="E12490">
        <v>1</v>
      </c>
      <c r="F12490" t="s">
        <v>9821</v>
      </c>
    </row>
    <row r="12491" spans="1:6" x14ac:dyDescent="0.25">
      <c r="A12491" t="s">
        <v>13380</v>
      </c>
      <c r="B12491" t="s">
        <v>2031</v>
      </c>
      <c r="C12491" t="s">
        <v>2032</v>
      </c>
      <c r="D12491" t="str">
        <f>HYPERLINK("http://service.sap.com/sap/support/notes/1855604","1855604")</f>
        <v>1855604</v>
      </c>
      <c r="E12491">
        <v>2</v>
      </c>
    </row>
    <row r="12492" spans="1:6" x14ac:dyDescent="0.25">
      <c r="A12492" t="s">
        <v>13380</v>
      </c>
      <c r="B12492" t="s">
        <v>2034</v>
      </c>
      <c r="C12492" t="s">
        <v>2035</v>
      </c>
      <c r="D12492" t="str">
        <f>HYPERLINK("http://service.sap.com/sap/support/notes/1826945","1826945")</f>
        <v>1826945</v>
      </c>
      <c r="E12492">
        <v>4</v>
      </c>
      <c r="F12492" t="s">
        <v>7629</v>
      </c>
    </row>
    <row r="12493" spans="1:6" x14ac:dyDescent="0.25">
      <c r="A12493" t="s">
        <v>13380</v>
      </c>
      <c r="B12493" t="s">
        <v>2034</v>
      </c>
      <c r="C12493" t="s">
        <v>2035</v>
      </c>
      <c r="D12493" t="str">
        <f>HYPERLINK("http://service.sap.com/sap/support/notes/1830888","1830888")</f>
        <v>1830888</v>
      </c>
      <c r="E12493">
        <v>2</v>
      </c>
      <c r="F12493" t="s">
        <v>7632</v>
      </c>
    </row>
    <row r="12494" spans="1:6" x14ac:dyDescent="0.25">
      <c r="A12494" t="s">
        <v>13380</v>
      </c>
      <c r="B12494" t="s">
        <v>2034</v>
      </c>
      <c r="C12494" t="s">
        <v>2035</v>
      </c>
      <c r="D12494" t="str">
        <f>HYPERLINK("http://service.sap.com/sap/support/notes/1831045","1831045")</f>
        <v>1831045</v>
      </c>
      <c r="E12494">
        <v>2</v>
      </c>
      <c r="F12494" t="s">
        <v>7635</v>
      </c>
    </row>
    <row r="12495" spans="1:6" x14ac:dyDescent="0.25">
      <c r="A12495" t="s">
        <v>13380</v>
      </c>
      <c r="B12495" t="s">
        <v>2034</v>
      </c>
      <c r="C12495" t="s">
        <v>2035</v>
      </c>
      <c r="D12495" t="str">
        <f>HYPERLINK("http://service.sap.com/sap/support/notes/1836787","1836787")</f>
        <v>1836787</v>
      </c>
      <c r="E12495">
        <v>4</v>
      </c>
      <c r="F12495" t="s">
        <v>9822</v>
      </c>
    </row>
    <row r="12496" spans="1:6" x14ac:dyDescent="0.25">
      <c r="A12496" t="s">
        <v>13380</v>
      </c>
      <c r="B12496" t="s">
        <v>2034</v>
      </c>
      <c r="C12496" t="s">
        <v>2035</v>
      </c>
      <c r="D12496" t="str">
        <f>HYPERLINK("http://service.sap.com/sap/support/notes/1837054","1837054")</f>
        <v>1837054</v>
      </c>
      <c r="E12496">
        <v>2</v>
      </c>
      <c r="F12496" t="s">
        <v>9823</v>
      </c>
    </row>
    <row r="12497" spans="1:6" x14ac:dyDescent="0.25">
      <c r="A12497" t="s">
        <v>13380</v>
      </c>
      <c r="B12497" t="s">
        <v>2034</v>
      </c>
      <c r="C12497" t="s">
        <v>2035</v>
      </c>
      <c r="D12497" t="str">
        <f>HYPERLINK("http://service.sap.com/sap/support/notes/1842199","1842199")</f>
        <v>1842199</v>
      </c>
      <c r="E12497">
        <v>3</v>
      </c>
      <c r="F12497" t="s">
        <v>9824</v>
      </c>
    </row>
    <row r="12498" spans="1:6" x14ac:dyDescent="0.25">
      <c r="A12498" t="s">
        <v>13380</v>
      </c>
      <c r="B12498" t="s">
        <v>2034</v>
      </c>
      <c r="C12498" t="s">
        <v>2035</v>
      </c>
      <c r="D12498" t="str">
        <f>HYPERLINK("http://service.sap.com/sap/support/notes/1849745","1849745")</f>
        <v>1849745</v>
      </c>
      <c r="E12498">
        <v>2</v>
      </c>
      <c r="F12498" t="s">
        <v>9825</v>
      </c>
    </row>
    <row r="12499" spans="1:6" x14ac:dyDescent="0.25">
      <c r="A12499" t="s">
        <v>13380</v>
      </c>
      <c r="B12499" t="s">
        <v>2034</v>
      </c>
      <c r="C12499" t="s">
        <v>2035</v>
      </c>
      <c r="D12499" t="str">
        <f>HYPERLINK("http://service.sap.com/sap/support/notes/1856847","1856847")</f>
        <v>1856847</v>
      </c>
      <c r="E12499">
        <v>1</v>
      </c>
      <c r="F12499" t="s">
        <v>9826</v>
      </c>
    </row>
    <row r="12500" spans="1:6" x14ac:dyDescent="0.25">
      <c r="A12500" t="s">
        <v>13380</v>
      </c>
      <c r="B12500" t="s">
        <v>2034</v>
      </c>
      <c r="C12500" t="s">
        <v>2035</v>
      </c>
      <c r="D12500" t="str">
        <f>HYPERLINK("http://service.sap.com/sap/support/notes/1859655","1859655")</f>
        <v>1859655</v>
      </c>
      <c r="E12500">
        <v>1</v>
      </c>
      <c r="F12500" t="s">
        <v>13232</v>
      </c>
    </row>
    <row r="12501" spans="1:6" x14ac:dyDescent="0.25">
      <c r="A12501" t="s">
        <v>13380</v>
      </c>
      <c r="B12501" t="s">
        <v>2034</v>
      </c>
      <c r="C12501" t="s">
        <v>2035</v>
      </c>
      <c r="D12501" t="str">
        <f>HYPERLINK("http://service.sap.com/sap/support/notes/1859983","1859983")</f>
        <v>1859983</v>
      </c>
      <c r="E12501">
        <v>1</v>
      </c>
      <c r="F12501" t="s">
        <v>9827</v>
      </c>
    </row>
    <row r="12502" spans="1:6" x14ac:dyDescent="0.25">
      <c r="A12502" t="s">
        <v>13380</v>
      </c>
      <c r="B12502" t="s">
        <v>2034</v>
      </c>
      <c r="C12502" t="s">
        <v>2035</v>
      </c>
      <c r="D12502" t="str">
        <f>HYPERLINK("http://service.sap.com/sap/support/notes/1860999","1860999")</f>
        <v>1860999</v>
      </c>
      <c r="E12502">
        <v>1</v>
      </c>
      <c r="F12502" t="s">
        <v>9828</v>
      </c>
    </row>
    <row r="12503" spans="1:6" x14ac:dyDescent="0.25">
      <c r="A12503" t="s">
        <v>13380</v>
      </c>
      <c r="B12503" t="s">
        <v>2034</v>
      </c>
      <c r="C12503" t="s">
        <v>2035</v>
      </c>
      <c r="D12503" t="str">
        <f>HYPERLINK("http://service.sap.com/sap/support/notes/1861416","1861416")</f>
        <v>1861416</v>
      </c>
      <c r="E12503">
        <v>1</v>
      </c>
      <c r="F12503" t="s">
        <v>9829</v>
      </c>
    </row>
    <row r="12504" spans="1:6" x14ac:dyDescent="0.25">
      <c r="A12504" t="s">
        <v>13380</v>
      </c>
      <c r="B12504" t="s">
        <v>2034</v>
      </c>
      <c r="C12504" t="s">
        <v>2035</v>
      </c>
      <c r="D12504" t="str">
        <f>HYPERLINK("http://service.sap.com/sap/support/notes/1861540","1861540")</f>
        <v>1861540</v>
      </c>
      <c r="E12504">
        <v>1</v>
      </c>
      <c r="F12504" t="s">
        <v>9830</v>
      </c>
    </row>
    <row r="12505" spans="1:6" x14ac:dyDescent="0.25">
      <c r="A12505" t="s">
        <v>13380</v>
      </c>
      <c r="B12505" t="s">
        <v>2034</v>
      </c>
      <c r="C12505" t="s">
        <v>2035</v>
      </c>
      <c r="D12505" t="str">
        <f>HYPERLINK("http://service.sap.com/sap/support/notes/1862004","1862004")</f>
        <v>1862004</v>
      </c>
      <c r="E12505">
        <v>4</v>
      </c>
      <c r="F12505" t="s">
        <v>9177</v>
      </c>
    </row>
    <row r="12506" spans="1:6" x14ac:dyDescent="0.25">
      <c r="A12506" t="s">
        <v>13380</v>
      </c>
      <c r="B12506" t="s">
        <v>2034</v>
      </c>
      <c r="C12506" t="s">
        <v>2035</v>
      </c>
      <c r="D12506" t="str">
        <f>HYPERLINK("http://service.sap.com/sap/support/notes/1862408","1862408")</f>
        <v>1862408</v>
      </c>
      <c r="E12506">
        <v>2</v>
      </c>
      <c r="F12506" t="s">
        <v>13233</v>
      </c>
    </row>
    <row r="12507" spans="1:6" x14ac:dyDescent="0.25">
      <c r="A12507" t="s">
        <v>13380</v>
      </c>
      <c r="B12507" t="s">
        <v>2034</v>
      </c>
      <c r="C12507" t="s">
        <v>2035</v>
      </c>
      <c r="D12507" t="str">
        <f>HYPERLINK("http://service.sap.com/sap/support/notes/1864505","1864505")</f>
        <v>1864505</v>
      </c>
      <c r="E12507">
        <v>2</v>
      </c>
      <c r="F12507" t="s">
        <v>13234</v>
      </c>
    </row>
    <row r="12508" spans="1:6" x14ac:dyDescent="0.25">
      <c r="A12508" t="s">
        <v>13380</v>
      </c>
      <c r="B12508" t="s">
        <v>7640</v>
      </c>
      <c r="C12508" t="s">
        <v>7641</v>
      </c>
      <c r="D12508" t="str">
        <f>HYPERLINK("http://service.sap.com/sap/support/notes/1863212","1863212")</f>
        <v>1863212</v>
      </c>
      <c r="E12508">
        <v>2</v>
      </c>
      <c r="F12508" t="s">
        <v>9833</v>
      </c>
    </row>
    <row r="12509" spans="1:6" x14ac:dyDescent="0.25">
      <c r="A12509" t="s">
        <v>13380</v>
      </c>
      <c r="B12509" t="s">
        <v>2052</v>
      </c>
      <c r="C12509" t="s">
        <v>2053</v>
      </c>
      <c r="D12509" t="str">
        <f>HYPERLINK("http://service.sap.com/sap/support/notes/1681041","1681041")</f>
        <v>1681041</v>
      </c>
      <c r="E12509">
        <v>1</v>
      </c>
      <c r="F12509" t="s">
        <v>13235</v>
      </c>
    </row>
    <row r="12510" spans="1:6" x14ac:dyDescent="0.25">
      <c r="A12510" t="s">
        <v>13380</v>
      </c>
      <c r="B12510" t="s">
        <v>2052</v>
      </c>
      <c r="C12510" t="s">
        <v>2053</v>
      </c>
      <c r="D12510" t="str">
        <f>HYPERLINK("http://service.sap.com/sap/support/notes/1858949","1858949")</f>
        <v>1858949</v>
      </c>
      <c r="E12510">
        <v>1</v>
      </c>
      <c r="F12510" t="s">
        <v>13236</v>
      </c>
    </row>
    <row r="12511" spans="1:6" x14ac:dyDescent="0.25">
      <c r="A12511" t="s">
        <v>13380</v>
      </c>
      <c r="B12511" t="s">
        <v>2062</v>
      </c>
      <c r="C12511" t="s">
        <v>2063</v>
      </c>
      <c r="D12511" t="str">
        <f>HYPERLINK("http://service.sap.com/sap/support/notes/1846463","1846463")</f>
        <v>1846463</v>
      </c>
      <c r="E12511">
        <v>2</v>
      </c>
      <c r="F12511" t="s">
        <v>9834</v>
      </c>
    </row>
    <row r="12512" spans="1:6" x14ac:dyDescent="0.25">
      <c r="A12512" t="s">
        <v>13380</v>
      </c>
      <c r="B12512" t="s">
        <v>2062</v>
      </c>
      <c r="C12512" t="s">
        <v>2063</v>
      </c>
      <c r="D12512" t="str">
        <f>HYPERLINK("http://service.sap.com/sap/support/notes/1847697","1847697")</f>
        <v>1847697</v>
      </c>
      <c r="E12512">
        <v>1</v>
      </c>
      <c r="F12512" t="s">
        <v>9835</v>
      </c>
    </row>
    <row r="12513" spans="1:6" x14ac:dyDescent="0.25">
      <c r="A12513" t="s">
        <v>13380</v>
      </c>
      <c r="B12513" t="s">
        <v>2062</v>
      </c>
      <c r="C12513" t="s">
        <v>2063</v>
      </c>
      <c r="D12513" t="str">
        <f>HYPERLINK("http://service.sap.com/sap/support/notes/1849517","1849517")</f>
        <v>1849517</v>
      </c>
      <c r="E12513">
        <v>1</v>
      </c>
      <c r="F12513" t="s">
        <v>9836</v>
      </c>
    </row>
    <row r="12514" spans="1:6" x14ac:dyDescent="0.25">
      <c r="A12514" t="s">
        <v>13380</v>
      </c>
      <c r="B12514" t="s">
        <v>2062</v>
      </c>
      <c r="C12514" t="s">
        <v>2063</v>
      </c>
      <c r="D12514" t="str">
        <f>HYPERLINK("http://service.sap.com/sap/support/notes/1858622","1858622")</f>
        <v>1858622</v>
      </c>
      <c r="E12514">
        <v>7</v>
      </c>
      <c r="F12514" t="s">
        <v>13237</v>
      </c>
    </row>
    <row r="12515" spans="1:6" x14ac:dyDescent="0.25">
      <c r="A12515" t="s">
        <v>13380</v>
      </c>
      <c r="B12515" t="s">
        <v>2062</v>
      </c>
      <c r="C12515" t="s">
        <v>2063</v>
      </c>
      <c r="D12515" t="str">
        <f>HYPERLINK("http://service.sap.com/sap/support/notes/1859123","1859123")</f>
        <v>1859123</v>
      </c>
      <c r="E12515">
        <v>8</v>
      </c>
      <c r="F12515" t="s">
        <v>13238</v>
      </c>
    </row>
    <row r="12516" spans="1:6" x14ac:dyDescent="0.25">
      <c r="A12516" t="s">
        <v>13380</v>
      </c>
      <c r="B12516" t="s">
        <v>2062</v>
      </c>
      <c r="C12516" t="s">
        <v>2063</v>
      </c>
      <c r="D12516" t="str">
        <f>HYPERLINK("http://service.sap.com/sap/support/notes/1861629","1861629")</f>
        <v>1861629</v>
      </c>
      <c r="E12516">
        <v>1</v>
      </c>
      <c r="F12516" t="s">
        <v>9837</v>
      </c>
    </row>
    <row r="12517" spans="1:6" x14ac:dyDescent="0.25">
      <c r="A12517" t="s">
        <v>13380</v>
      </c>
      <c r="B12517" t="s">
        <v>5298</v>
      </c>
      <c r="C12517" t="s">
        <v>5299</v>
      </c>
      <c r="D12517" t="str">
        <f>HYPERLINK("http://service.sap.com/sap/support/notes/1557966","1557966")</f>
        <v>1557966</v>
      </c>
      <c r="E12517">
        <v>1</v>
      </c>
      <c r="F12517" t="s">
        <v>13239</v>
      </c>
    </row>
    <row r="12518" spans="1:6" x14ac:dyDescent="0.25">
      <c r="A12518" t="s">
        <v>13380</v>
      </c>
      <c r="B12518" t="s">
        <v>2067</v>
      </c>
      <c r="C12518" t="s">
        <v>2068</v>
      </c>
      <c r="D12518" t="str">
        <f>HYPERLINK("http://service.sap.com/sap/support/notes/1761396","1761396")</f>
        <v>1761396</v>
      </c>
      <c r="E12518">
        <v>5</v>
      </c>
      <c r="F12518" t="s">
        <v>9839</v>
      </c>
    </row>
    <row r="12519" spans="1:6" x14ac:dyDescent="0.25">
      <c r="A12519" t="s">
        <v>13380</v>
      </c>
      <c r="B12519" t="s">
        <v>2067</v>
      </c>
      <c r="C12519" t="s">
        <v>2068</v>
      </c>
      <c r="D12519" t="str">
        <f>HYPERLINK("http://service.sap.com/sap/support/notes/1764365","1764365")</f>
        <v>1764365</v>
      </c>
      <c r="E12519">
        <v>4</v>
      </c>
      <c r="F12519" t="s">
        <v>9840</v>
      </c>
    </row>
    <row r="12520" spans="1:6" x14ac:dyDescent="0.25">
      <c r="A12520" t="s">
        <v>13380</v>
      </c>
      <c r="B12520" t="s">
        <v>2067</v>
      </c>
      <c r="C12520" t="s">
        <v>2068</v>
      </c>
      <c r="D12520" t="str">
        <f>HYPERLINK("http://service.sap.com/sap/support/notes/1855609","1855609")</f>
        <v>1855609</v>
      </c>
      <c r="E12520">
        <v>1</v>
      </c>
      <c r="F12520" t="s">
        <v>9841</v>
      </c>
    </row>
    <row r="12521" spans="1:6" x14ac:dyDescent="0.25">
      <c r="A12521" t="s">
        <v>13380</v>
      </c>
      <c r="B12521" t="s">
        <v>2067</v>
      </c>
      <c r="C12521" t="s">
        <v>2068</v>
      </c>
      <c r="D12521" t="str">
        <f>HYPERLINK("http://service.sap.com/sap/support/notes/1859144","1859144")</f>
        <v>1859144</v>
      </c>
      <c r="E12521">
        <v>2</v>
      </c>
      <c r="F12521" t="s">
        <v>13240</v>
      </c>
    </row>
    <row r="12522" spans="1:6" x14ac:dyDescent="0.25">
      <c r="A12522" t="s">
        <v>13380</v>
      </c>
      <c r="B12522" t="s">
        <v>2079</v>
      </c>
      <c r="C12522" t="s">
        <v>2080</v>
      </c>
      <c r="D12522" t="str">
        <f>HYPERLINK("http://service.sap.com/sap/support/notes/1700582","1700582")</f>
        <v>1700582</v>
      </c>
      <c r="E12522">
        <v>3</v>
      </c>
      <c r="F12522" t="s">
        <v>9844</v>
      </c>
    </row>
    <row r="12523" spans="1:6" x14ac:dyDescent="0.25">
      <c r="A12523" t="s">
        <v>13380</v>
      </c>
      <c r="B12523" t="s">
        <v>2079</v>
      </c>
      <c r="C12523" t="s">
        <v>2080</v>
      </c>
      <c r="D12523" t="str">
        <f>HYPERLINK("http://service.sap.com/sap/support/notes/1838942","1838942")</f>
        <v>1838942</v>
      </c>
      <c r="E12523">
        <v>3</v>
      </c>
      <c r="F12523" t="s">
        <v>9845</v>
      </c>
    </row>
    <row r="12524" spans="1:6" x14ac:dyDescent="0.25">
      <c r="A12524" t="s">
        <v>13380</v>
      </c>
      <c r="B12524" t="s">
        <v>2079</v>
      </c>
      <c r="C12524" t="s">
        <v>2080</v>
      </c>
      <c r="D12524" t="str">
        <f>HYPERLINK("http://service.sap.com/sap/support/notes/1849766","1849766")</f>
        <v>1849766</v>
      </c>
      <c r="E12524">
        <v>2</v>
      </c>
      <c r="F12524" t="s">
        <v>9846</v>
      </c>
    </row>
    <row r="12525" spans="1:6" x14ac:dyDescent="0.25">
      <c r="A12525" t="s">
        <v>13380</v>
      </c>
      <c r="B12525" t="s">
        <v>2079</v>
      </c>
      <c r="C12525" t="s">
        <v>2080</v>
      </c>
      <c r="D12525" t="str">
        <f>HYPERLINK("http://service.sap.com/sap/support/notes/1855379","1855379")</f>
        <v>1855379</v>
      </c>
      <c r="E12525">
        <v>2</v>
      </c>
      <c r="F12525" t="s">
        <v>9847</v>
      </c>
    </row>
    <row r="12526" spans="1:6" x14ac:dyDescent="0.25">
      <c r="A12526" t="s">
        <v>13380</v>
      </c>
      <c r="B12526" t="s">
        <v>2079</v>
      </c>
      <c r="C12526" t="s">
        <v>2080</v>
      </c>
      <c r="D12526" t="str">
        <f>HYPERLINK("http://service.sap.com/sap/support/notes/1861194","1861194")</f>
        <v>1861194</v>
      </c>
      <c r="E12526">
        <v>1</v>
      </c>
      <c r="F12526" t="s">
        <v>12056</v>
      </c>
    </row>
    <row r="12527" spans="1:6" x14ac:dyDescent="0.25">
      <c r="A12527" t="s">
        <v>13380</v>
      </c>
      <c r="B12527" t="s">
        <v>2082</v>
      </c>
      <c r="C12527" t="s">
        <v>2083</v>
      </c>
    </row>
    <row r="12528" spans="1:6" x14ac:dyDescent="0.25">
      <c r="A12528" t="s">
        <v>13380</v>
      </c>
      <c r="B12528" t="s">
        <v>2084</v>
      </c>
      <c r="C12528" t="s">
        <v>1643</v>
      </c>
      <c r="D12528" t="str">
        <f>HYPERLINK("http://service.sap.com/sap/support/notes/1859824","1859824")</f>
        <v>1859824</v>
      </c>
      <c r="E12528">
        <v>1</v>
      </c>
      <c r="F12528" t="s">
        <v>13241</v>
      </c>
    </row>
    <row r="12529" spans="1:6" x14ac:dyDescent="0.25">
      <c r="A12529" t="s">
        <v>13380</v>
      </c>
      <c r="B12529" t="s">
        <v>2086</v>
      </c>
      <c r="C12529" t="s">
        <v>2087</v>
      </c>
      <c r="D12529" t="str">
        <f>HYPERLINK("http://service.sap.com/sap/support/notes/1844802","1844802")</f>
        <v>1844802</v>
      </c>
      <c r="E12529">
        <v>2</v>
      </c>
      <c r="F12529" t="s">
        <v>9851</v>
      </c>
    </row>
    <row r="12530" spans="1:6" x14ac:dyDescent="0.25">
      <c r="A12530" t="s">
        <v>13380</v>
      </c>
      <c r="B12530" t="s">
        <v>2090</v>
      </c>
      <c r="C12530" t="s">
        <v>2091</v>
      </c>
      <c r="D12530" t="str">
        <f>HYPERLINK("http://service.sap.com/sap/support/notes/947618","947618")</f>
        <v>947618</v>
      </c>
      <c r="E12530">
        <v>15</v>
      </c>
      <c r="F12530" t="s">
        <v>9852</v>
      </c>
    </row>
    <row r="12531" spans="1:6" x14ac:dyDescent="0.25">
      <c r="A12531" t="s">
        <v>13380</v>
      </c>
      <c r="B12531" t="s">
        <v>2090</v>
      </c>
      <c r="C12531" t="s">
        <v>2091</v>
      </c>
      <c r="D12531" t="str">
        <f>HYPERLINK("http://service.sap.com/sap/support/notes/1054227","1054227")</f>
        <v>1054227</v>
      </c>
      <c r="E12531">
        <v>5</v>
      </c>
      <c r="F12531" t="s">
        <v>9853</v>
      </c>
    </row>
    <row r="12532" spans="1:6" x14ac:dyDescent="0.25">
      <c r="A12532" t="s">
        <v>13380</v>
      </c>
      <c r="B12532" t="s">
        <v>2090</v>
      </c>
      <c r="C12532" t="s">
        <v>2091</v>
      </c>
      <c r="D12532" t="str">
        <f>HYPERLINK("http://service.sap.com/sap/support/notes/1288884","1288884")</f>
        <v>1288884</v>
      </c>
      <c r="E12532">
        <v>4</v>
      </c>
      <c r="F12532" t="s">
        <v>9854</v>
      </c>
    </row>
    <row r="12533" spans="1:6" x14ac:dyDescent="0.25">
      <c r="A12533" t="s">
        <v>13380</v>
      </c>
      <c r="B12533" t="s">
        <v>2090</v>
      </c>
      <c r="C12533" t="s">
        <v>2091</v>
      </c>
      <c r="D12533" t="str">
        <f>HYPERLINK("http://service.sap.com/sap/support/notes/1389466","1389466")</f>
        <v>1389466</v>
      </c>
      <c r="E12533">
        <v>4</v>
      </c>
      <c r="F12533" t="s">
        <v>9855</v>
      </c>
    </row>
    <row r="12534" spans="1:6" x14ac:dyDescent="0.25">
      <c r="A12534" t="s">
        <v>13380</v>
      </c>
      <c r="B12534" t="s">
        <v>2094</v>
      </c>
      <c r="C12534" t="s">
        <v>9856</v>
      </c>
    </row>
    <row r="12535" spans="1:6" x14ac:dyDescent="0.25">
      <c r="A12535" t="s">
        <v>13380</v>
      </c>
      <c r="B12535" t="s">
        <v>2097</v>
      </c>
      <c r="C12535" t="s">
        <v>2098</v>
      </c>
    </row>
    <row r="12536" spans="1:6" x14ac:dyDescent="0.25">
      <c r="A12536" t="s">
        <v>13380</v>
      </c>
      <c r="B12536" t="s">
        <v>2099</v>
      </c>
      <c r="C12536" t="s">
        <v>2100</v>
      </c>
      <c r="D12536" t="str">
        <f>HYPERLINK("http://service.sap.com/sap/support/notes/1852797","1852797")</f>
        <v>1852797</v>
      </c>
      <c r="E12536">
        <v>3</v>
      </c>
      <c r="F12536" t="s">
        <v>9857</v>
      </c>
    </row>
    <row r="12537" spans="1:6" x14ac:dyDescent="0.25">
      <c r="A12537" t="s">
        <v>13380</v>
      </c>
      <c r="B12537" t="s">
        <v>13242</v>
      </c>
      <c r="C12537" t="s">
        <v>13243</v>
      </c>
      <c r="D12537" t="str">
        <f>HYPERLINK("http://service.sap.com/sap/support/notes/1859343","1859343")</f>
        <v>1859343</v>
      </c>
      <c r="E12537">
        <v>1</v>
      </c>
      <c r="F12537" t="s">
        <v>13205</v>
      </c>
    </row>
    <row r="12538" spans="1:6" x14ac:dyDescent="0.25">
      <c r="A12538" t="s">
        <v>13380</v>
      </c>
      <c r="B12538" t="s">
        <v>2102</v>
      </c>
      <c r="C12538" t="s">
        <v>2103</v>
      </c>
    </row>
    <row r="12539" spans="1:6" x14ac:dyDescent="0.25">
      <c r="A12539" t="s">
        <v>13380</v>
      </c>
      <c r="B12539" t="s">
        <v>2104</v>
      </c>
      <c r="C12539" t="s">
        <v>2105</v>
      </c>
      <c r="D12539" t="str">
        <f>HYPERLINK("http://service.sap.com/sap/support/notes/1841082","1841082")</f>
        <v>1841082</v>
      </c>
      <c r="E12539">
        <v>2</v>
      </c>
      <c r="F12539" t="s">
        <v>9858</v>
      </c>
    </row>
    <row r="12540" spans="1:6" x14ac:dyDescent="0.25">
      <c r="A12540" t="s">
        <v>13380</v>
      </c>
      <c r="B12540" t="s">
        <v>2104</v>
      </c>
      <c r="C12540" t="s">
        <v>2105</v>
      </c>
      <c r="D12540" t="str">
        <f>HYPERLINK("http://service.sap.com/sap/support/notes/1859048","1859048")</f>
        <v>1859048</v>
      </c>
      <c r="E12540">
        <v>1</v>
      </c>
      <c r="F12540" t="s">
        <v>13244</v>
      </c>
    </row>
    <row r="12541" spans="1:6" x14ac:dyDescent="0.25">
      <c r="A12541" t="s">
        <v>13380</v>
      </c>
      <c r="B12541" t="s">
        <v>2108</v>
      </c>
      <c r="C12541" t="s">
        <v>5323</v>
      </c>
      <c r="D12541" t="str">
        <f>HYPERLINK("http://service.sap.com/sap/support/notes/1858699","1858699")</f>
        <v>1858699</v>
      </c>
      <c r="E12541">
        <v>2</v>
      </c>
      <c r="F12541" t="s">
        <v>9808</v>
      </c>
    </row>
    <row r="12542" spans="1:6" x14ac:dyDescent="0.25">
      <c r="A12542" t="s">
        <v>13380</v>
      </c>
      <c r="B12542" t="s">
        <v>2110</v>
      </c>
      <c r="C12542" t="s">
        <v>1669</v>
      </c>
      <c r="D12542" t="str">
        <f>HYPERLINK("http://service.sap.com/sap/support/notes/1841141","1841141")</f>
        <v>1841141</v>
      </c>
      <c r="E12542">
        <v>2</v>
      </c>
      <c r="F12542" t="s">
        <v>9869</v>
      </c>
    </row>
    <row r="12543" spans="1:6" x14ac:dyDescent="0.25">
      <c r="A12543" t="s">
        <v>13380</v>
      </c>
      <c r="B12543" t="s">
        <v>2110</v>
      </c>
      <c r="C12543" t="s">
        <v>1669</v>
      </c>
      <c r="D12543" t="str">
        <f>HYPERLINK("http://service.sap.com/sap/support/notes/1852192","1852192")</f>
        <v>1852192</v>
      </c>
      <c r="E12543">
        <v>1</v>
      </c>
      <c r="F12543" t="s">
        <v>9870</v>
      </c>
    </row>
    <row r="12544" spans="1:6" x14ac:dyDescent="0.25">
      <c r="A12544" t="s">
        <v>13380</v>
      </c>
      <c r="B12544" t="s">
        <v>2143</v>
      </c>
      <c r="C12544" t="s">
        <v>1673</v>
      </c>
      <c r="D12544" t="str">
        <f>HYPERLINK("http://service.sap.com/sap/support/notes/1651466","1651466")</f>
        <v>1651466</v>
      </c>
      <c r="E12544">
        <v>3</v>
      </c>
      <c r="F12544" t="s">
        <v>13245</v>
      </c>
    </row>
    <row r="12545" spans="1:6" x14ac:dyDescent="0.25">
      <c r="A12545" t="s">
        <v>13380</v>
      </c>
      <c r="B12545" t="s">
        <v>2143</v>
      </c>
      <c r="C12545" t="s">
        <v>1673</v>
      </c>
      <c r="D12545" t="str">
        <f>HYPERLINK("http://service.sap.com/sap/support/notes/1757504","1757504")</f>
        <v>1757504</v>
      </c>
      <c r="E12545">
        <v>3</v>
      </c>
      <c r="F12545" t="s">
        <v>9872</v>
      </c>
    </row>
    <row r="12546" spans="1:6" x14ac:dyDescent="0.25">
      <c r="A12546" t="s">
        <v>13380</v>
      </c>
      <c r="B12546" t="s">
        <v>2143</v>
      </c>
      <c r="C12546" t="s">
        <v>1673</v>
      </c>
      <c r="D12546" t="str">
        <f>HYPERLINK("http://service.sap.com/sap/support/notes/1825245","1825245")</f>
        <v>1825245</v>
      </c>
      <c r="E12546">
        <v>3</v>
      </c>
      <c r="F12546" t="s">
        <v>9873</v>
      </c>
    </row>
    <row r="12547" spans="1:6" x14ac:dyDescent="0.25">
      <c r="A12547" t="s">
        <v>13380</v>
      </c>
      <c r="B12547" t="s">
        <v>2143</v>
      </c>
      <c r="C12547" t="s">
        <v>1673</v>
      </c>
      <c r="D12547" t="str">
        <f>HYPERLINK("http://service.sap.com/sap/support/notes/1833269","1833269")</f>
        <v>1833269</v>
      </c>
      <c r="E12547">
        <v>2</v>
      </c>
      <c r="F12547" t="s">
        <v>9874</v>
      </c>
    </row>
    <row r="12548" spans="1:6" x14ac:dyDescent="0.25">
      <c r="A12548" t="s">
        <v>13380</v>
      </c>
      <c r="B12548" t="s">
        <v>2143</v>
      </c>
      <c r="C12548" t="s">
        <v>1673</v>
      </c>
      <c r="D12548" t="str">
        <f>HYPERLINK("http://service.sap.com/sap/support/notes/1837285","1837285")</f>
        <v>1837285</v>
      </c>
      <c r="E12548">
        <v>2</v>
      </c>
      <c r="F12548" t="s">
        <v>9875</v>
      </c>
    </row>
    <row r="12549" spans="1:6" x14ac:dyDescent="0.25">
      <c r="A12549" t="s">
        <v>13380</v>
      </c>
      <c r="B12549" t="s">
        <v>2143</v>
      </c>
      <c r="C12549" t="s">
        <v>1673</v>
      </c>
      <c r="D12549" t="str">
        <f>HYPERLINK("http://service.sap.com/sap/support/notes/1841248","1841248")</f>
        <v>1841248</v>
      </c>
      <c r="E12549">
        <v>2</v>
      </c>
      <c r="F12549" t="s">
        <v>9876</v>
      </c>
    </row>
    <row r="12550" spans="1:6" x14ac:dyDescent="0.25">
      <c r="A12550" t="s">
        <v>13380</v>
      </c>
      <c r="B12550" t="s">
        <v>2143</v>
      </c>
      <c r="C12550" t="s">
        <v>1673</v>
      </c>
      <c r="D12550" t="str">
        <f>HYPERLINK("http://service.sap.com/sap/support/notes/1847974","1847974")</f>
        <v>1847974</v>
      </c>
      <c r="E12550">
        <v>2</v>
      </c>
      <c r="F12550" t="s">
        <v>9877</v>
      </c>
    </row>
    <row r="12551" spans="1:6" x14ac:dyDescent="0.25">
      <c r="A12551" t="s">
        <v>13380</v>
      </c>
      <c r="B12551" t="s">
        <v>2152</v>
      </c>
      <c r="C12551" t="s">
        <v>2153</v>
      </c>
      <c r="D12551" t="str">
        <f>HYPERLINK("http://service.sap.com/sap/support/notes/1838864","1838864")</f>
        <v>1838864</v>
      </c>
      <c r="E12551">
        <v>2</v>
      </c>
      <c r="F12551" t="s">
        <v>9879</v>
      </c>
    </row>
    <row r="12552" spans="1:6" x14ac:dyDescent="0.25">
      <c r="A12552" t="s">
        <v>13380</v>
      </c>
      <c r="B12552" t="s">
        <v>2152</v>
      </c>
      <c r="C12552" t="s">
        <v>2153</v>
      </c>
      <c r="D12552" t="str">
        <f>HYPERLINK("http://service.sap.com/sap/support/notes/1849828","1849828")</f>
        <v>1849828</v>
      </c>
      <c r="E12552">
        <v>1</v>
      </c>
      <c r="F12552" t="s">
        <v>9880</v>
      </c>
    </row>
    <row r="12553" spans="1:6" x14ac:dyDescent="0.25">
      <c r="A12553" t="s">
        <v>13380</v>
      </c>
      <c r="B12553" t="s">
        <v>9882</v>
      </c>
      <c r="C12553" t="s">
        <v>9883</v>
      </c>
    </row>
    <row r="12554" spans="1:6" x14ac:dyDescent="0.25">
      <c r="A12554" t="s">
        <v>13380</v>
      </c>
      <c r="B12554" t="s">
        <v>9884</v>
      </c>
      <c r="C12554" t="s">
        <v>1635</v>
      </c>
      <c r="D12554" t="str">
        <f>HYPERLINK("http://service.sap.com/sap/support/notes/1830585","1830585")</f>
        <v>1830585</v>
      </c>
      <c r="E12554">
        <v>2</v>
      </c>
      <c r="F12554" t="s">
        <v>9885</v>
      </c>
    </row>
    <row r="12555" spans="1:6" x14ac:dyDescent="0.25">
      <c r="A12555" t="s">
        <v>13380</v>
      </c>
      <c r="B12555" t="s">
        <v>63</v>
      </c>
      <c r="C12555" t="s">
        <v>2171</v>
      </c>
      <c r="D12555" t="str">
        <f>HYPERLINK("http://service.sap.com/sap/support/notes/1845356","1845356")</f>
        <v>1845356</v>
      </c>
      <c r="E12555">
        <v>2</v>
      </c>
      <c r="F12555" t="s">
        <v>9887</v>
      </c>
    </row>
    <row r="12556" spans="1:6" x14ac:dyDescent="0.25">
      <c r="A12556" t="s">
        <v>13380</v>
      </c>
      <c r="B12556" t="s">
        <v>63</v>
      </c>
      <c r="C12556" t="s">
        <v>2171</v>
      </c>
      <c r="D12556" t="str">
        <f>HYPERLINK("http://service.sap.com/sap/support/notes/1852058","1852058")</f>
        <v>1852058</v>
      </c>
      <c r="E12556">
        <v>1</v>
      </c>
      <c r="F12556" t="s">
        <v>9888</v>
      </c>
    </row>
    <row r="12557" spans="1:6" x14ac:dyDescent="0.25">
      <c r="A12557" t="s">
        <v>13380</v>
      </c>
      <c r="B12557" t="s">
        <v>63</v>
      </c>
      <c r="C12557" t="s">
        <v>2171</v>
      </c>
      <c r="D12557" t="str">
        <f>HYPERLINK("http://service.sap.com/sap/support/notes/1852896","1852896")</f>
        <v>1852896</v>
      </c>
      <c r="E12557">
        <v>2</v>
      </c>
      <c r="F12557" t="s">
        <v>13246</v>
      </c>
    </row>
    <row r="12558" spans="1:6" x14ac:dyDescent="0.25">
      <c r="A12558" t="s">
        <v>13380</v>
      </c>
      <c r="B12558" t="s">
        <v>63</v>
      </c>
      <c r="C12558" t="s">
        <v>2171</v>
      </c>
      <c r="D12558" t="str">
        <f>HYPERLINK("http://service.sap.com/sap/support/notes/1854778","1854778")</f>
        <v>1854778</v>
      </c>
      <c r="E12558">
        <v>2</v>
      </c>
      <c r="F12558" t="s">
        <v>9889</v>
      </c>
    </row>
    <row r="12559" spans="1:6" x14ac:dyDescent="0.25">
      <c r="A12559" t="s">
        <v>13380</v>
      </c>
      <c r="B12559" t="s">
        <v>63</v>
      </c>
      <c r="C12559" t="s">
        <v>2171</v>
      </c>
      <c r="D12559" t="str">
        <f>HYPERLINK("http://service.sap.com/sap/support/notes/1859971","1859971")</f>
        <v>1859971</v>
      </c>
      <c r="E12559">
        <v>2</v>
      </c>
      <c r="F12559" t="s">
        <v>13247</v>
      </c>
    </row>
    <row r="12560" spans="1:6" x14ac:dyDescent="0.25">
      <c r="A12560" t="s">
        <v>13380</v>
      </c>
      <c r="B12560" t="s">
        <v>2184</v>
      </c>
      <c r="C12560" t="s">
        <v>2185</v>
      </c>
      <c r="D12560" t="str">
        <f>HYPERLINK("http://service.sap.com/sap/support/notes/1855768","1855768")</f>
        <v>1855768</v>
      </c>
      <c r="E12560">
        <v>2</v>
      </c>
      <c r="F12560" t="s">
        <v>9890</v>
      </c>
    </row>
    <row r="12561" spans="1:6" x14ac:dyDescent="0.25">
      <c r="A12561" t="s">
        <v>13380</v>
      </c>
      <c r="B12561" t="s">
        <v>9891</v>
      </c>
      <c r="C12561" t="s">
        <v>9892</v>
      </c>
      <c r="D12561" t="str">
        <f>HYPERLINK("http://service.sap.com/sap/support/notes/1839706","1839706")</f>
        <v>1839706</v>
      </c>
      <c r="E12561">
        <v>4</v>
      </c>
      <c r="F12561" t="s">
        <v>9893</v>
      </c>
    </row>
    <row r="12562" spans="1:6" x14ac:dyDescent="0.25">
      <c r="A12562" t="s">
        <v>13380</v>
      </c>
      <c r="B12562" t="s">
        <v>5359</v>
      </c>
      <c r="C12562" t="s">
        <v>5360</v>
      </c>
      <c r="D12562" t="str">
        <f>HYPERLINK("http://service.sap.com/sap/support/notes/1842400","1842400")</f>
        <v>1842400</v>
      </c>
      <c r="E12562">
        <v>3</v>
      </c>
      <c r="F12562" t="s">
        <v>9897</v>
      </c>
    </row>
    <row r="12563" spans="1:6" x14ac:dyDescent="0.25">
      <c r="A12563" t="s">
        <v>13380</v>
      </c>
      <c r="B12563" t="s">
        <v>5359</v>
      </c>
      <c r="C12563" t="s">
        <v>5360</v>
      </c>
      <c r="D12563" t="str">
        <f>HYPERLINK("http://service.sap.com/sap/support/notes/1850176","1850176")</f>
        <v>1850176</v>
      </c>
      <c r="E12563">
        <v>1</v>
      </c>
      <c r="F12563" t="s">
        <v>9898</v>
      </c>
    </row>
    <row r="12564" spans="1:6" x14ac:dyDescent="0.25">
      <c r="A12564" t="s">
        <v>13380</v>
      </c>
      <c r="B12564" t="s">
        <v>5359</v>
      </c>
      <c r="C12564" t="s">
        <v>5360</v>
      </c>
      <c r="D12564" t="str">
        <f>HYPERLINK("http://service.sap.com/sap/support/notes/1856029","1856029")</f>
        <v>1856029</v>
      </c>
      <c r="E12564">
        <v>1</v>
      </c>
      <c r="F12564" t="s">
        <v>9899</v>
      </c>
    </row>
    <row r="12565" spans="1:6" x14ac:dyDescent="0.25">
      <c r="A12565" t="s">
        <v>13380</v>
      </c>
      <c r="B12565" t="s">
        <v>5359</v>
      </c>
      <c r="C12565" t="s">
        <v>5360</v>
      </c>
      <c r="D12565" t="str">
        <f>HYPERLINK("http://service.sap.com/sap/support/notes/1858805","1858805")</f>
        <v>1858805</v>
      </c>
      <c r="E12565">
        <v>2</v>
      </c>
      <c r="F12565" t="s">
        <v>9900</v>
      </c>
    </row>
    <row r="12566" spans="1:6" x14ac:dyDescent="0.25">
      <c r="A12566" t="s">
        <v>13380</v>
      </c>
      <c r="B12566" t="s">
        <v>2193</v>
      </c>
      <c r="C12566" t="s">
        <v>2194</v>
      </c>
      <c r="D12566" t="str">
        <f>HYPERLINK("http://service.sap.com/sap/support/notes/1855753","1855753")</f>
        <v>1855753</v>
      </c>
      <c r="E12566">
        <v>1</v>
      </c>
      <c r="F12566" t="s">
        <v>13248</v>
      </c>
    </row>
    <row r="12567" spans="1:6" x14ac:dyDescent="0.25">
      <c r="A12567" t="s">
        <v>13380</v>
      </c>
      <c r="B12567" t="s">
        <v>5364</v>
      </c>
      <c r="C12567" t="s">
        <v>5365</v>
      </c>
    </row>
    <row r="12568" spans="1:6" x14ac:dyDescent="0.25">
      <c r="A12568" t="s">
        <v>13380</v>
      </c>
      <c r="B12568" t="s">
        <v>5366</v>
      </c>
      <c r="C12568" t="s">
        <v>5367</v>
      </c>
      <c r="D12568" t="str">
        <f>HYPERLINK("http://service.sap.com/sap/support/notes/1852267","1852267")</f>
        <v>1852267</v>
      </c>
      <c r="E12568">
        <v>1</v>
      </c>
      <c r="F12568" t="s">
        <v>9902</v>
      </c>
    </row>
    <row r="12569" spans="1:6" x14ac:dyDescent="0.25">
      <c r="A12569" t="s">
        <v>13380</v>
      </c>
      <c r="B12569" t="s">
        <v>2203</v>
      </c>
      <c r="C12569" t="s">
        <v>218</v>
      </c>
    </row>
    <row r="12570" spans="1:6" x14ac:dyDescent="0.25">
      <c r="A12570" t="s">
        <v>13380</v>
      </c>
      <c r="B12570" t="s">
        <v>13249</v>
      </c>
      <c r="C12570" t="s">
        <v>13250</v>
      </c>
      <c r="D12570" t="str">
        <f>HYPERLINK("http://service.sap.com/sap/support/notes/1859098","1859098")</f>
        <v>1859098</v>
      </c>
      <c r="E12570">
        <v>3</v>
      </c>
      <c r="F12570" t="s">
        <v>13251</v>
      </c>
    </row>
    <row r="12571" spans="1:6" x14ac:dyDescent="0.25">
      <c r="A12571" t="s">
        <v>13380</v>
      </c>
      <c r="B12571" t="s">
        <v>13249</v>
      </c>
      <c r="C12571" t="s">
        <v>13250</v>
      </c>
      <c r="D12571" t="str">
        <f>HYPERLINK("http://service.sap.com/sap/support/notes/1861966","1861966")</f>
        <v>1861966</v>
      </c>
      <c r="E12571">
        <v>2</v>
      </c>
      <c r="F12571" t="s">
        <v>13145</v>
      </c>
    </row>
    <row r="12572" spans="1:6" x14ac:dyDescent="0.25">
      <c r="A12572" t="s">
        <v>13380</v>
      </c>
      <c r="B12572" t="s">
        <v>13249</v>
      </c>
      <c r="C12572" t="s">
        <v>13250</v>
      </c>
      <c r="D12572" t="str">
        <f>HYPERLINK("http://service.sap.com/sap/support/notes/1862455","1862455")</f>
        <v>1862455</v>
      </c>
      <c r="E12572">
        <v>2</v>
      </c>
      <c r="F12572" t="s">
        <v>13252</v>
      </c>
    </row>
    <row r="12573" spans="1:6" x14ac:dyDescent="0.25">
      <c r="A12573" t="s">
        <v>13380</v>
      </c>
      <c r="B12573" t="s">
        <v>2209</v>
      </c>
      <c r="C12573" t="s">
        <v>1635</v>
      </c>
    </row>
    <row r="12574" spans="1:6" x14ac:dyDescent="0.25">
      <c r="A12574" t="s">
        <v>13380</v>
      </c>
      <c r="B12574" t="s">
        <v>2210</v>
      </c>
      <c r="C12574" t="s">
        <v>151</v>
      </c>
      <c r="D12574" t="str">
        <f>HYPERLINK("http://service.sap.com/sap/support/notes/1858578","1858578")</f>
        <v>1858578</v>
      </c>
      <c r="E12574">
        <v>1</v>
      </c>
      <c r="F12574" t="s">
        <v>9512</v>
      </c>
    </row>
    <row r="12575" spans="1:6" x14ac:dyDescent="0.25">
      <c r="A12575" t="s">
        <v>13380</v>
      </c>
      <c r="B12575" t="s">
        <v>2210</v>
      </c>
      <c r="C12575" t="s">
        <v>151</v>
      </c>
      <c r="D12575" t="str">
        <f>HYPERLINK("http://service.sap.com/sap/support/notes/1860985","1860985")</f>
        <v>1860985</v>
      </c>
      <c r="E12575">
        <v>2</v>
      </c>
      <c r="F12575" t="s">
        <v>1571</v>
      </c>
    </row>
    <row r="12576" spans="1:6" x14ac:dyDescent="0.25">
      <c r="A12576" t="s">
        <v>13380</v>
      </c>
      <c r="B12576" t="s">
        <v>2217</v>
      </c>
      <c r="C12576" t="s">
        <v>2218</v>
      </c>
      <c r="D12576" t="str">
        <f>HYPERLINK("http://service.sap.com/sap/support/notes/1853637","1853637")</f>
        <v>1853637</v>
      </c>
      <c r="E12576">
        <v>1</v>
      </c>
      <c r="F12576" t="s">
        <v>9904</v>
      </c>
    </row>
    <row r="12577" spans="1:6" x14ac:dyDescent="0.25">
      <c r="A12577" t="s">
        <v>13380</v>
      </c>
      <c r="B12577" t="s">
        <v>2217</v>
      </c>
      <c r="C12577" t="s">
        <v>2218</v>
      </c>
      <c r="D12577" t="str">
        <f>HYPERLINK("http://service.sap.com/sap/support/notes/1856697","1856697")</f>
        <v>1856697</v>
      </c>
      <c r="E12577">
        <v>2</v>
      </c>
      <c r="F12577" t="s">
        <v>9905</v>
      </c>
    </row>
    <row r="12578" spans="1:6" x14ac:dyDescent="0.25">
      <c r="A12578" t="s">
        <v>13380</v>
      </c>
      <c r="B12578" t="s">
        <v>2222</v>
      </c>
      <c r="C12578" t="s">
        <v>2223</v>
      </c>
      <c r="D12578" t="str">
        <f>HYPERLINK("http://service.sap.com/sap/support/notes/1848289","1848289")</f>
        <v>1848289</v>
      </c>
      <c r="E12578">
        <v>2</v>
      </c>
      <c r="F12578" t="s">
        <v>9906</v>
      </c>
    </row>
    <row r="12579" spans="1:6" x14ac:dyDescent="0.25">
      <c r="A12579" t="s">
        <v>13380</v>
      </c>
      <c r="B12579" t="s">
        <v>2222</v>
      </c>
      <c r="C12579" t="s">
        <v>2223</v>
      </c>
      <c r="D12579" t="str">
        <f>HYPERLINK("http://service.sap.com/sap/support/notes/1848504","1848504")</f>
        <v>1848504</v>
      </c>
      <c r="E12579">
        <v>1</v>
      </c>
      <c r="F12579" t="s">
        <v>9907</v>
      </c>
    </row>
    <row r="12580" spans="1:6" x14ac:dyDescent="0.25">
      <c r="A12580" t="s">
        <v>13380</v>
      </c>
      <c r="B12580" t="s">
        <v>9908</v>
      </c>
      <c r="C12580" t="s">
        <v>9909</v>
      </c>
      <c r="D12580" t="str">
        <f>HYPERLINK("http://service.sap.com/sap/support/notes/1841030","1841030")</f>
        <v>1841030</v>
      </c>
      <c r="E12580">
        <v>2</v>
      </c>
      <c r="F12580" t="s">
        <v>9910</v>
      </c>
    </row>
    <row r="12581" spans="1:6" x14ac:dyDescent="0.25">
      <c r="A12581" t="s">
        <v>13380</v>
      </c>
      <c r="B12581" t="s">
        <v>9908</v>
      </c>
      <c r="C12581" t="s">
        <v>9909</v>
      </c>
      <c r="D12581" t="str">
        <f>HYPERLINK("http://service.sap.com/sap/support/notes/1862495","1862495")</f>
        <v>1862495</v>
      </c>
      <c r="E12581">
        <v>1</v>
      </c>
      <c r="F12581" t="s">
        <v>9911</v>
      </c>
    </row>
    <row r="12582" spans="1:6" x14ac:dyDescent="0.25">
      <c r="A12582" t="s">
        <v>13380</v>
      </c>
      <c r="B12582" t="s">
        <v>9908</v>
      </c>
      <c r="C12582" t="s">
        <v>9909</v>
      </c>
      <c r="D12582" t="str">
        <f>HYPERLINK("http://service.sap.com/sap/support/notes/1863227","1863227")</f>
        <v>1863227</v>
      </c>
      <c r="E12582">
        <v>2</v>
      </c>
      <c r="F12582" t="s">
        <v>9912</v>
      </c>
    </row>
    <row r="12583" spans="1:6" x14ac:dyDescent="0.25">
      <c r="A12583" t="s">
        <v>13380</v>
      </c>
      <c r="B12583" t="s">
        <v>2226</v>
      </c>
      <c r="C12583" t="s">
        <v>2227</v>
      </c>
      <c r="D12583" t="str">
        <f>HYPERLINK("http://service.sap.com/sap/support/notes/1824126","1824126")</f>
        <v>1824126</v>
      </c>
      <c r="E12583">
        <v>1</v>
      </c>
      <c r="F12583" t="s">
        <v>13253</v>
      </c>
    </row>
    <row r="12584" spans="1:6" x14ac:dyDescent="0.25">
      <c r="A12584" t="s">
        <v>13380</v>
      </c>
      <c r="B12584" t="s">
        <v>2226</v>
      </c>
      <c r="C12584" t="s">
        <v>2227</v>
      </c>
      <c r="D12584" t="str">
        <f>HYPERLINK("http://service.sap.com/sap/support/notes/1843441","1843441")</f>
        <v>1843441</v>
      </c>
      <c r="E12584">
        <v>1</v>
      </c>
      <c r="F12584" t="s">
        <v>9913</v>
      </c>
    </row>
    <row r="12585" spans="1:6" x14ac:dyDescent="0.25">
      <c r="A12585" t="s">
        <v>13380</v>
      </c>
      <c r="B12585" t="s">
        <v>2226</v>
      </c>
      <c r="C12585" t="s">
        <v>2227</v>
      </c>
      <c r="D12585" t="str">
        <f>HYPERLINK("http://service.sap.com/sap/support/notes/1847530","1847530")</f>
        <v>1847530</v>
      </c>
      <c r="E12585">
        <v>1</v>
      </c>
      <c r="F12585" t="s">
        <v>9914</v>
      </c>
    </row>
    <row r="12586" spans="1:6" x14ac:dyDescent="0.25">
      <c r="A12586" t="s">
        <v>13380</v>
      </c>
      <c r="B12586" t="s">
        <v>2235</v>
      </c>
      <c r="C12586" t="s">
        <v>2236</v>
      </c>
      <c r="D12586" t="str">
        <f>HYPERLINK("http://service.sap.com/sap/support/notes/1844681","1844681")</f>
        <v>1844681</v>
      </c>
      <c r="E12586">
        <v>1</v>
      </c>
      <c r="F12586" t="s">
        <v>9916</v>
      </c>
    </row>
    <row r="12587" spans="1:6" x14ac:dyDescent="0.25">
      <c r="A12587" t="s">
        <v>13380</v>
      </c>
      <c r="B12587" t="s">
        <v>5387</v>
      </c>
      <c r="C12587" t="s">
        <v>5388</v>
      </c>
      <c r="D12587" t="str">
        <f>HYPERLINK("http://service.sap.com/sap/support/notes/1854464","1854464")</f>
        <v>1854464</v>
      </c>
      <c r="E12587">
        <v>1</v>
      </c>
      <c r="F12587" t="s">
        <v>9917</v>
      </c>
    </row>
    <row r="12588" spans="1:6" x14ac:dyDescent="0.25">
      <c r="A12588" t="s">
        <v>13380</v>
      </c>
      <c r="B12588" t="s">
        <v>2243</v>
      </c>
      <c r="C12588" t="s">
        <v>2244</v>
      </c>
      <c r="D12588" t="str">
        <f>HYPERLINK("http://service.sap.com/sap/support/notes/1795093","1795093")</f>
        <v>1795093</v>
      </c>
      <c r="E12588">
        <v>8</v>
      </c>
      <c r="F12588" t="s">
        <v>9918</v>
      </c>
    </row>
    <row r="12589" spans="1:6" x14ac:dyDescent="0.25">
      <c r="A12589" t="s">
        <v>13380</v>
      </c>
      <c r="B12589" t="s">
        <v>2243</v>
      </c>
      <c r="C12589" t="s">
        <v>2244</v>
      </c>
      <c r="D12589" t="str">
        <f>HYPERLINK("http://service.sap.com/sap/support/notes/1810543","1810543")</f>
        <v>1810543</v>
      </c>
      <c r="E12589">
        <v>3</v>
      </c>
      <c r="F12589" t="s">
        <v>13254</v>
      </c>
    </row>
    <row r="12590" spans="1:6" x14ac:dyDescent="0.25">
      <c r="A12590" t="s">
        <v>13380</v>
      </c>
      <c r="B12590" t="s">
        <v>2243</v>
      </c>
      <c r="C12590" t="s">
        <v>2244</v>
      </c>
      <c r="D12590" t="str">
        <f>HYPERLINK("http://service.sap.com/sap/support/notes/1815190","1815190")</f>
        <v>1815190</v>
      </c>
      <c r="E12590">
        <v>2</v>
      </c>
      <c r="F12590" t="s">
        <v>9919</v>
      </c>
    </row>
    <row r="12591" spans="1:6" x14ac:dyDescent="0.25">
      <c r="A12591" t="s">
        <v>13380</v>
      </c>
      <c r="B12591" t="s">
        <v>2263</v>
      </c>
      <c r="C12591" t="s">
        <v>1537</v>
      </c>
    </row>
    <row r="12592" spans="1:6" x14ac:dyDescent="0.25">
      <c r="A12592" t="s">
        <v>13380</v>
      </c>
      <c r="B12592" t="s">
        <v>2264</v>
      </c>
      <c r="C12592" t="s">
        <v>2265</v>
      </c>
      <c r="D12592" t="str">
        <f>HYPERLINK("http://service.sap.com/sap/support/notes/1852813","1852813")</f>
        <v>1852813</v>
      </c>
      <c r="E12592">
        <v>1</v>
      </c>
      <c r="F12592" t="s">
        <v>9923</v>
      </c>
    </row>
    <row r="12593" spans="1:6" x14ac:dyDescent="0.25">
      <c r="A12593" t="s">
        <v>13380</v>
      </c>
      <c r="B12593" t="s">
        <v>2264</v>
      </c>
      <c r="C12593" t="s">
        <v>2265</v>
      </c>
      <c r="D12593" t="str">
        <f>HYPERLINK("http://service.sap.com/sap/support/notes/1862956","1862956")</f>
        <v>1862956</v>
      </c>
      <c r="E12593">
        <v>1</v>
      </c>
      <c r="F12593" t="s">
        <v>9924</v>
      </c>
    </row>
    <row r="12594" spans="1:6" x14ac:dyDescent="0.25">
      <c r="A12594" t="s">
        <v>13380</v>
      </c>
      <c r="B12594" t="s">
        <v>2270</v>
      </c>
      <c r="C12594" t="s">
        <v>2265</v>
      </c>
      <c r="D12594" t="str">
        <f>HYPERLINK("http://service.sap.com/sap/support/notes/1843830","1843830")</f>
        <v>1843830</v>
      </c>
      <c r="E12594">
        <v>2</v>
      </c>
      <c r="F12594" t="s">
        <v>9925</v>
      </c>
    </row>
    <row r="12595" spans="1:6" x14ac:dyDescent="0.25">
      <c r="A12595" t="s">
        <v>13380</v>
      </c>
      <c r="B12595" t="s">
        <v>2276</v>
      </c>
      <c r="C12595" t="s">
        <v>2277</v>
      </c>
      <c r="D12595" t="str">
        <f>HYPERLINK("http://service.sap.com/sap/support/notes/1825650","1825650")</f>
        <v>1825650</v>
      </c>
      <c r="E12595">
        <v>2</v>
      </c>
      <c r="F12595" t="s">
        <v>9928</v>
      </c>
    </row>
    <row r="12596" spans="1:6" x14ac:dyDescent="0.25">
      <c r="A12596" t="s">
        <v>13380</v>
      </c>
      <c r="B12596" t="s">
        <v>2279</v>
      </c>
      <c r="C12596" t="s">
        <v>2280</v>
      </c>
    </row>
    <row r="12597" spans="1:6" x14ac:dyDescent="0.25">
      <c r="A12597" t="s">
        <v>13380</v>
      </c>
      <c r="B12597" t="s">
        <v>5413</v>
      </c>
      <c r="C12597" t="s">
        <v>2280</v>
      </c>
      <c r="D12597" t="str">
        <f>HYPERLINK("http://service.sap.com/sap/support/notes/1855498","1855498")</f>
        <v>1855498</v>
      </c>
      <c r="E12597">
        <v>1</v>
      </c>
      <c r="F12597" t="s">
        <v>9931</v>
      </c>
    </row>
    <row r="12598" spans="1:6" x14ac:dyDescent="0.25">
      <c r="A12598" t="s">
        <v>13380</v>
      </c>
      <c r="B12598" t="s">
        <v>13255</v>
      </c>
      <c r="C12598" t="s">
        <v>13256</v>
      </c>
      <c r="D12598" t="str">
        <f>HYPERLINK("http://service.sap.com/sap/support/notes/1857015","1857015")</f>
        <v>1857015</v>
      </c>
      <c r="E12598">
        <v>1</v>
      </c>
      <c r="F12598" t="s">
        <v>13257</v>
      </c>
    </row>
    <row r="12599" spans="1:6" x14ac:dyDescent="0.25">
      <c r="A12599" t="s">
        <v>13380</v>
      </c>
      <c r="B12599" t="s">
        <v>2297</v>
      </c>
      <c r="C12599" t="s">
        <v>7770</v>
      </c>
      <c r="D12599" t="str">
        <f>HYPERLINK("http://service.sap.com/sap/support/notes/1838162","1838162")</f>
        <v>1838162</v>
      </c>
      <c r="E12599">
        <v>2</v>
      </c>
      <c r="F12599" t="s">
        <v>9932</v>
      </c>
    </row>
    <row r="12600" spans="1:6" x14ac:dyDescent="0.25">
      <c r="A12600" t="s">
        <v>13380</v>
      </c>
      <c r="B12600" t="s">
        <v>2299</v>
      </c>
      <c r="C12600" t="s">
        <v>2300</v>
      </c>
      <c r="D12600" t="str">
        <f>HYPERLINK("http://service.sap.com/sap/support/notes/1820406","1820406")</f>
        <v>1820406</v>
      </c>
      <c r="E12600">
        <v>1</v>
      </c>
      <c r="F12600" t="s">
        <v>9934</v>
      </c>
    </row>
    <row r="12601" spans="1:6" x14ac:dyDescent="0.25">
      <c r="A12601" t="s">
        <v>13380</v>
      </c>
      <c r="B12601" t="s">
        <v>2299</v>
      </c>
      <c r="C12601" t="s">
        <v>2300</v>
      </c>
      <c r="D12601" t="str">
        <f>HYPERLINK("http://service.sap.com/sap/support/notes/1835514","1835514")</f>
        <v>1835514</v>
      </c>
      <c r="E12601">
        <v>2</v>
      </c>
      <c r="F12601" t="s">
        <v>9937</v>
      </c>
    </row>
    <row r="12602" spans="1:6" x14ac:dyDescent="0.25">
      <c r="A12602" t="s">
        <v>13380</v>
      </c>
      <c r="B12602" t="s">
        <v>2299</v>
      </c>
      <c r="C12602" t="s">
        <v>2300</v>
      </c>
      <c r="D12602" t="str">
        <f>HYPERLINK("http://service.sap.com/sap/support/notes/1846643","1846643")</f>
        <v>1846643</v>
      </c>
      <c r="E12602">
        <v>1</v>
      </c>
      <c r="F12602" t="s">
        <v>9938</v>
      </c>
    </row>
    <row r="12603" spans="1:6" x14ac:dyDescent="0.25">
      <c r="A12603" t="s">
        <v>13380</v>
      </c>
      <c r="B12603" t="s">
        <v>2299</v>
      </c>
      <c r="C12603" t="s">
        <v>2300</v>
      </c>
      <c r="D12603" t="str">
        <f>HYPERLINK("http://service.sap.com/sap/support/notes/1855996","1855996")</f>
        <v>1855996</v>
      </c>
      <c r="E12603">
        <v>1</v>
      </c>
      <c r="F12603" t="s">
        <v>9939</v>
      </c>
    </row>
    <row r="12604" spans="1:6" x14ac:dyDescent="0.25">
      <c r="A12604" t="s">
        <v>13380</v>
      </c>
      <c r="B12604" t="s">
        <v>9942</v>
      </c>
      <c r="C12604" t="s">
        <v>824</v>
      </c>
    </row>
    <row r="12605" spans="1:6" x14ac:dyDescent="0.25">
      <c r="A12605" t="s">
        <v>13380</v>
      </c>
      <c r="B12605" t="s">
        <v>9943</v>
      </c>
      <c r="C12605" t="s">
        <v>9944</v>
      </c>
      <c r="D12605" t="str">
        <f>HYPERLINK("http://service.sap.com/sap/support/notes/1853783","1853783")</f>
        <v>1853783</v>
      </c>
      <c r="E12605">
        <v>1</v>
      </c>
      <c r="F12605" t="s">
        <v>9945</v>
      </c>
    </row>
    <row r="12606" spans="1:6" x14ac:dyDescent="0.25">
      <c r="A12606" t="s">
        <v>13380</v>
      </c>
      <c r="B12606" t="s">
        <v>9943</v>
      </c>
      <c r="C12606" t="s">
        <v>9944</v>
      </c>
      <c r="D12606" t="str">
        <f>HYPERLINK("http://service.sap.com/sap/support/notes/1855872","1855872")</f>
        <v>1855872</v>
      </c>
      <c r="E12606">
        <v>1</v>
      </c>
      <c r="F12606" t="s">
        <v>9946</v>
      </c>
    </row>
    <row r="12607" spans="1:6" x14ac:dyDescent="0.25">
      <c r="A12607" t="s">
        <v>13380</v>
      </c>
      <c r="B12607" t="s">
        <v>2320</v>
      </c>
      <c r="C12607" t="s">
        <v>2321</v>
      </c>
    </row>
    <row r="12608" spans="1:6" x14ac:dyDescent="0.25">
      <c r="A12608" t="s">
        <v>13380</v>
      </c>
      <c r="B12608" t="s">
        <v>2322</v>
      </c>
      <c r="C12608" t="s">
        <v>2323</v>
      </c>
      <c r="D12608" t="str">
        <f>HYPERLINK("http://service.sap.com/sap/support/notes/1840880","1840880")</f>
        <v>1840880</v>
      </c>
      <c r="E12608">
        <v>1</v>
      </c>
      <c r="F12608" t="s">
        <v>9948</v>
      </c>
    </row>
    <row r="12609" spans="1:6" x14ac:dyDescent="0.25">
      <c r="A12609" t="s">
        <v>13380</v>
      </c>
      <c r="B12609" t="s">
        <v>2322</v>
      </c>
      <c r="C12609" t="s">
        <v>2323</v>
      </c>
      <c r="D12609" t="str">
        <f>HYPERLINK("http://service.sap.com/sap/support/notes/1846935","1846935")</f>
        <v>1846935</v>
      </c>
      <c r="E12609">
        <v>1</v>
      </c>
      <c r="F12609" t="s">
        <v>9949</v>
      </c>
    </row>
    <row r="12610" spans="1:6" x14ac:dyDescent="0.25">
      <c r="A12610" t="s">
        <v>13380</v>
      </c>
      <c r="B12610" t="s">
        <v>2327</v>
      </c>
      <c r="C12610" t="s">
        <v>151</v>
      </c>
    </row>
    <row r="12611" spans="1:6" x14ac:dyDescent="0.25">
      <c r="A12611" t="s">
        <v>13380</v>
      </c>
      <c r="B12611" t="s">
        <v>5433</v>
      </c>
      <c r="C12611" t="s">
        <v>5434</v>
      </c>
      <c r="D12611" t="str">
        <f>HYPERLINK("http://service.sap.com/sap/support/notes/1760355","1760355")</f>
        <v>1760355</v>
      </c>
      <c r="E12611">
        <v>1</v>
      </c>
      <c r="F12611" t="s">
        <v>9950</v>
      </c>
    </row>
    <row r="12612" spans="1:6" x14ac:dyDescent="0.25">
      <c r="A12612" t="s">
        <v>13380</v>
      </c>
      <c r="B12612" t="s">
        <v>5436</v>
      </c>
      <c r="C12612" t="s">
        <v>5437</v>
      </c>
      <c r="D12612" t="str">
        <f>HYPERLINK("http://service.sap.com/sap/support/notes/1826961","1826961")</f>
        <v>1826961</v>
      </c>
      <c r="E12612">
        <v>3</v>
      </c>
      <c r="F12612" t="s">
        <v>5438</v>
      </c>
    </row>
    <row r="12613" spans="1:6" x14ac:dyDescent="0.25">
      <c r="A12613" t="s">
        <v>13380</v>
      </c>
      <c r="B12613" t="s">
        <v>2331</v>
      </c>
      <c r="C12613" t="s">
        <v>1784</v>
      </c>
    </row>
    <row r="12614" spans="1:6" x14ac:dyDescent="0.25">
      <c r="A12614" t="s">
        <v>13380</v>
      </c>
      <c r="B12614" t="s">
        <v>7798</v>
      </c>
      <c r="C12614" t="s">
        <v>7799</v>
      </c>
      <c r="D12614" t="str">
        <f>HYPERLINK("http://service.sap.com/sap/support/notes/1850934","1850934")</f>
        <v>1850934</v>
      </c>
      <c r="E12614">
        <v>1</v>
      </c>
      <c r="F12614" t="s">
        <v>9248</v>
      </c>
    </row>
    <row r="12615" spans="1:6" x14ac:dyDescent="0.25">
      <c r="A12615" t="s">
        <v>13380</v>
      </c>
      <c r="B12615" t="s">
        <v>2332</v>
      </c>
      <c r="C12615" t="s">
        <v>2333</v>
      </c>
      <c r="D12615" t="str">
        <f>HYPERLINK("http://service.sap.com/sap/support/notes/1842063","1842063")</f>
        <v>1842063</v>
      </c>
      <c r="E12615">
        <v>3</v>
      </c>
      <c r="F12615" t="s">
        <v>9952</v>
      </c>
    </row>
    <row r="12616" spans="1:6" x14ac:dyDescent="0.25">
      <c r="A12616" t="s">
        <v>13380</v>
      </c>
      <c r="B12616" t="s">
        <v>2340</v>
      </c>
      <c r="C12616" t="s">
        <v>5445</v>
      </c>
    </row>
    <row r="12617" spans="1:6" x14ac:dyDescent="0.25">
      <c r="A12617" t="s">
        <v>13380</v>
      </c>
      <c r="B12617" t="s">
        <v>2347</v>
      </c>
      <c r="C12617" t="s">
        <v>2348</v>
      </c>
      <c r="D12617" t="str">
        <f>HYPERLINK("http://service.sap.com/sap/support/notes/1840708","1840708")</f>
        <v>1840708</v>
      </c>
      <c r="E12617">
        <v>3</v>
      </c>
      <c r="F12617" t="s">
        <v>9954</v>
      </c>
    </row>
    <row r="12618" spans="1:6" x14ac:dyDescent="0.25">
      <c r="A12618" t="s">
        <v>13380</v>
      </c>
      <c r="B12618" t="s">
        <v>2351</v>
      </c>
      <c r="C12618" t="s">
        <v>2352</v>
      </c>
      <c r="D12618" t="str">
        <f>HYPERLINK("http://service.sap.com/sap/support/notes/1856780","1856780")</f>
        <v>1856780</v>
      </c>
      <c r="E12618">
        <v>2</v>
      </c>
      <c r="F12618" t="s">
        <v>9955</v>
      </c>
    </row>
    <row r="12619" spans="1:6" x14ac:dyDescent="0.25">
      <c r="A12619" t="s">
        <v>13380</v>
      </c>
      <c r="B12619" t="s">
        <v>2358</v>
      </c>
      <c r="C12619" t="s">
        <v>2359</v>
      </c>
      <c r="D12619" t="str">
        <f>HYPERLINK("http://service.sap.com/sap/support/notes/1852620","1852620")</f>
        <v>1852620</v>
      </c>
      <c r="E12619">
        <v>2</v>
      </c>
      <c r="F12619" t="s">
        <v>9957</v>
      </c>
    </row>
    <row r="12620" spans="1:6" x14ac:dyDescent="0.25">
      <c r="A12620" t="s">
        <v>13380</v>
      </c>
      <c r="B12620" t="s">
        <v>2375</v>
      </c>
      <c r="C12620" t="s">
        <v>2376</v>
      </c>
      <c r="D12620" t="str">
        <f>HYPERLINK("http://service.sap.com/sap/support/notes/1836785","1836785")</f>
        <v>1836785</v>
      </c>
      <c r="E12620">
        <v>3</v>
      </c>
      <c r="F12620" t="s">
        <v>9959</v>
      </c>
    </row>
    <row r="12621" spans="1:6" x14ac:dyDescent="0.25">
      <c r="A12621" t="s">
        <v>13380</v>
      </c>
      <c r="B12621" t="s">
        <v>2375</v>
      </c>
      <c r="C12621" t="s">
        <v>2376</v>
      </c>
      <c r="D12621" t="str">
        <f>HYPERLINK("http://service.sap.com/sap/support/notes/1839848","1839848")</f>
        <v>1839848</v>
      </c>
      <c r="E12621">
        <v>3</v>
      </c>
      <c r="F12621" t="s">
        <v>9960</v>
      </c>
    </row>
    <row r="12622" spans="1:6" x14ac:dyDescent="0.25">
      <c r="A12622" t="s">
        <v>13380</v>
      </c>
      <c r="B12622" t="s">
        <v>2375</v>
      </c>
      <c r="C12622" t="s">
        <v>2376</v>
      </c>
      <c r="D12622" t="str">
        <f>HYPERLINK("http://service.sap.com/sap/support/notes/1842841","1842841")</f>
        <v>1842841</v>
      </c>
      <c r="E12622">
        <v>3</v>
      </c>
      <c r="F12622" t="s">
        <v>9961</v>
      </c>
    </row>
    <row r="12623" spans="1:6" x14ac:dyDescent="0.25">
      <c r="A12623" t="s">
        <v>13380</v>
      </c>
      <c r="B12623" t="s">
        <v>2383</v>
      </c>
      <c r="C12623" t="s">
        <v>1638</v>
      </c>
    </row>
    <row r="12624" spans="1:6" x14ac:dyDescent="0.25">
      <c r="A12624" t="s">
        <v>13380</v>
      </c>
      <c r="B12624" t="s">
        <v>2384</v>
      </c>
      <c r="C12624" t="s">
        <v>2385</v>
      </c>
    </row>
    <row r="12625" spans="1:6" x14ac:dyDescent="0.25">
      <c r="A12625" t="s">
        <v>13380</v>
      </c>
      <c r="B12625" t="s">
        <v>2386</v>
      </c>
      <c r="C12625" t="s">
        <v>2387</v>
      </c>
      <c r="D12625" t="str">
        <f>HYPERLINK("http://service.sap.com/sap/support/notes/1669427","1669427")</f>
        <v>1669427</v>
      </c>
      <c r="E12625">
        <v>2</v>
      </c>
      <c r="F12625" t="s">
        <v>13258</v>
      </c>
    </row>
    <row r="12626" spans="1:6" x14ac:dyDescent="0.25">
      <c r="A12626" t="s">
        <v>13380</v>
      </c>
      <c r="B12626" t="s">
        <v>2386</v>
      </c>
      <c r="C12626" t="s">
        <v>2387</v>
      </c>
      <c r="D12626" t="str">
        <f>HYPERLINK("http://service.sap.com/sap/support/notes/1681639","1681639")</f>
        <v>1681639</v>
      </c>
      <c r="E12626">
        <v>2</v>
      </c>
      <c r="F12626" t="s">
        <v>13259</v>
      </c>
    </row>
    <row r="12627" spans="1:6" x14ac:dyDescent="0.25">
      <c r="A12627" t="s">
        <v>13380</v>
      </c>
      <c r="B12627" t="s">
        <v>2386</v>
      </c>
      <c r="C12627" t="s">
        <v>2387</v>
      </c>
      <c r="D12627" t="str">
        <f>HYPERLINK("http://service.sap.com/sap/support/notes/1704255","1704255")</f>
        <v>1704255</v>
      </c>
      <c r="E12627">
        <v>2</v>
      </c>
      <c r="F12627" t="s">
        <v>13260</v>
      </c>
    </row>
    <row r="12628" spans="1:6" x14ac:dyDescent="0.25">
      <c r="A12628" t="s">
        <v>13380</v>
      </c>
      <c r="B12628" t="s">
        <v>2386</v>
      </c>
      <c r="C12628" t="s">
        <v>2387</v>
      </c>
      <c r="D12628" t="str">
        <f>HYPERLINK("http://service.sap.com/sap/support/notes/1706795","1706795")</f>
        <v>1706795</v>
      </c>
      <c r="E12628">
        <v>2</v>
      </c>
      <c r="F12628" t="s">
        <v>13261</v>
      </c>
    </row>
    <row r="12629" spans="1:6" x14ac:dyDescent="0.25">
      <c r="A12629" t="s">
        <v>13380</v>
      </c>
      <c r="B12629" t="s">
        <v>2389</v>
      </c>
      <c r="C12629" t="s">
        <v>2390</v>
      </c>
      <c r="D12629" t="str">
        <f>HYPERLINK("http://service.sap.com/sap/support/notes/1859398","1859398")</f>
        <v>1859398</v>
      </c>
      <c r="E12629">
        <v>1</v>
      </c>
      <c r="F12629" t="s">
        <v>13205</v>
      </c>
    </row>
    <row r="12630" spans="1:6" x14ac:dyDescent="0.25">
      <c r="A12630" t="s">
        <v>13380</v>
      </c>
      <c r="B12630" t="s">
        <v>2389</v>
      </c>
      <c r="C12630" t="s">
        <v>2390</v>
      </c>
      <c r="D12630" t="str">
        <f>HYPERLINK("http://service.sap.com/sap/support/notes/1862863","1862863")</f>
        <v>1862863</v>
      </c>
      <c r="E12630">
        <v>1</v>
      </c>
      <c r="F12630" t="s">
        <v>13262</v>
      </c>
    </row>
    <row r="12631" spans="1:6" x14ac:dyDescent="0.25">
      <c r="A12631" t="s">
        <v>13380</v>
      </c>
      <c r="B12631" t="s">
        <v>2397</v>
      </c>
      <c r="C12631" t="s">
        <v>151</v>
      </c>
      <c r="D12631" t="str">
        <f>HYPERLINK("http://service.sap.com/sap/support/notes/1861000","1861000")</f>
        <v>1861000</v>
      </c>
      <c r="E12631">
        <v>2</v>
      </c>
      <c r="F12631" t="s">
        <v>13263</v>
      </c>
    </row>
    <row r="12632" spans="1:6" x14ac:dyDescent="0.25">
      <c r="A12632" t="s">
        <v>13380</v>
      </c>
      <c r="B12632" t="s">
        <v>5464</v>
      </c>
      <c r="C12632" t="s">
        <v>5465</v>
      </c>
      <c r="D12632" t="str">
        <f>HYPERLINK("http://service.sap.com/sap/support/notes/1651678","1651678")</f>
        <v>1651678</v>
      </c>
      <c r="E12632">
        <v>5</v>
      </c>
      <c r="F12632" t="s">
        <v>5466</v>
      </c>
    </row>
    <row r="12633" spans="1:6" x14ac:dyDescent="0.25">
      <c r="A12633" t="s">
        <v>13380</v>
      </c>
      <c r="B12633" t="s">
        <v>2405</v>
      </c>
      <c r="C12633" t="s">
        <v>978</v>
      </c>
      <c r="D12633" t="str">
        <f>HYPERLINK("http://service.sap.com/sap/support/notes/1840959","1840959")</f>
        <v>1840959</v>
      </c>
      <c r="E12633">
        <v>5</v>
      </c>
      <c r="F12633" t="s">
        <v>9970</v>
      </c>
    </row>
    <row r="12634" spans="1:6" x14ac:dyDescent="0.25">
      <c r="A12634" t="s">
        <v>13380</v>
      </c>
      <c r="B12634" t="s">
        <v>2405</v>
      </c>
      <c r="C12634" t="s">
        <v>978</v>
      </c>
      <c r="D12634" t="str">
        <f>HYPERLINK("http://service.sap.com/sap/support/notes/1857359","1857359")</f>
        <v>1857359</v>
      </c>
      <c r="E12634">
        <v>1</v>
      </c>
      <c r="F12634" t="s">
        <v>9971</v>
      </c>
    </row>
    <row r="12635" spans="1:6" x14ac:dyDescent="0.25">
      <c r="A12635" t="s">
        <v>13380</v>
      </c>
      <c r="B12635" t="s">
        <v>9972</v>
      </c>
      <c r="C12635" t="s">
        <v>9973</v>
      </c>
      <c r="D12635" t="str">
        <f>HYPERLINK("http://service.sap.com/sap/support/notes/1321444","1321444")</f>
        <v>1321444</v>
      </c>
      <c r="E12635">
        <v>10</v>
      </c>
      <c r="F12635" t="s">
        <v>9974</v>
      </c>
    </row>
    <row r="12636" spans="1:6" x14ac:dyDescent="0.25">
      <c r="A12636" t="s">
        <v>13380</v>
      </c>
      <c r="B12636" t="s">
        <v>2409</v>
      </c>
      <c r="C12636" t="s">
        <v>2410</v>
      </c>
      <c r="D12636" t="str">
        <f>HYPERLINK("http://service.sap.com/sap/support/notes/1674251","1674251")</f>
        <v>1674251</v>
      </c>
      <c r="E12636">
        <v>3</v>
      </c>
      <c r="F12636" t="s">
        <v>13264</v>
      </c>
    </row>
    <row r="12637" spans="1:6" x14ac:dyDescent="0.25">
      <c r="A12637" t="s">
        <v>13380</v>
      </c>
      <c r="B12637" t="s">
        <v>2414</v>
      </c>
      <c r="C12637" t="s">
        <v>2415</v>
      </c>
      <c r="D12637" t="str">
        <f>HYPERLINK("http://service.sap.com/sap/support/notes/1835798","1835798")</f>
        <v>1835798</v>
      </c>
      <c r="E12637">
        <v>4</v>
      </c>
      <c r="F12637" t="s">
        <v>9976</v>
      </c>
    </row>
    <row r="12638" spans="1:6" x14ac:dyDescent="0.25">
      <c r="A12638" t="s">
        <v>13380</v>
      </c>
      <c r="B12638" t="s">
        <v>9977</v>
      </c>
      <c r="C12638" t="s">
        <v>9978</v>
      </c>
      <c r="D12638" t="str">
        <f>HYPERLINK("http://service.sap.com/sap/support/notes/1856723","1856723")</f>
        <v>1856723</v>
      </c>
      <c r="E12638">
        <v>3</v>
      </c>
      <c r="F12638" t="s">
        <v>9979</v>
      </c>
    </row>
    <row r="12639" spans="1:6" x14ac:dyDescent="0.25">
      <c r="A12639" t="s">
        <v>13380</v>
      </c>
      <c r="B12639" t="s">
        <v>9977</v>
      </c>
      <c r="C12639" t="s">
        <v>9978</v>
      </c>
      <c r="D12639" t="str">
        <f>HYPERLINK("http://service.sap.com/sap/support/notes/1862084","1862084")</f>
        <v>1862084</v>
      </c>
      <c r="E12639">
        <v>1</v>
      </c>
      <c r="F12639" t="s">
        <v>9980</v>
      </c>
    </row>
    <row r="12640" spans="1:6" x14ac:dyDescent="0.25">
      <c r="A12640" t="s">
        <v>13380</v>
      </c>
      <c r="B12640" t="s">
        <v>2421</v>
      </c>
      <c r="C12640" t="s">
        <v>2422</v>
      </c>
      <c r="D12640" t="str">
        <f>HYPERLINK("http://service.sap.com/sap/support/notes/1827920","1827920")</f>
        <v>1827920</v>
      </c>
      <c r="E12640">
        <v>7</v>
      </c>
      <c r="F12640" t="s">
        <v>9984</v>
      </c>
    </row>
    <row r="12641" spans="1:6" x14ac:dyDescent="0.25">
      <c r="A12641" t="s">
        <v>13380</v>
      </c>
      <c r="B12641" t="s">
        <v>2421</v>
      </c>
      <c r="C12641" t="s">
        <v>2422</v>
      </c>
      <c r="D12641" t="str">
        <f>HYPERLINK("http://service.sap.com/sap/support/notes/1836499","1836499")</f>
        <v>1836499</v>
      </c>
      <c r="E12641">
        <v>6</v>
      </c>
      <c r="F12641" t="s">
        <v>9985</v>
      </c>
    </row>
    <row r="12642" spans="1:6" x14ac:dyDescent="0.25">
      <c r="A12642" t="s">
        <v>13380</v>
      </c>
      <c r="B12642" t="s">
        <v>2421</v>
      </c>
      <c r="C12642" t="s">
        <v>2422</v>
      </c>
      <c r="D12642" t="str">
        <f>HYPERLINK("http://service.sap.com/sap/support/notes/1843560","1843560")</f>
        <v>1843560</v>
      </c>
      <c r="E12642">
        <v>2</v>
      </c>
      <c r="F12642" t="s">
        <v>9986</v>
      </c>
    </row>
    <row r="12643" spans="1:6" x14ac:dyDescent="0.25">
      <c r="A12643" t="s">
        <v>13380</v>
      </c>
      <c r="B12643" t="s">
        <v>2421</v>
      </c>
      <c r="C12643" t="s">
        <v>2422</v>
      </c>
      <c r="D12643" t="str">
        <f>HYPERLINK("http://service.sap.com/sap/support/notes/1848569","1848569")</f>
        <v>1848569</v>
      </c>
      <c r="E12643">
        <v>2</v>
      </c>
      <c r="F12643" t="s">
        <v>9987</v>
      </c>
    </row>
    <row r="12644" spans="1:6" x14ac:dyDescent="0.25">
      <c r="A12644" t="s">
        <v>13380</v>
      </c>
      <c r="B12644" t="s">
        <v>2424</v>
      </c>
      <c r="C12644" t="s">
        <v>2425</v>
      </c>
      <c r="D12644" t="str">
        <f>HYPERLINK("http://service.sap.com/sap/support/notes/1844504","1844504")</f>
        <v>1844504</v>
      </c>
      <c r="E12644">
        <v>1</v>
      </c>
      <c r="F12644" t="s">
        <v>13265</v>
      </c>
    </row>
    <row r="12645" spans="1:6" x14ac:dyDescent="0.25">
      <c r="A12645" t="s">
        <v>13380</v>
      </c>
      <c r="B12645" t="s">
        <v>2424</v>
      </c>
      <c r="C12645" t="s">
        <v>2425</v>
      </c>
      <c r="D12645" t="str">
        <f>HYPERLINK("http://service.sap.com/sap/support/notes/1860456","1860456")</f>
        <v>1860456</v>
      </c>
      <c r="E12645">
        <v>3</v>
      </c>
      <c r="F12645" t="s">
        <v>9048</v>
      </c>
    </row>
    <row r="12646" spans="1:6" x14ac:dyDescent="0.25">
      <c r="A12646" t="s">
        <v>13380</v>
      </c>
      <c r="B12646" t="s">
        <v>2434</v>
      </c>
      <c r="C12646" t="s">
        <v>2435</v>
      </c>
      <c r="D12646" t="str">
        <f>HYPERLINK("http://service.sap.com/sap/support/notes/1843636","1843636")</f>
        <v>1843636</v>
      </c>
      <c r="E12646">
        <v>4</v>
      </c>
      <c r="F12646" t="s">
        <v>9993</v>
      </c>
    </row>
    <row r="12647" spans="1:6" x14ac:dyDescent="0.25">
      <c r="A12647" t="s">
        <v>13380</v>
      </c>
      <c r="B12647" t="s">
        <v>2439</v>
      </c>
      <c r="C12647" t="s">
        <v>1743</v>
      </c>
      <c r="D12647" t="str">
        <f>HYPERLINK("http://service.sap.com/sap/support/notes/1684314","1684314")</f>
        <v>1684314</v>
      </c>
      <c r="E12647">
        <v>4</v>
      </c>
      <c r="F12647" t="s">
        <v>13266</v>
      </c>
    </row>
    <row r="12648" spans="1:6" x14ac:dyDescent="0.25">
      <c r="A12648" t="s">
        <v>13380</v>
      </c>
      <c r="B12648" t="s">
        <v>2439</v>
      </c>
      <c r="C12648" t="s">
        <v>1743</v>
      </c>
      <c r="D12648" t="str">
        <f>HYPERLINK("http://service.sap.com/sap/support/notes/1685394","1685394")</f>
        <v>1685394</v>
      </c>
      <c r="E12648">
        <v>3</v>
      </c>
      <c r="F12648" t="s">
        <v>13267</v>
      </c>
    </row>
    <row r="12649" spans="1:6" x14ac:dyDescent="0.25">
      <c r="A12649" t="s">
        <v>13380</v>
      </c>
      <c r="B12649" t="s">
        <v>2439</v>
      </c>
      <c r="C12649" t="s">
        <v>1743</v>
      </c>
      <c r="D12649" t="str">
        <f>HYPERLINK("http://service.sap.com/sap/support/notes/1689764","1689764")</f>
        <v>1689764</v>
      </c>
      <c r="E12649">
        <v>2</v>
      </c>
      <c r="F12649" t="s">
        <v>13268</v>
      </c>
    </row>
    <row r="12650" spans="1:6" x14ac:dyDescent="0.25">
      <c r="A12650" t="s">
        <v>13380</v>
      </c>
      <c r="B12650" t="s">
        <v>2439</v>
      </c>
      <c r="C12650" t="s">
        <v>1743</v>
      </c>
      <c r="D12650" t="str">
        <f>HYPERLINK("http://service.sap.com/sap/support/notes/1814008","1814008")</f>
        <v>1814008</v>
      </c>
      <c r="E12650">
        <v>2</v>
      </c>
      <c r="F12650" t="s">
        <v>10001</v>
      </c>
    </row>
    <row r="12651" spans="1:6" x14ac:dyDescent="0.25">
      <c r="A12651" t="s">
        <v>13380</v>
      </c>
      <c r="B12651" t="s">
        <v>2439</v>
      </c>
      <c r="C12651" t="s">
        <v>1743</v>
      </c>
      <c r="D12651" t="str">
        <f>HYPERLINK("http://service.sap.com/sap/support/notes/1821978","1821978")</f>
        <v>1821978</v>
      </c>
      <c r="E12651">
        <v>4</v>
      </c>
      <c r="F12651" t="s">
        <v>10002</v>
      </c>
    </row>
    <row r="12652" spans="1:6" x14ac:dyDescent="0.25">
      <c r="A12652" t="s">
        <v>13380</v>
      </c>
      <c r="B12652" t="s">
        <v>2439</v>
      </c>
      <c r="C12652" t="s">
        <v>1743</v>
      </c>
      <c r="D12652" t="str">
        <f>HYPERLINK("http://service.sap.com/sap/support/notes/1847556","1847556")</f>
        <v>1847556</v>
      </c>
      <c r="E12652">
        <v>4</v>
      </c>
      <c r="F12652" t="s">
        <v>10005</v>
      </c>
    </row>
    <row r="12653" spans="1:6" x14ac:dyDescent="0.25">
      <c r="A12653" t="s">
        <v>13380</v>
      </c>
      <c r="B12653" t="s">
        <v>2439</v>
      </c>
      <c r="C12653" t="s">
        <v>1743</v>
      </c>
      <c r="D12653" t="str">
        <f>HYPERLINK("http://service.sap.com/sap/support/notes/1848896","1848896")</f>
        <v>1848896</v>
      </c>
      <c r="E12653">
        <v>3</v>
      </c>
      <c r="F12653" t="s">
        <v>10006</v>
      </c>
    </row>
    <row r="12654" spans="1:6" x14ac:dyDescent="0.25">
      <c r="A12654" t="s">
        <v>13380</v>
      </c>
      <c r="B12654" t="s">
        <v>2439</v>
      </c>
      <c r="C12654" t="s">
        <v>1743</v>
      </c>
      <c r="D12654" t="str">
        <f>HYPERLINK("http://service.sap.com/sap/support/notes/1864827","1864827")</f>
        <v>1864827</v>
      </c>
      <c r="E12654">
        <v>3</v>
      </c>
      <c r="F12654" t="s">
        <v>11899</v>
      </c>
    </row>
    <row r="12655" spans="1:6" x14ac:dyDescent="0.25">
      <c r="A12655" t="s">
        <v>13380</v>
      </c>
      <c r="B12655" t="s">
        <v>7866</v>
      </c>
      <c r="C12655" t="s">
        <v>3242</v>
      </c>
      <c r="D12655" t="str">
        <f>HYPERLINK("http://service.sap.com/sap/support/notes/1841436","1841436")</f>
        <v>1841436</v>
      </c>
      <c r="E12655">
        <v>2</v>
      </c>
      <c r="F12655" t="s">
        <v>10009</v>
      </c>
    </row>
    <row r="12656" spans="1:6" x14ac:dyDescent="0.25">
      <c r="A12656" t="s">
        <v>13380</v>
      </c>
      <c r="B12656" t="s">
        <v>7868</v>
      </c>
      <c r="C12656" t="s">
        <v>7869</v>
      </c>
      <c r="D12656" t="str">
        <f>HYPERLINK("http://service.sap.com/sap/support/notes/1826346","1826346")</f>
        <v>1826346</v>
      </c>
      <c r="E12656">
        <v>5</v>
      </c>
      <c r="F12656" t="s">
        <v>10010</v>
      </c>
    </row>
    <row r="12657" spans="1:6" x14ac:dyDescent="0.25">
      <c r="A12657" t="s">
        <v>13380</v>
      </c>
      <c r="B12657" t="s">
        <v>5497</v>
      </c>
      <c r="C12657" t="s">
        <v>5498</v>
      </c>
      <c r="D12657" t="str">
        <f>HYPERLINK("http://service.sap.com/sap/support/notes/1461537","1461537")</f>
        <v>1461537</v>
      </c>
      <c r="E12657">
        <v>7</v>
      </c>
      <c r="F12657" t="s">
        <v>10013</v>
      </c>
    </row>
    <row r="12658" spans="1:6" x14ac:dyDescent="0.25">
      <c r="A12658" t="s">
        <v>13380</v>
      </c>
      <c r="B12658" t="s">
        <v>2472</v>
      </c>
      <c r="C12658" t="s">
        <v>2473</v>
      </c>
      <c r="D12658" t="str">
        <f>HYPERLINK("http://service.sap.com/sap/support/notes/1647618","1647618")</f>
        <v>1647618</v>
      </c>
      <c r="E12658">
        <v>5</v>
      </c>
      <c r="F12658" t="s">
        <v>13269</v>
      </c>
    </row>
    <row r="12659" spans="1:6" x14ac:dyDescent="0.25">
      <c r="A12659" t="s">
        <v>13380</v>
      </c>
      <c r="B12659" t="s">
        <v>2472</v>
      </c>
      <c r="C12659" t="s">
        <v>2473</v>
      </c>
      <c r="D12659" t="str">
        <f>HYPERLINK("http://service.sap.com/sap/support/notes/1666168","1666168")</f>
        <v>1666168</v>
      </c>
      <c r="E12659">
        <v>3</v>
      </c>
      <c r="F12659" t="s">
        <v>13270</v>
      </c>
    </row>
    <row r="12660" spans="1:6" x14ac:dyDescent="0.25">
      <c r="A12660" t="s">
        <v>13380</v>
      </c>
      <c r="B12660" t="s">
        <v>2476</v>
      </c>
      <c r="C12660" t="s">
        <v>2477</v>
      </c>
      <c r="D12660" t="str">
        <f>HYPERLINK("http://service.sap.com/sap/support/notes/1716774","1716774")</f>
        <v>1716774</v>
      </c>
      <c r="E12660">
        <v>4</v>
      </c>
      <c r="F12660" t="s">
        <v>10018</v>
      </c>
    </row>
    <row r="12661" spans="1:6" x14ac:dyDescent="0.25">
      <c r="A12661" t="s">
        <v>13380</v>
      </c>
      <c r="B12661" t="s">
        <v>2476</v>
      </c>
      <c r="C12661" t="s">
        <v>2477</v>
      </c>
      <c r="D12661" t="str">
        <f>HYPERLINK("http://service.sap.com/sap/support/notes/1850935","1850935")</f>
        <v>1850935</v>
      </c>
      <c r="E12661">
        <v>1</v>
      </c>
      <c r="F12661" t="s">
        <v>10021</v>
      </c>
    </row>
    <row r="12662" spans="1:6" x14ac:dyDescent="0.25">
      <c r="A12662" t="s">
        <v>13380</v>
      </c>
      <c r="B12662" t="s">
        <v>2480</v>
      </c>
      <c r="C12662" t="s">
        <v>2481</v>
      </c>
      <c r="D12662" t="str">
        <f>HYPERLINK("http://service.sap.com/sap/support/notes/1662973","1662973")</f>
        <v>1662973</v>
      </c>
      <c r="E12662">
        <v>4</v>
      </c>
      <c r="F12662" t="s">
        <v>13271</v>
      </c>
    </row>
    <row r="12663" spans="1:6" x14ac:dyDescent="0.25">
      <c r="A12663" t="s">
        <v>13380</v>
      </c>
      <c r="B12663" t="s">
        <v>2480</v>
      </c>
      <c r="C12663" t="s">
        <v>2481</v>
      </c>
      <c r="D12663" t="str">
        <f>HYPERLINK("http://service.sap.com/sap/support/notes/1689219","1689219")</f>
        <v>1689219</v>
      </c>
      <c r="E12663">
        <v>4</v>
      </c>
      <c r="F12663" t="s">
        <v>13272</v>
      </c>
    </row>
    <row r="12664" spans="1:6" x14ac:dyDescent="0.25">
      <c r="A12664" t="s">
        <v>13380</v>
      </c>
      <c r="B12664" t="s">
        <v>2483</v>
      </c>
      <c r="C12664" t="s">
        <v>2277</v>
      </c>
      <c r="D12664" t="str">
        <f>HYPERLINK("http://service.sap.com/sap/support/notes/1735955","1735955")</f>
        <v>1735955</v>
      </c>
      <c r="E12664">
        <v>2</v>
      </c>
      <c r="F12664" t="s">
        <v>10023</v>
      </c>
    </row>
    <row r="12665" spans="1:6" x14ac:dyDescent="0.25">
      <c r="A12665" t="s">
        <v>13380</v>
      </c>
      <c r="B12665" t="s">
        <v>2486</v>
      </c>
      <c r="C12665" t="s">
        <v>2487</v>
      </c>
      <c r="D12665" t="str">
        <f>HYPERLINK("http://service.sap.com/sap/support/notes/1707926","1707926")</f>
        <v>1707926</v>
      </c>
      <c r="E12665">
        <v>6</v>
      </c>
      <c r="F12665" t="s">
        <v>10024</v>
      </c>
    </row>
    <row r="12666" spans="1:6" x14ac:dyDescent="0.25">
      <c r="A12666" t="s">
        <v>13380</v>
      </c>
      <c r="B12666" t="s">
        <v>2486</v>
      </c>
      <c r="C12666" t="s">
        <v>2487</v>
      </c>
      <c r="D12666" t="str">
        <f>HYPERLINK("http://service.sap.com/sap/support/notes/1844735","1844735")</f>
        <v>1844735</v>
      </c>
      <c r="E12666">
        <v>3</v>
      </c>
      <c r="F12666" t="s">
        <v>10025</v>
      </c>
    </row>
    <row r="12667" spans="1:6" x14ac:dyDescent="0.25">
      <c r="A12667" t="s">
        <v>13380</v>
      </c>
      <c r="B12667" t="s">
        <v>2486</v>
      </c>
      <c r="C12667" t="s">
        <v>2487</v>
      </c>
      <c r="D12667" t="str">
        <f>HYPERLINK("http://service.sap.com/sap/support/notes/1864606","1864606")</f>
        <v>1864606</v>
      </c>
      <c r="E12667">
        <v>1</v>
      </c>
      <c r="F12667" t="s">
        <v>10026</v>
      </c>
    </row>
    <row r="12668" spans="1:6" x14ac:dyDescent="0.25">
      <c r="A12668" t="s">
        <v>13380</v>
      </c>
      <c r="B12668" t="s">
        <v>7891</v>
      </c>
      <c r="C12668" t="s">
        <v>7892</v>
      </c>
    </row>
    <row r="12669" spans="1:6" x14ac:dyDescent="0.25">
      <c r="A12669" t="s">
        <v>13380</v>
      </c>
      <c r="B12669" t="s">
        <v>7893</v>
      </c>
      <c r="C12669" t="s">
        <v>7894</v>
      </c>
      <c r="D12669" t="str">
        <f>HYPERLINK("http://service.sap.com/sap/support/notes/1849260","1849260")</f>
        <v>1849260</v>
      </c>
      <c r="E12669">
        <v>1</v>
      </c>
      <c r="F12669" t="s">
        <v>10031</v>
      </c>
    </row>
    <row r="12670" spans="1:6" x14ac:dyDescent="0.25">
      <c r="A12670" t="s">
        <v>13380</v>
      </c>
      <c r="B12670" t="s">
        <v>10032</v>
      </c>
      <c r="C12670" t="s">
        <v>10033</v>
      </c>
      <c r="D12670" t="str">
        <f>HYPERLINK("http://service.sap.com/sap/support/notes/1843716","1843716")</f>
        <v>1843716</v>
      </c>
      <c r="E12670">
        <v>2</v>
      </c>
      <c r="F12670" t="s">
        <v>10034</v>
      </c>
    </row>
    <row r="12671" spans="1:6" x14ac:dyDescent="0.25">
      <c r="A12671" t="s">
        <v>13380</v>
      </c>
      <c r="B12671" t="s">
        <v>10035</v>
      </c>
      <c r="C12671" t="s">
        <v>10036</v>
      </c>
      <c r="D12671" t="str">
        <f>HYPERLINK("http://service.sap.com/sap/support/notes/1862409","1862409")</f>
        <v>1862409</v>
      </c>
      <c r="E12671">
        <v>1</v>
      </c>
      <c r="F12671" t="s">
        <v>10037</v>
      </c>
    </row>
    <row r="12672" spans="1:6" x14ac:dyDescent="0.25">
      <c r="A12672" t="s">
        <v>13380</v>
      </c>
      <c r="B12672" t="s">
        <v>2493</v>
      </c>
      <c r="C12672" t="s">
        <v>2494</v>
      </c>
      <c r="D12672" t="str">
        <f>HYPERLINK("http://service.sap.com/sap/support/notes/1828217","1828217")</f>
        <v>1828217</v>
      </c>
      <c r="E12672">
        <v>2</v>
      </c>
      <c r="F12672" t="s">
        <v>10038</v>
      </c>
    </row>
    <row r="12673" spans="1:6" x14ac:dyDescent="0.25">
      <c r="A12673" t="s">
        <v>13380</v>
      </c>
      <c r="B12673" t="s">
        <v>2500</v>
      </c>
      <c r="C12673" t="s">
        <v>2501</v>
      </c>
      <c r="D12673" t="str">
        <f>HYPERLINK("http://service.sap.com/sap/support/notes/1679295","1679295")</f>
        <v>1679295</v>
      </c>
      <c r="E12673">
        <v>2</v>
      </c>
      <c r="F12673" t="s">
        <v>13273</v>
      </c>
    </row>
    <row r="12674" spans="1:6" x14ac:dyDescent="0.25">
      <c r="A12674" t="s">
        <v>13380</v>
      </c>
      <c r="B12674" t="s">
        <v>2500</v>
      </c>
      <c r="C12674" t="s">
        <v>2501</v>
      </c>
      <c r="D12674" t="str">
        <f>HYPERLINK("http://service.sap.com/sap/support/notes/1681463","1681463")</f>
        <v>1681463</v>
      </c>
      <c r="E12674">
        <v>2</v>
      </c>
      <c r="F12674" t="s">
        <v>13274</v>
      </c>
    </row>
    <row r="12675" spans="1:6" x14ac:dyDescent="0.25">
      <c r="A12675" t="s">
        <v>13380</v>
      </c>
      <c r="B12675" t="s">
        <v>2500</v>
      </c>
      <c r="C12675" t="s">
        <v>2501</v>
      </c>
      <c r="D12675" t="str">
        <f>HYPERLINK("http://service.sap.com/sap/support/notes/1684859","1684859")</f>
        <v>1684859</v>
      </c>
      <c r="E12675">
        <v>4</v>
      </c>
      <c r="F12675" t="s">
        <v>13275</v>
      </c>
    </row>
    <row r="12676" spans="1:6" x14ac:dyDescent="0.25">
      <c r="A12676" t="s">
        <v>13380</v>
      </c>
      <c r="B12676" t="s">
        <v>2500</v>
      </c>
      <c r="C12676" t="s">
        <v>2501</v>
      </c>
      <c r="D12676" t="str">
        <f>HYPERLINK("http://service.sap.com/sap/support/notes/1843437","1843437")</f>
        <v>1843437</v>
      </c>
      <c r="E12676">
        <v>2</v>
      </c>
      <c r="F12676" t="s">
        <v>10042</v>
      </c>
    </row>
    <row r="12677" spans="1:6" x14ac:dyDescent="0.25">
      <c r="A12677" t="s">
        <v>13380</v>
      </c>
      <c r="B12677" t="s">
        <v>2515</v>
      </c>
      <c r="C12677" t="s">
        <v>2516</v>
      </c>
      <c r="D12677" t="str">
        <f>HYPERLINK("http://service.sap.com/sap/support/notes/1813320","1813320")</f>
        <v>1813320</v>
      </c>
      <c r="E12677">
        <v>3</v>
      </c>
      <c r="F12677" t="s">
        <v>10045</v>
      </c>
    </row>
    <row r="12678" spans="1:6" x14ac:dyDescent="0.25">
      <c r="A12678" t="s">
        <v>13380</v>
      </c>
      <c r="B12678" t="s">
        <v>2515</v>
      </c>
      <c r="C12678" t="s">
        <v>2516</v>
      </c>
      <c r="D12678" t="str">
        <f>HYPERLINK("http://service.sap.com/sap/support/notes/1839205","1839205")</f>
        <v>1839205</v>
      </c>
      <c r="E12678">
        <v>3</v>
      </c>
      <c r="F12678" t="s">
        <v>10047</v>
      </c>
    </row>
    <row r="12679" spans="1:6" x14ac:dyDescent="0.25">
      <c r="A12679" t="s">
        <v>13380</v>
      </c>
      <c r="B12679" t="s">
        <v>2518</v>
      </c>
      <c r="C12679" t="s">
        <v>2519</v>
      </c>
      <c r="D12679" t="str">
        <f>HYPERLINK("http://service.sap.com/sap/support/notes/1821463","1821463")</f>
        <v>1821463</v>
      </c>
      <c r="E12679">
        <v>2</v>
      </c>
      <c r="F12679" t="s">
        <v>10049</v>
      </c>
    </row>
    <row r="12680" spans="1:6" x14ac:dyDescent="0.25">
      <c r="A12680" t="s">
        <v>13380</v>
      </c>
      <c r="B12680" t="s">
        <v>2518</v>
      </c>
      <c r="C12680" t="s">
        <v>2519</v>
      </c>
      <c r="D12680" t="str">
        <f>HYPERLINK("http://service.sap.com/sap/support/notes/1834722","1834722")</f>
        <v>1834722</v>
      </c>
      <c r="E12680">
        <v>2</v>
      </c>
      <c r="F12680" t="s">
        <v>10050</v>
      </c>
    </row>
    <row r="12681" spans="1:6" x14ac:dyDescent="0.25">
      <c r="A12681" t="s">
        <v>13380</v>
      </c>
      <c r="B12681" t="s">
        <v>2518</v>
      </c>
      <c r="C12681" t="s">
        <v>2519</v>
      </c>
      <c r="D12681" t="str">
        <f>HYPERLINK("http://service.sap.com/sap/support/notes/1836034","1836034")</f>
        <v>1836034</v>
      </c>
      <c r="E12681">
        <v>5</v>
      </c>
      <c r="F12681" t="s">
        <v>10051</v>
      </c>
    </row>
    <row r="12682" spans="1:6" x14ac:dyDescent="0.25">
      <c r="A12682" t="s">
        <v>13380</v>
      </c>
      <c r="B12682" t="s">
        <v>2518</v>
      </c>
      <c r="C12682" t="s">
        <v>2519</v>
      </c>
      <c r="D12682" t="str">
        <f>HYPERLINK("http://service.sap.com/sap/support/notes/1847044","1847044")</f>
        <v>1847044</v>
      </c>
      <c r="E12682">
        <v>1</v>
      </c>
      <c r="F12682" t="s">
        <v>10052</v>
      </c>
    </row>
    <row r="12683" spans="1:6" x14ac:dyDescent="0.25">
      <c r="A12683" t="s">
        <v>13380</v>
      </c>
      <c r="B12683" t="s">
        <v>2518</v>
      </c>
      <c r="C12683" t="s">
        <v>2519</v>
      </c>
      <c r="D12683" t="str">
        <f>HYPERLINK("http://service.sap.com/sap/support/notes/1854472","1854472")</f>
        <v>1854472</v>
      </c>
      <c r="E12683">
        <v>1</v>
      </c>
      <c r="F12683" t="s">
        <v>10053</v>
      </c>
    </row>
    <row r="12684" spans="1:6" x14ac:dyDescent="0.25">
      <c r="A12684" t="s">
        <v>13380</v>
      </c>
      <c r="B12684" t="s">
        <v>2518</v>
      </c>
      <c r="C12684" t="s">
        <v>2519</v>
      </c>
      <c r="D12684" t="str">
        <f>HYPERLINK("http://service.sap.com/sap/support/notes/1858798","1858798")</f>
        <v>1858798</v>
      </c>
      <c r="E12684">
        <v>2</v>
      </c>
      <c r="F12684" t="s">
        <v>13276</v>
      </c>
    </row>
    <row r="12685" spans="1:6" x14ac:dyDescent="0.25">
      <c r="A12685" t="s">
        <v>13380</v>
      </c>
      <c r="B12685" t="s">
        <v>2524</v>
      </c>
      <c r="C12685" t="s">
        <v>2525</v>
      </c>
      <c r="D12685" t="str">
        <f>HYPERLINK("http://service.sap.com/sap/support/notes/1691120","1691120")</f>
        <v>1691120</v>
      </c>
      <c r="E12685">
        <v>4</v>
      </c>
      <c r="F12685" t="s">
        <v>13277</v>
      </c>
    </row>
    <row r="12686" spans="1:6" x14ac:dyDescent="0.25">
      <c r="A12686" t="s">
        <v>13380</v>
      </c>
      <c r="B12686" t="s">
        <v>2524</v>
      </c>
      <c r="C12686" t="s">
        <v>2525</v>
      </c>
      <c r="D12686" t="str">
        <f>HYPERLINK("http://service.sap.com/sap/support/notes/1838294","1838294")</f>
        <v>1838294</v>
      </c>
      <c r="E12686">
        <v>2</v>
      </c>
      <c r="F12686" t="s">
        <v>11833</v>
      </c>
    </row>
    <row r="12687" spans="1:6" x14ac:dyDescent="0.25">
      <c r="A12687" t="s">
        <v>13380</v>
      </c>
      <c r="B12687" t="s">
        <v>2524</v>
      </c>
      <c r="C12687" t="s">
        <v>2525</v>
      </c>
      <c r="D12687" t="str">
        <f>HYPERLINK("http://service.sap.com/sap/support/notes/1850041","1850041")</f>
        <v>1850041</v>
      </c>
      <c r="E12687">
        <v>1</v>
      </c>
      <c r="F12687" t="s">
        <v>13278</v>
      </c>
    </row>
    <row r="12688" spans="1:6" x14ac:dyDescent="0.25">
      <c r="A12688" t="s">
        <v>13380</v>
      </c>
      <c r="B12688" t="s">
        <v>2524</v>
      </c>
      <c r="C12688" t="s">
        <v>2525</v>
      </c>
      <c r="D12688" t="str">
        <f>HYPERLINK("http://service.sap.com/sap/support/notes/1861876","1861876")</f>
        <v>1861876</v>
      </c>
      <c r="E12688">
        <v>1</v>
      </c>
      <c r="F12688" t="s">
        <v>13279</v>
      </c>
    </row>
    <row r="12689" spans="1:6" x14ac:dyDescent="0.25">
      <c r="A12689" t="s">
        <v>13380</v>
      </c>
      <c r="B12689" t="s">
        <v>2545</v>
      </c>
      <c r="C12689" t="s">
        <v>2546</v>
      </c>
      <c r="D12689" t="str">
        <f>HYPERLINK("http://service.sap.com/sap/support/notes/704948","704948")</f>
        <v>704948</v>
      </c>
      <c r="E12689">
        <v>5</v>
      </c>
      <c r="F12689" t="s">
        <v>10061</v>
      </c>
    </row>
    <row r="12690" spans="1:6" x14ac:dyDescent="0.25">
      <c r="A12690" t="s">
        <v>13380</v>
      </c>
      <c r="B12690" t="s">
        <v>2545</v>
      </c>
      <c r="C12690" t="s">
        <v>2546</v>
      </c>
      <c r="D12690" t="str">
        <f>HYPERLINK("http://service.sap.com/sap/support/notes/1790295","1790295")</f>
        <v>1790295</v>
      </c>
      <c r="E12690">
        <v>3</v>
      </c>
      <c r="F12690" t="s">
        <v>10062</v>
      </c>
    </row>
    <row r="12691" spans="1:6" x14ac:dyDescent="0.25">
      <c r="A12691" t="s">
        <v>13380</v>
      </c>
      <c r="B12691" t="s">
        <v>2545</v>
      </c>
      <c r="C12691" t="s">
        <v>2546</v>
      </c>
      <c r="D12691" t="str">
        <f>HYPERLINK("http://service.sap.com/sap/support/notes/1849180","1849180")</f>
        <v>1849180</v>
      </c>
      <c r="E12691">
        <v>1</v>
      </c>
      <c r="F12691" t="s">
        <v>10065</v>
      </c>
    </row>
    <row r="12692" spans="1:6" x14ac:dyDescent="0.25">
      <c r="A12692" t="s">
        <v>13380</v>
      </c>
      <c r="B12692" t="s">
        <v>2553</v>
      </c>
      <c r="C12692" t="s">
        <v>5542</v>
      </c>
      <c r="D12692" t="str">
        <f>HYPERLINK("http://service.sap.com/sap/support/notes/1813083","1813083")</f>
        <v>1813083</v>
      </c>
      <c r="E12692">
        <v>3</v>
      </c>
      <c r="F12692" t="s">
        <v>10067</v>
      </c>
    </row>
    <row r="12693" spans="1:6" x14ac:dyDescent="0.25">
      <c r="A12693" t="s">
        <v>13380</v>
      </c>
      <c r="B12693" t="s">
        <v>2555</v>
      </c>
      <c r="C12693" t="s">
        <v>2556</v>
      </c>
      <c r="D12693" t="str">
        <f>HYPERLINK("http://service.sap.com/sap/support/notes/1688935","1688935")</f>
        <v>1688935</v>
      </c>
      <c r="E12693">
        <v>2</v>
      </c>
      <c r="F12693" t="s">
        <v>13280</v>
      </c>
    </row>
    <row r="12694" spans="1:6" x14ac:dyDescent="0.25">
      <c r="A12694" t="s">
        <v>13380</v>
      </c>
      <c r="B12694" t="s">
        <v>2555</v>
      </c>
      <c r="C12694" t="s">
        <v>2556</v>
      </c>
      <c r="D12694" t="str">
        <f>HYPERLINK("http://service.sap.com/sap/support/notes/1839927","1839927")</f>
        <v>1839927</v>
      </c>
      <c r="E12694">
        <v>8</v>
      </c>
      <c r="F12694" t="s">
        <v>10070</v>
      </c>
    </row>
    <row r="12695" spans="1:6" x14ac:dyDescent="0.25">
      <c r="A12695" t="s">
        <v>13380</v>
      </c>
      <c r="B12695" t="s">
        <v>2562</v>
      </c>
      <c r="C12695" t="s">
        <v>2563</v>
      </c>
      <c r="D12695" t="str">
        <f>HYPERLINK("http://service.sap.com/sap/support/notes/1841200","1841200")</f>
        <v>1841200</v>
      </c>
      <c r="E12695">
        <v>2</v>
      </c>
      <c r="F12695" t="s">
        <v>10071</v>
      </c>
    </row>
    <row r="12696" spans="1:6" x14ac:dyDescent="0.25">
      <c r="A12696" t="s">
        <v>13380</v>
      </c>
      <c r="B12696" t="s">
        <v>2570</v>
      </c>
      <c r="C12696" t="s">
        <v>2571</v>
      </c>
      <c r="D12696" t="str">
        <f>HYPERLINK("http://service.sap.com/sap/support/notes/1853699","1853699")</f>
        <v>1853699</v>
      </c>
      <c r="E12696">
        <v>1</v>
      </c>
      <c r="F12696" t="s">
        <v>13281</v>
      </c>
    </row>
    <row r="12697" spans="1:6" x14ac:dyDescent="0.25">
      <c r="A12697" t="s">
        <v>13380</v>
      </c>
      <c r="B12697" t="s">
        <v>2570</v>
      </c>
      <c r="C12697" t="s">
        <v>2571</v>
      </c>
      <c r="D12697" t="str">
        <f>HYPERLINK("http://service.sap.com/sap/support/notes/1853788","1853788")</f>
        <v>1853788</v>
      </c>
      <c r="E12697">
        <v>1</v>
      </c>
      <c r="F12697" t="s">
        <v>13282</v>
      </c>
    </row>
    <row r="12698" spans="1:6" x14ac:dyDescent="0.25">
      <c r="A12698" t="s">
        <v>13380</v>
      </c>
      <c r="B12698" t="s">
        <v>2570</v>
      </c>
      <c r="C12698" t="s">
        <v>2571</v>
      </c>
      <c r="D12698" t="str">
        <f>HYPERLINK("http://service.sap.com/sap/support/notes/1855052","1855052")</f>
        <v>1855052</v>
      </c>
      <c r="E12698">
        <v>1</v>
      </c>
      <c r="F12698" t="s">
        <v>13283</v>
      </c>
    </row>
    <row r="12699" spans="1:6" x14ac:dyDescent="0.25">
      <c r="A12699" t="s">
        <v>13380</v>
      </c>
      <c r="B12699" t="s">
        <v>2570</v>
      </c>
      <c r="C12699" t="s">
        <v>2571</v>
      </c>
      <c r="D12699" t="str">
        <f>HYPERLINK("http://service.sap.com/sap/support/notes/1856585","1856585")</f>
        <v>1856585</v>
      </c>
      <c r="E12699">
        <v>1</v>
      </c>
      <c r="F12699" t="s">
        <v>13284</v>
      </c>
    </row>
    <row r="12700" spans="1:6" x14ac:dyDescent="0.25">
      <c r="A12700" t="s">
        <v>13380</v>
      </c>
      <c r="B12700" t="s">
        <v>5547</v>
      </c>
      <c r="C12700" t="s">
        <v>3286</v>
      </c>
    </row>
    <row r="12701" spans="1:6" x14ac:dyDescent="0.25">
      <c r="A12701" t="s">
        <v>13380</v>
      </c>
      <c r="B12701" t="s">
        <v>7941</v>
      </c>
      <c r="C12701" t="s">
        <v>7942</v>
      </c>
      <c r="D12701" t="str">
        <f>HYPERLINK("http://service.sap.com/sap/support/notes/1661817","1661817")</f>
        <v>1661817</v>
      </c>
      <c r="E12701">
        <v>2</v>
      </c>
      <c r="F12701" t="s">
        <v>13285</v>
      </c>
    </row>
    <row r="12702" spans="1:6" x14ac:dyDescent="0.25">
      <c r="A12702" t="s">
        <v>13380</v>
      </c>
      <c r="B12702" t="s">
        <v>7945</v>
      </c>
      <c r="C12702" t="s">
        <v>7946</v>
      </c>
      <c r="D12702" t="str">
        <f>HYPERLINK("http://service.sap.com/sap/support/notes/1689221","1689221")</f>
        <v>1689221</v>
      </c>
      <c r="E12702">
        <v>2</v>
      </c>
      <c r="F12702" t="s">
        <v>13286</v>
      </c>
    </row>
    <row r="12703" spans="1:6" x14ac:dyDescent="0.25">
      <c r="A12703" t="s">
        <v>13380</v>
      </c>
      <c r="B12703" t="s">
        <v>2573</v>
      </c>
      <c r="C12703" t="s">
        <v>2574</v>
      </c>
      <c r="D12703" t="str">
        <f>HYPERLINK("http://service.sap.com/sap/support/notes/1834266","1834266")</f>
        <v>1834266</v>
      </c>
      <c r="E12703">
        <v>4</v>
      </c>
      <c r="F12703" t="s">
        <v>10074</v>
      </c>
    </row>
    <row r="12704" spans="1:6" x14ac:dyDescent="0.25">
      <c r="A12704" t="s">
        <v>13380</v>
      </c>
      <c r="B12704" t="s">
        <v>2573</v>
      </c>
      <c r="C12704" t="s">
        <v>2574</v>
      </c>
      <c r="D12704" t="str">
        <f>HYPERLINK("http://service.sap.com/sap/support/notes/1862741","1862741")</f>
        <v>1862741</v>
      </c>
      <c r="E12704">
        <v>1</v>
      </c>
      <c r="F12704" t="s">
        <v>13287</v>
      </c>
    </row>
    <row r="12705" spans="1:6" x14ac:dyDescent="0.25">
      <c r="A12705" t="s">
        <v>13380</v>
      </c>
      <c r="B12705" t="s">
        <v>2576</v>
      </c>
      <c r="C12705" t="s">
        <v>2577</v>
      </c>
    </row>
    <row r="12706" spans="1:6" x14ac:dyDescent="0.25">
      <c r="A12706" t="s">
        <v>13380</v>
      </c>
      <c r="B12706" t="s">
        <v>7959</v>
      </c>
      <c r="C12706" t="s">
        <v>7960</v>
      </c>
      <c r="D12706" t="str">
        <f>HYPERLINK("http://service.sap.com/sap/support/notes/1847098","1847098")</f>
        <v>1847098</v>
      </c>
      <c r="E12706">
        <v>1</v>
      </c>
      <c r="F12706" t="s">
        <v>10089</v>
      </c>
    </row>
    <row r="12707" spans="1:6" x14ac:dyDescent="0.25">
      <c r="A12707" t="s">
        <v>13380</v>
      </c>
      <c r="B12707" t="s">
        <v>2578</v>
      </c>
      <c r="C12707" t="s">
        <v>2579</v>
      </c>
      <c r="D12707" t="str">
        <f>HYPERLINK("http://service.sap.com/sap/support/notes/1637988","1637988")</f>
        <v>1637988</v>
      </c>
      <c r="E12707">
        <v>2</v>
      </c>
      <c r="F12707" t="s">
        <v>13288</v>
      </c>
    </row>
    <row r="12708" spans="1:6" x14ac:dyDescent="0.25">
      <c r="A12708" t="s">
        <v>13380</v>
      </c>
      <c r="B12708" t="s">
        <v>2583</v>
      </c>
      <c r="C12708" t="s">
        <v>2584</v>
      </c>
      <c r="D12708" t="str">
        <f>HYPERLINK("http://service.sap.com/sap/support/notes/1681674","1681674")</f>
        <v>1681674</v>
      </c>
      <c r="E12708">
        <v>2</v>
      </c>
      <c r="F12708" t="s">
        <v>13289</v>
      </c>
    </row>
    <row r="12709" spans="1:6" x14ac:dyDescent="0.25">
      <c r="A12709" t="s">
        <v>13380</v>
      </c>
      <c r="B12709" t="s">
        <v>2583</v>
      </c>
      <c r="C12709" t="s">
        <v>2584</v>
      </c>
      <c r="D12709" t="str">
        <f>HYPERLINK("http://service.sap.com/sap/support/notes/1715475","1715475")</f>
        <v>1715475</v>
      </c>
      <c r="E12709">
        <v>7</v>
      </c>
      <c r="F12709" t="s">
        <v>10094</v>
      </c>
    </row>
    <row r="12710" spans="1:6" x14ac:dyDescent="0.25">
      <c r="A12710" t="s">
        <v>13380</v>
      </c>
      <c r="B12710" t="s">
        <v>2583</v>
      </c>
      <c r="C12710" t="s">
        <v>2584</v>
      </c>
      <c r="D12710" t="str">
        <f>HYPERLINK("http://service.sap.com/sap/support/notes/1727065","1727065")</f>
        <v>1727065</v>
      </c>
      <c r="E12710">
        <v>1</v>
      </c>
      <c r="F12710" t="s">
        <v>13290</v>
      </c>
    </row>
    <row r="12711" spans="1:6" x14ac:dyDescent="0.25">
      <c r="A12711" t="s">
        <v>13380</v>
      </c>
      <c r="B12711" t="s">
        <v>2583</v>
      </c>
      <c r="C12711" t="s">
        <v>2584</v>
      </c>
      <c r="D12711" t="str">
        <f>HYPERLINK("http://service.sap.com/sap/support/notes/1860547","1860547")</f>
        <v>1860547</v>
      </c>
      <c r="E12711">
        <v>3</v>
      </c>
      <c r="F12711" t="s">
        <v>13291</v>
      </c>
    </row>
    <row r="12712" spans="1:6" x14ac:dyDescent="0.25">
      <c r="A12712" t="s">
        <v>13380</v>
      </c>
      <c r="B12712" t="s">
        <v>2583</v>
      </c>
      <c r="C12712" t="s">
        <v>2584</v>
      </c>
      <c r="D12712" t="str">
        <f>HYPERLINK("http://service.sap.com/sap/support/notes/1862651","1862651")</f>
        <v>1862651</v>
      </c>
      <c r="E12712">
        <v>1</v>
      </c>
      <c r="F12712" t="s">
        <v>13292</v>
      </c>
    </row>
    <row r="12713" spans="1:6" x14ac:dyDescent="0.25">
      <c r="A12713" t="s">
        <v>13380</v>
      </c>
      <c r="B12713" t="s">
        <v>2591</v>
      </c>
      <c r="C12713" t="s">
        <v>2592</v>
      </c>
      <c r="D12713" t="str">
        <f>HYPERLINK("http://service.sap.com/sap/support/notes/1603905","1603905")</f>
        <v>1603905</v>
      </c>
      <c r="E12713">
        <v>4</v>
      </c>
      <c r="F12713" t="s">
        <v>13293</v>
      </c>
    </row>
    <row r="12714" spans="1:6" x14ac:dyDescent="0.25">
      <c r="A12714" t="s">
        <v>13380</v>
      </c>
      <c r="B12714" t="s">
        <v>2591</v>
      </c>
      <c r="C12714" t="s">
        <v>2592</v>
      </c>
      <c r="D12714" t="str">
        <f>HYPERLINK("http://service.sap.com/sap/support/notes/1814152","1814152")</f>
        <v>1814152</v>
      </c>
      <c r="E12714">
        <v>3</v>
      </c>
      <c r="F12714" t="s">
        <v>7979</v>
      </c>
    </row>
    <row r="12715" spans="1:6" x14ac:dyDescent="0.25">
      <c r="A12715" t="s">
        <v>13380</v>
      </c>
      <c r="B12715" t="s">
        <v>2594</v>
      </c>
      <c r="C12715" t="s">
        <v>1743</v>
      </c>
      <c r="D12715" t="str">
        <f>HYPERLINK("http://service.sap.com/sap/support/notes/1669858","1669858")</f>
        <v>1669858</v>
      </c>
      <c r="E12715">
        <v>2</v>
      </c>
      <c r="F12715" t="s">
        <v>7981</v>
      </c>
    </row>
    <row r="12716" spans="1:6" x14ac:dyDescent="0.25">
      <c r="A12716" t="s">
        <v>13380</v>
      </c>
      <c r="B12716" t="s">
        <v>2594</v>
      </c>
      <c r="C12716" t="s">
        <v>1743</v>
      </c>
      <c r="D12716" t="str">
        <f>HYPERLINK("http://service.sap.com/sap/support/notes/1851316","1851316")</f>
        <v>1851316</v>
      </c>
      <c r="E12716">
        <v>1</v>
      </c>
      <c r="F12716" t="s">
        <v>10102</v>
      </c>
    </row>
    <row r="12717" spans="1:6" x14ac:dyDescent="0.25">
      <c r="A12717" t="s">
        <v>13380</v>
      </c>
      <c r="B12717" t="s">
        <v>2601</v>
      </c>
      <c r="C12717" t="s">
        <v>151</v>
      </c>
      <c r="D12717" t="str">
        <f>HYPERLINK("http://service.sap.com/sap/support/notes/1834522","1834522")</f>
        <v>1834522</v>
      </c>
      <c r="E12717">
        <v>4</v>
      </c>
      <c r="F12717" t="s">
        <v>10103</v>
      </c>
    </row>
    <row r="12718" spans="1:6" x14ac:dyDescent="0.25">
      <c r="A12718" t="s">
        <v>13380</v>
      </c>
      <c r="B12718" t="s">
        <v>7990</v>
      </c>
      <c r="C12718" t="s">
        <v>2419</v>
      </c>
      <c r="D12718" t="str">
        <f>HYPERLINK("http://service.sap.com/sap/support/notes/1844119","1844119")</f>
        <v>1844119</v>
      </c>
      <c r="E12718">
        <v>2</v>
      </c>
      <c r="F12718" t="s">
        <v>10104</v>
      </c>
    </row>
    <row r="12719" spans="1:6" x14ac:dyDescent="0.25">
      <c r="A12719" t="s">
        <v>13380</v>
      </c>
      <c r="B12719" t="s">
        <v>5579</v>
      </c>
      <c r="C12719" t="s">
        <v>5580</v>
      </c>
    </row>
    <row r="12720" spans="1:6" x14ac:dyDescent="0.25">
      <c r="A12720" t="s">
        <v>13380</v>
      </c>
      <c r="B12720" t="s">
        <v>10107</v>
      </c>
      <c r="C12720" t="s">
        <v>10108</v>
      </c>
      <c r="D12720" t="str">
        <f>HYPERLINK("http://service.sap.com/sap/support/notes/1859218","1859218")</f>
        <v>1859218</v>
      </c>
      <c r="E12720">
        <v>2</v>
      </c>
      <c r="F12720" t="s">
        <v>10109</v>
      </c>
    </row>
    <row r="12721" spans="1:6" x14ac:dyDescent="0.25">
      <c r="A12721" t="s">
        <v>13380</v>
      </c>
      <c r="B12721" t="s">
        <v>5581</v>
      </c>
      <c r="C12721" t="s">
        <v>5582</v>
      </c>
    </row>
    <row r="12722" spans="1:6" x14ac:dyDescent="0.25">
      <c r="A12722" t="s">
        <v>13380</v>
      </c>
      <c r="B12722" t="s">
        <v>10110</v>
      </c>
      <c r="C12722" t="s">
        <v>10111</v>
      </c>
    </row>
    <row r="12723" spans="1:6" x14ac:dyDescent="0.25">
      <c r="A12723" t="s">
        <v>13380</v>
      </c>
      <c r="B12723" t="s">
        <v>10112</v>
      </c>
      <c r="C12723" t="s">
        <v>10113</v>
      </c>
      <c r="D12723" t="str">
        <f>HYPERLINK("http://service.sap.com/sap/support/notes/1858705","1858705")</f>
        <v>1858705</v>
      </c>
      <c r="E12723">
        <v>1</v>
      </c>
      <c r="F12723" t="s">
        <v>13294</v>
      </c>
    </row>
    <row r="12724" spans="1:6" x14ac:dyDescent="0.25">
      <c r="A12724" t="s">
        <v>13380</v>
      </c>
      <c r="B12724" t="s">
        <v>2603</v>
      </c>
      <c r="C12724" t="s">
        <v>233</v>
      </c>
      <c r="D12724" t="str">
        <f>HYPERLINK("http://service.sap.com/sap/support/notes/706255","706255")</f>
        <v>706255</v>
      </c>
      <c r="E12724">
        <v>2</v>
      </c>
      <c r="F12724" t="s">
        <v>10115</v>
      </c>
    </row>
    <row r="12725" spans="1:6" x14ac:dyDescent="0.25">
      <c r="A12725" t="s">
        <v>13380</v>
      </c>
      <c r="B12725" t="s">
        <v>2603</v>
      </c>
      <c r="C12725" t="s">
        <v>233</v>
      </c>
      <c r="D12725" t="str">
        <f>HYPERLINK("http://service.sap.com/sap/support/notes/1828814","1828814")</f>
        <v>1828814</v>
      </c>
      <c r="E12725">
        <v>2</v>
      </c>
      <c r="F12725" t="s">
        <v>8006</v>
      </c>
    </row>
    <row r="12726" spans="1:6" x14ac:dyDescent="0.25">
      <c r="A12726" t="s">
        <v>13380</v>
      </c>
      <c r="B12726" t="s">
        <v>2603</v>
      </c>
      <c r="C12726" t="s">
        <v>233</v>
      </c>
      <c r="D12726" t="str">
        <f>HYPERLINK("http://service.sap.com/sap/support/notes/1851010","1851010")</f>
        <v>1851010</v>
      </c>
      <c r="E12726">
        <v>1</v>
      </c>
      <c r="F12726" t="s">
        <v>10121</v>
      </c>
    </row>
    <row r="12727" spans="1:6" x14ac:dyDescent="0.25">
      <c r="A12727" t="s">
        <v>13380</v>
      </c>
      <c r="B12727" t="s">
        <v>2603</v>
      </c>
      <c r="C12727" t="s">
        <v>233</v>
      </c>
      <c r="D12727" t="str">
        <f>HYPERLINK("http://service.sap.com/sap/support/notes/1860313","1860313")</f>
        <v>1860313</v>
      </c>
      <c r="E12727">
        <v>1</v>
      </c>
      <c r="F12727" t="s">
        <v>13295</v>
      </c>
    </row>
    <row r="12728" spans="1:6" x14ac:dyDescent="0.25">
      <c r="A12728" t="s">
        <v>13380</v>
      </c>
      <c r="B12728" t="s">
        <v>2607</v>
      </c>
      <c r="C12728" t="s">
        <v>2608</v>
      </c>
      <c r="D12728" t="str">
        <f>HYPERLINK("http://service.sap.com/sap/support/notes/1859299","1859299")</f>
        <v>1859299</v>
      </c>
      <c r="E12728">
        <v>1</v>
      </c>
      <c r="F12728" t="s">
        <v>13296</v>
      </c>
    </row>
    <row r="12729" spans="1:6" x14ac:dyDescent="0.25">
      <c r="A12729" t="s">
        <v>13380</v>
      </c>
      <c r="B12729" t="s">
        <v>2610</v>
      </c>
      <c r="C12729" t="s">
        <v>2611</v>
      </c>
      <c r="D12729" t="str">
        <f>HYPERLINK("http://service.sap.com/sap/support/notes/1844187","1844187")</f>
        <v>1844187</v>
      </c>
      <c r="E12729">
        <v>2</v>
      </c>
      <c r="F12729" t="s">
        <v>10129</v>
      </c>
    </row>
    <row r="12730" spans="1:6" x14ac:dyDescent="0.25">
      <c r="A12730" t="s">
        <v>13380</v>
      </c>
      <c r="B12730" t="s">
        <v>2616</v>
      </c>
      <c r="C12730" t="s">
        <v>2617</v>
      </c>
      <c r="D12730" t="str">
        <f>HYPERLINK("http://service.sap.com/sap/support/notes/1844241","1844241")</f>
        <v>1844241</v>
      </c>
      <c r="E12730">
        <v>2</v>
      </c>
      <c r="F12730" t="s">
        <v>10130</v>
      </c>
    </row>
    <row r="12731" spans="1:6" x14ac:dyDescent="0.25">
      <c r="A12731" t="s">
        <v>13380</v>
      </c>
      <c r="B12731" t="s">
        <v>2616</v>
      </c>
      <c r="C12731" t="s">
        <v>2617</v>
      </c>
      <c r="D12731" t="str">
        <f>HYPERLINK("http://service.sap.com/sap/support/notes/1862463","1862463")</f>
        <v>1862463</v>
      </c>
      <c r="E12731">
        <v>1</v>
      </c>
      <c r="F12731" t="s">
        <v>10131</v>
      </c>
    </row>
    <row r="12732" spans="1:6" x14ac:dyDescent="0.25">
      <c r="A12732" t="s">
        <v>13380</v>
      </c>
      <c r="B12732" t="s">
        <v>2622</v>
      </c>
      <c r="C12732" t="s">
        <v>2623</v>
      </c>
    </row>
    <row r="12733" spans="1:6" x14ac:dyDescent="0.25">
      <c r="A12733" t="s">
        <v>13380</v>
      </c>
      <c r="B12733" t="s">
        <v>2624</v>
      </c>
      <c r="C12733" t="s">
        <v>2625</v>
      </c>
      <c r="D12733" t="str">
        <f>HYPERLINK("http://service.sap.com/sap/support/notes/715991","715991")</f>
        <v>715991</v>
      </c>
      <c r="E12733">
        <v>4</v>
      </c>
      <c r="F12733" t="s">
        <v>10132</v>
      </c>
    </row>
    <row r="12734" spans="1:6" x14ac:dyDescent="0.25">
      <c r="A12734" t="s">
        <v>13380</v>
      </c>
      <c r="B12734" t="s">
        <v>2624</v>
      </c>
      <c r="C12734" t="s">
        <v>2625</v>
      </c>
      <c r="D12734" t="str">
        <f>HYPERLINK("http://service.sap.com/sap/support/notes/1841875","1841875")</f>
        <v>1841875</v>
      </c>
      <c r="E12734">
        <v>2</v>
      </c>
      <c r="F12734" t="s">
        <v>10134</v>
      </c>
    </row>
    <row r="12735" spans="1:6" x14ac:dyDescent="0.25">
      <c r="A12735" t="s">
        <v>13380</v>
      </c>
      <c r="B12735" t="s">
        <v>2624</v>
      </c>
      <c r="C12735" t="s">
        <v>2625</v>
      </c>
      <c r="D12735" t="str">
        <f>HYPERLINK("http://service.sap.com/sap/support/notes/1858474","1858474")</f>
        <v>1858474</v>
      </c>
      <c r="E12735">
        <v>5</v>
      </c>
      <c r="F12735" t="s">
        <v>10135</v>
      </c>
    </row>
    <row r="12736" spans="1:6" x14ac:dyDescent="0.25">
      <c r="A12736" t="s">
        <v>13380</v>
      </c>
      <c r="B12736" t="s">
        <v>2627</v>
      </c>
      <c r="C12736" t="s">
        <v>2628</v>
      </c>
      <c r="D12736" t="str">
        <f>HYPERLINK("http://service.sap.com/sap/support/notes/1859146","1859146")</f>
        <v>1859146</v>
      </c>
      <c r="E12736">
        <v>2</v>
      </c>
      <c r="F12736" t="s">
        <v>10136</v>
      </c>
    </row>
    <row r="12737" spans="1:6" x14ac:dyDescent="0.25">
      <c r="A12737" t="s">
        <v>13380</v>
      </c>
      <c r="B12737" t="s">
        <v>2634</v>
      </c>
      <c r="C12737" t="s">
        <v>5598</v>
      </c>
      <c r="D12737" t="str">
        <f>HYPERLINK("http://service.sap.com/sap/support/notes/1844805","1844805")</f>
        <v>1844805</v>
      </c>
      <c r="E12737">
        <v>1</v>
      </c>
      <c r="F12737" t="s">
        <v>13297</v>
      </c>
    </row>
    <row r="12738" spans="1:6" x14ac:dyDescent="0.25">
      <c r="A12738" t="s">
        <v>13380</v>
      </c>
      <c r="B12738" t="s">
        <v>2634</v>
      </c>
      <c r="C12738" t="s">
        <v>5598</v>
      </c>
      <c r="D12738" t="str">
        <f>HYPERLINK("http://service.sap.com/sap/support/notes/1861832","1861832")</f>
        <v>1861832</v>
      </c>
      <c r="E12738">
        <v>1</v>
      </c>
      <c r="F12738" t="s">
        <v>13298</v>
      </c>
    </row>
    <row r="12739" spans="1:6" x14ac:dyDescent="0.25">
      <c r="A12739" t="s">
        <v>13380</v>
      </c>
      <c r="B12739" t="s">
        <v>2636</v>
      </c>
      <c r="C12739" t="s">
        <v>2637</v>
      </c>
      <c r="D12739" t="str">
        <f>HYPERLINK("http://service.sap.com/sap/support/notes/1844379","1844379")</f>
        <v>1844379</v>
      </c>
      <c r="E12739">
        <v>3</v>
      </c>
      <c r="F12739" t="s">
        <v>5606</v>
      </c>
    </row>
    <row r="12740" spans="1:6" x14ac:dyDescent="0.25">
      <c r="A12740" t="s">
        <v>13380</v>
      </c>
      <c r="B12740" t="s">
        <v>2636</v>
      </c>
      <c r="C12740" t="s">
        <v>2637</v>
      </c>
      <c r="D12740" t="str">
        <f>HYPERLINK("http://service.sap.com/sap/support/notes/1849123","1849123")</f>
        <v>1849123</v>
      </c>
      <c r="E12740">
        <v>2</v>
      </c>
      <c r="F12740" t="s">
        <v>10143</v>
      </c>
    </row>
    <row r="12741" spans="1:6" x14ac:dyDescent="0.25">
      <c r="A12741" t="s">
        <v>13380</v>
      </c>
      <c r="B12741" t="s">
        <v>2636</v>
      </c>
      <c r="C12741" t="s">
        <v>2637</v>
      </c>
      <c r="D12741" t="str">
        <f>HYPERLINK("http://service.sap.com/sap/support/notes/1851780","1851780")</f>
        <v>1851780</v>
      </c>
      <c r="E12741">
        <v>1</v>
      </c>
      <c r="F12741" t="s">
        <v>10144</v>
      </c>
    </row>
    <row r="12742" spans="1:6" x14ac:dyDescent="0.25">
      <c r="A12742" t="s">
        <v>13380</v>
      </c>
      <c r="B12742" t="s">
        <v>2636</v>
      </c>
      <c r="C12742" t="s">
        <v>2637</v>
      </c>
      <c r="D12742" t="str">
        <f>HYPERLINK("http://service.sap.com/sap/support/notes/1853492","1853492")</f>
        <v>1853492</v>
      </c>
      <c r="E12742">
        <v>2</v>
      </c>
      <c r="F12742" t="s">
        <v>10145</v>
      </c>
    </row>
    <row r="12743" spans="1:6" x14ac:dyDescent="0.25">
      <c r="A12743" t="s">
        <v>13380</v>
      </c>
      <c r="B12743" t="s">
        <v>2643</v>
      </c>
      <c r="C12743" t="s">
        <v>2644</v>
      </c>
      <c r="D12743" t="str">
        <f>HYPERLINK("http://service.sap.com/sap/support/notes/1690405","1690405")</f>
        <v>1690405</v>
      </c>
      <c r="E12743">
        <v>3</v>
      </c>
      <c r="F12743" t="s">
        <v>10146</v>
      </c>
    </row>
    <row r="12744" spans="1:6" x14ac:dyDescent="0.25">
      <c r="A12744" t="s">
        <v>13380</v>
      </c>
      <c r="B12744" t="s">
        <v>2643</v>
      </c>
      <c r="C12744" t="s">
        <v>2644</v>
      </c>
      <c r="D12744" t="str">
        <f>HYPERLINK("http://service.sap.com/sap/support/notes/1842539","1842539")</f>
        <v>1842539</v>
      </c>
      <c r="E12744">
        <v>2</v>
      </c>
      <c r="F12744" t="s">
        <v>10148</v>
      </c>
    </row>
    <row r="12745" spans="1:6" x14ac:dyDescent="0.25">
      <c r="A12745" t="s">
        <v>13380</v>
      </c>
      <c r="B12745" t="s">
        <v>2643</v>
      </c>
      <c r="C12745" t="s">
        <v>2644</v>
      </c>
      <c r="D12745" t="str">
        <f>HYPERLINK("http://service.sap.com/sap/support/notes/1851861","1851861")</f>
        <v>1851861</v>
      </c>
      <c r="E12745">
        <v>1</v>
      </c>
      <c r="F12745" t="s">
        <v>10149</v>
      </c>
    </row>
    <row r="12746" spans="1:6" x14ac:dyDescent="0.25">
      <c r="A12746" t="s">
        <v>13380</v>
      </c>
      <c r="B12746" t="s">
        <v>2643</v>
      </c>
      <c r="C12746" t="s">
        <v>2644</v>
      </c>
      <c r="D12746" t="str">
        <f>HYPERLINK("http://service.sap.com/sap/support/notes/1852361","1852361")</f>
        <v>1852361</v>
      </c>
      <c r="E12746">
        <v>1</v>
      </c>
      <c r="F12746" t="s">
        <v>10150</v>
      </c>
    </row>
    <row r="12747" spans="1:6" x14ac:dyDescent="0.25">
      <c r="A12747" t="s">
        <v>13380</v>
      </c>
      <c r="B12747" t="s">
        <v>2643</v>
      </c>
      <c r="C12747" t="s">
        <v>2644</v>
      </c>
      <c r="D12747" t="str">
        <f>HYPERLINK("http://service.sap.com/sap/support/notes/1859868","1859868")</f>
        <v>1859868</v>
      </c>
      <c r="E12747">
        <v>2</v>
      </c>
      <c r="F12747" t="s">
        <v>10151</v>
      </c>
    </row>
    <row r="12748" spans="1:6" x14ac:dyDescent="0.25">
      <c r="A12748" t="s">
        <v>13380</v>
      </c>
      <c r="B12748" t="s">
        <v>2643</v>
      </c>
      <c r="C12748" t="s">
        <v>2644</v>
      </c>
      <c r="D12748" t="str">
        <f>HYPERLINK("http://service.sap.com/sap/support/notes/1860469","1860469")</f>
        <v>1860469</v>
      </c>
      <c r="E12748">
        <v>1</v>
      </c>
      <c r="F12748" t="s">
        <v>10152</v>
      </c>
    </row>
    <row r="12749" spans="1:6" x14ac:dyDescent="0.25">
      <c r="A12749" t="s">
        <v>13380</v>
      </c>
      <c r="B12749" t="s">
        <v>2643</v>
      </c>
      <c r="C12749" t="s">
        <v>2644</v>
      </c>
      <c r="D12749" t="str">
        <f>HYPERLINK("http://service.sap.com/sap/support/notes/1862747","1862747")</f>
        <v>1862747</v>
      </c>
      <c r="E12749">
        <v>1</v>
      </c>
      <c r="F12749" t="s">
        <v>10153</v>
      </c>
    </row>
    <row r="12750" spans="1:6" x14ac:dyDescent="0.25">
      <c r="A12750" t="s">
        <v>13380</v>
      </c>
      <c r="B12750" t="s">
        <v>2647</v>
      </c>
      <c r="C12750" t="s">
        <v>2648</v>
      </c>
      <c r="D12750" t="str">
        <f>HYPERLINK("http://service.sap.com/sap/support/notes/1859205","1859205")</f>
        <v>1859205</v>
      </c>
      <c r="E12750">
        <v>5</v>
      </c>
      <c r="F12750" t="s">
        <v>13299</v>
      </c>
    </row>
    <row r="12751" spans="1:6" x14ac:dyDescent="0.25">
      <c r="A12751" t="s">
        <v>13380</v>
      </c>
      <c r="B12751" t="s">
        <v>10155</v>
      </c>
      <c r="C12751" t="s">
        <v>10156</v>
      </c>
      <c r="D12751" t="str">
        <f>HYPERLINK("http://service.sap.com/sap/support/notes/1861975","1861975")</f>
        <v>1861975</v>
      </c>
      <c r="E12751">
        <v>4</v>
      </c>
      <c r="F12751" t="s">
        <v>9177</v>
      </c>
    </row>
    <row r="12752" spans="1:6" x14ac:dyDescent="0.25">
      <c r="A12752" t="s">
        <v>13380</v>
      </c>
      <c r="B12752" t="s">
        <v>2654</v>
      </c>
      <c r="C12752" t="s">
        <v>2655</v>
      </c>
      <c r="D12752" t="str">
        <f>HYPERLINK("http://service.sap.com/sap/support/notes/1856518","1856518")</f>
        <v>1856518</v>
      </c>
      <c r="E12752">
        <v>2</v>
      </c>
      <c r="F12752" t="s">
        <v>10159</v>
      </c>
    </row>
    <row r="12753" spans="1:6" x14ac:dyDescent="0.25">
      <c r="A12753" t="s">
        <v>13380</v>
      </c>
      <c r="B12753" t="s">
        <v>10160</v>
      </c>
      <c r="C12753" t="s">
        <v>10161</v>
      </c>
      <c r="D12753" t="str">
        <f>HYPERLINK("http://service.sap.com/sap/support/notes/1855981","1855981")</f>
        <v>1855981</v>
      </c>
      <c r="E12753">
        <v>1</v>
      </c>
      <c r="F12753" t="s">
        <v>10162</v>
      </c>
    </row>
    <row r="12754" spans="1:6" x14ac:dyDescent="0.25">
      <c r="A12754" t="s">
        <v>13380</v>
      </c>
      <c r="B12754" t="s">
        <v>2658</v>
      </c>
      <c r="C12754" t="s">
        <v>2659</v>
      </c>
      <c r="D12754" t="str">
        <f>HYPERLINK("http://service.sap.com/sap/support/notes/1822197","1822197")</f>
        <v>1822197</v>
      </c>
      <c r="E12754">
        <v>3</v>
      </c>
      <c r="F12754" t="s">
        <v>10163</v>
      </c>
    </row>
    <row r="12755" spans="1:6" x14ac:dyDescent="0.25">
      <c r="A12755" t="s">
        <v>13380</v>
      </c>
      <c r="B12755" t="s">
        <v>2658</v>
      </c>
      <c r="C12755" t="s">
        <v>2659</v>
      </c>
      <c r="D12755" t="str">
        <f>HYPERLINK("http://service.sap.com/sap/support/notes/1855713","1855713")</f>
        <v>1855713</v>
      </c>
      <c r="E12755">
        <v>1</v>
      </c>
      <c r="F12755" t="s">
        <v>10164</v>
      </c>
    </row>
    <row r="12756" spans="1:6" x14ac:dyDescent="0.25">
      <c r="A12756" t="s">
        <v>13380</v>
      </c>
      <c r="B12756" t="s">
        <v>2661</v>
      </c>
      <c r="C12756" t="s">
        <v>2662</v>
      </c>
      <c r="D12756" t="str">
        <f>HYPERLINK("http://service.sap.com/sap/support/notes/1850706","1850706")</f>
        <v>1850706</v>
      </c>
      <c r="E12756">
        <v>1</v>
      </c>
      <c r="F12756" t="s">
        <v>10165</v>
      </c>
    </row>
    <row r="12757" spans="1:6" x14ac:dyDescent="0.25">
      <c r="A12757" t="s">
        <v>13380</v>
      </c>
      <c r="B12757" t="s">
        <v>2661</v>
      </c>
      <c r="C12757" t="s">
        <v>2662</v>
      </c>
      <c r="D12757" t="str">
        <f>HYPERLINK("http://service.sap.com/sap/support/notes/1858280","1858280")</f>
        <v>1858280</v>
      </c>
      <c r="E12757">
        <v>1</v>
      </c>
      <c r="F12757" t="s">
        <v>10166</v>
      </c>
    </row>
    <row r="12758" spans="1:6" x14ac:dyDescent="0.25">
      <c r="A12758" t="s">
        <v>13380</v>
      </c>
      <c r="B12758" t="s">
        <v>2661</v>
      </c>
      <c r="C12758" t="s">
        <v>2662</v>
      </c>
      <c r="D12758" t="str">
        <f>HYPERLINK("http://service.sap.com/sap/support/notes/1860115","1860115")</f>
        <v>1860115</v>
      </c>
      <c r="E12758">
        <v>1</v>
      </c>
      <c r="F12758" t="s">
        <v>10167</v>
      </c>
    </row>
    <row r="12759" spans="1:6" x14ac:dyDescent="0.25">
      <c r="A12759" t="s">
        <v>13380</v>
      </c>
      <c r="B12759" t="s">
        <v>2666</v>
      </c>
      <c r="C12759" t="s">
        <v>2667</v>
      </c>
      <c r="D12759" t="str">
        <f>HYPERLINK("http://service.sap.com/sap/support/notes/1859315","1859315")</f>
        <v>1859315</v>
      </c>
      <c r="E12759">
        <v>1</v>
      </c>
      <c r="F12759" t="s">
        <v>9185</v>
      </c>
    </row>
    <row r="12760" spans="1:6" x14ac:dyDescent="0.25">
      <c r="A12760" t="s">
        <v>13380</v>
      </c>
      <c r="B12760" t="s">
        <v>2669</v>
      </c>
      <c r="C12760" t="s">
        <v>2670</v>
      </c>
      <c r="D12760" t="str">
        <f>HYPERLINK("http://service.sap.com/sap/support/notes/1846611","1846611")</f>
        <v>1846611</v>
      </c>
      <c r="E12760">
        <v>2</v>
      </c>
      <c r="F12760" t="s">
        <v>10168</v>
      </c>
    </row>
    <row r="12761" spans="1:6" x14ac:dyDescent="0.25">
      <c r="A12761" t="s">
        <v>13380</v>
      </c>
      <c r="B12761" t="s">
        <v>2669</v>
      </c>
      <c r="C12761" t="s">
        <v>2670</v>
      </c>
      <c r="D12761" t="str">
        <f>HYPERLINK("http://service.sap.com/sap/support/notes/1855384","1855384")</f>
        <v>1855384</v>
      </c>
      <c r="E12761">
        <v>1</v>
      </c>
      <c r="F12761" t="s">
        <v>13300</v>
      </c>
    </row>
    <row r="12762" spans="1:6" x14ac:dyDescent="0.25">
      <c r="A12762" t="s">
        <v>13380</v>
      </c>
      <c r="B12762" t="s">
        <v>2684</v>
      </c>
      <c r="C12762" t="s">
        <v>2685</v>
      </c>
      <c r="D12762" t="str">
        <f>HYPERLINK("http://service.sap.com/sap/support/notes/1773004","1773004")</f>
        <v>1773004</v>
      </c>
      <c r="E12762">
        <v>2</v>
      </c>
      <c r="F12762" t="s">
        <v>10170</v>
      </c>
    </row>
    <row r="12763" spans="1:6" x14ac:dyDescent="0.25">
      <c r="A12763" t="s">
        <v>13380</v>
      </c>
      <c r="B12763" t="s">
        <v>2684</v>
      </c>
      <c r="C12763" t="s">
        <v>2685</v>
      </c>
      <c r="D12763" t="str">
        <f>HYPERLINK("http://service.sap.com/sap/support/notes/1828726","1828726")</f>
        <v>1828726</v>
      </c>
      <c r="E12763">
        <v>2</v>
      </c>
      <c r="F12763" t="s">
        <v>10172</v>
      </c>
    </row>
    <row r="12764" spans="1:6" x14ac:dyDescent="0.25">
      <c r="A12764" t="s">
        <v>13380</v>
      </c>
      <c r="B12764" t="s">
        <v>2684</v>
      </c>
      <c r="C12764" t="s">
        <v>2685</v>
      </c>
      <c r="D12764" t="str">
        <f>HYPERLINK("http://service.sap.com/sap/support/notes/1835459","1835459")</f>
        <v>1835459</v>
      </c>
      <c r="E12764">
        <v>2</v>
      </c>
      <c r="F12764" t="s">
        <v>10175</v>
      </c>
    </row>
    <row r="12765" spans="1:6" x14ac:dyDescent="0.25">
      <c r="A12765" t="s">
        <v>13380</v>
      </c>
      <c r="B12765" t="s">
        <v>2684</v>
      </c>
      <c r="C12765" t="s">
        <v>2685</v>
      </c>
      <c r="D12765" t="str">
        <f>HYPERLINK("http://service.sap.com/sap/support/notes/1843013","1843013")</f>
        <v>1843013</v>
      </c>
      <c r="E12765">
        <v>2</v>
      </c>
      <c r="F12765" t="s">
        <v>10176</v>
      </c>
    </row>
    <row r="12766" spans="1:6" x14ac:dyDescent="0.25">
      <c r="A12766" t="s">
        <v>13380</v>
      </c>
      <c r="B12766" t="s">
        <v>2684</v>
      </c>
      <c r="C12766" t="s">
        <v>2685</v>
      </c>
      <c r="D12766" t="str">
        <f>HYPERLINK("http://service.sap.com/sap/support/notes/1843705","1843705")</f>
        <v>1843705</v>
      </c>
      <c r="E12766">
        <v>3</v>
      </c>
      <c r="F12766" t="s">
        <v>10177</v>
      </c>
    </row>
    <row r="12767" spans="1:6" x14ac:dyDescent="0.25">
      <c r="A12767" t="s">
        <v>13380</v>
      </c>
      <c r="B12767" t="s">
        <v>2684</v>
      </c>
      <c r="C12767" t="s">
        <v>2685</v>
      </c>
      <c r="D12767" t="str">
        <f>HYPERLINK("http://service.sap.com/sap/support/notes/1845974","1845974")</f>
        <v>1845974</v>
      </c>
      <c r="E12767">
        <v>2</v>
      </c>
      <c r="F12767" t="s">
        <v>10178</v>
      </c>
    </row>
    <row r="12768" spans="1:6" x14ac:dyDescent="0.25">
      <c r="A12768" t="s">
        <v>13380</v>
      </c>
      <c r="B12768" t="s">
        <v>2684</v>
      </c>
      <c r="C12768" t="s">
        <v>2685</v>
      </c>
      <c r="D12768" t="str">
        <f>HYPERLINK("http://service.sap.com/sap/support/notes/1846701","1846701")</f>
        <v>1846701</v>
      </c>
      <c r="E12768">
        <v>2</v>
      </c>
      <c r="F12768" t="s">
        <v>10179</v>
      </c>
    </row>
    <row r="12769" spans="1:6" x14ac:dyDescent="0.25">
      <c r="A12769" t="s">
        <v>13380</v>
      </c>
      <c r="B12769" t="s">
        <v>2684</v>
      </c>
      <c r="C12769" t="s">
        <v>2685</v>
      </c>
      <c r="D12769" t="str">
        <f>HYPERLINK("http://service.sap.com/sap/support/notes/1852672","1852672")</f>
        <v>1852672</v>
      </c>
      <c r="E12769">
        <v>1</v>
      </c>
      <c r="F12769" t="s">
        <v>10180</v>
      </c>
    </row>
    <row r="12770" spans="1:6" x14ac:dyDescent="0.25">
      <c r="A12770" t="s">
        <v>13380</v>
      </c>
      <c r="B12770" t="s">
        <v>2684</v>
      </c>
      <c r="C12770" t="s">
        <v>2685</v>
      </c>
      <c r="D12770" t="str">
        <f>HYPERLINK("http://service.sap.com/sap/support/notes/1853340","1853340")</f>
        <v>1853340</v>
      </c>
      <c r="E12770">
        <v>3</v>
      </c>
      <c r="F12770" t="s">
        <v>10181</v>
      </c>
    </row>
    <row r="12771" spans="1:6" x14ac:dyDescent="0.25">
      <c r="A12771" t="s">
        <v>13380</v>
      </c>
      <c r="B12771" t="s">
        <v>2684</v>
      </c>
      <c r="C12771" t="s">
        <v>2685</v>
      </c>
      <c r="D12771" t="str">
        <f>HYPERLINK("http://service.sap.com/sap/support/notes/1853809","1853809")</f>
        <v>1853809</v>
      </c>
      <c r="E12771">
        <v>1</v>
      </c>
      <c r="F12771" t="s">
        <v>10182</v>
      </c>
    </row>
    <row r="12772" spans="1:6" x14ac:dyDescent="0.25">
      <c r="A12772" t="s">
        <v>13380</v>
      </c>
      <c r="B12772" t="s">
        <v>2684</v>
      </c>
      <c r="C12772" t="s">
        <v>2685</v>
      </c>
      <c r="D12772" t="str">
        <f>HYPERLINK("http://service.sap.com/sap/support/notes/1856940","1856940")</f>
        <v>1856940</v>
      </c>
      <c r="E12772">
        <v>1</v>
      </c>
      <c r="F12772" t="s">
        <v>10183</v>
      </c>
    </row>
    <row r="12773" spans="1:6" x14ac:dyDescent="0.25">
      <c r="A12773" t="s">
        <v>13380</v>
      </c>
      <c r="B12773" t="s">
        <v>2684</v>
      </c>
      <c r="C12773" t="s">
        <v>2685</v>
      </c>
      <c r="D12773" t="str">
        <f>HYPERLINK("http://service.sap.com/sap/support/notes/1859328","1859328")</f>
        <v>1859328</v>
      </c>
      <c r="E12773">
        <v>4</v>
      </c>
      <c r="F12773" t="s">
        <v>9185</v>
      </c>
    </row>
    <row r="12774" spans="1:6" x14ac:dyDescent="0.25">
      <c r="A12774" t="s">
        <v>13380</v>
      </c>
      <c r="B12774" t="s">
        <v>2684</v>
      </c>
      <c r="C12774" t="s">
        <v>2685</v>
      </c>
      <c r="D12774" t="str">
        <f>HYPERLINK("http://service.sap.com/sap/support/notes/1863292","1863292")</f>
        <v>1863292</v>
      </c>
      <c r="E12774">
        <v>1</v>
      </c>
      <c r="F12774" t="s">
        <v>10184</v>
      </c>
    </row>
    <row r="12775" spans="1:6" x14ac:dyDescent="0.25">
      <c r="A12775" t="s">
        <v>13380</v>
      </c>
      <c r="B12775" t="s">
        <v>2684</v>
      </c>
      <c r="C12775" t="s">
        <v>2685</v>
      </c>
      <c r="D12775" t="str">
        <f>HYPERLINK("http://service.sap.com/sap/support/notes/1864128","1864128")</f>
        <v>1864128</v>
      </c>
      <c r="E12775">
        <v>2</v>
      </c>
      <c r="F12775" t="s">
        <v>10185</v>
      </c>
    </row>
    <row r="12776" spans="1:6" x14ac:dyDescent="0.25">
      <c r="A12776" t="s">
        <v>13380</v>
      </c>
      <c r="B12776" t="s">
        <v>2719</v>
      </c>
      <c r="C12776" t="s">
        <v>978</v>
      </c>
      <c r="D12776" t="str">
        <f>HYPERLINK("http://service.sap.com/sap/support/notes/1843153","1843153")</f>
        <v>1843153</v>
      </c>
      <c r="E12776">
        <v>2</v>
      </c>
      <c r="F12776" t="s">
        <v>10189</v>
      </c>
    </row>
    <row r="12777" spans="1:6" x14ac:dyDescent="0.25">
      <c r="A12777" t="s">
        <v>13380</v>
      </c>
      <c r="B12777" t="s">
        <v>2725</v>
      </c>
      <c r="C12777" t="s">
        <v>2726</v>
      </c>
      <c r="D12777" t="str">
        <f>HYPERLINK("http://service.sap.com/sap/support/notes/1486064","1486064")</f>
        <v>1486064</v>
      </c>
      <c r="E12777">
        <v>3</v>
      </c>
      <c r="F12777" t="s">
        <v>10190</v>
      </c>
    </row>
    <row r="12778" spans="1:6" x14ac:dyDescent="0.25">
      <c r="A12778" t="s">
        <v>13380</v>
      </c>
      <c r="B12778" t="s">
        <v>2728</v>
      </c>
      <c r="C12778" t="s">
        <v>2729</v>
      </c>
      <c r="D12778" t="str">
        <f>HYPERLINK("http://service.sap.com/sap/support/notes/1814484","1814484")</f>
        <v>1814484</v>
      </c>
      <c r="E12778">
        <v>3</v>
      </c>
      <c r="F12778" t="s">
        <v>10192</v>
      </c>
    </row>
    <row r="12779" spans="1:6" x14ac:dyDescent="0.25">
      <c r="A12779" t="s">
        <v>13380</v>
      </c>
      <c r="B12779" t="s">
        <v>2728</v>
      </c>
      <c r="C12779" t="s">
        <v>2729</v>
      </c>
      <c r="D12779" t="str">
        <f>HYPERLINK("http://service.sap.com/sap/support/notes/1835898","1835898")</f>
        <v>1835898</v>
      </c>
      <c r="E12779">
        <v>4</v>
      </c>
      <c r="F12779" t="s">
        <v>10193</v>
      </c>
    </row>
    <row r="12780" spans="1:6" x14ac:dyDescent="0.25">
      <c r="A12780" t="s">
        <v>13380</v>
      </c>
      <c r="B12780" t="s">
        <v>2728</v>
      </c>
      <c r="C12780" t="s">
        <v>2729</v>
      </c>
      <c r="D12780" t="str">
        <f>HYPERLINK("http://service.sap.com/sap/support/notes/1841758","1841758")</f>
        <v>1841758</v>
      </c>
      <c r="E12780">
        <v>3</v>
      </c>
      <c r="F12780" t="s">
        <v>10194</v>
      </c>
    </row>
    <row r="12781" spans="1:6" x14ac:dyDescent="0.25">
      <c r="A12781" t="s">
        <v>13380</v>
      </c>
      <c r="B12781" t="s">
        <v>2728</v>
      </c>
      <c r="C12781" t="s">
        <v>2729</v>
      </c>
      <c r="D12781" t="str">
        <f>HYPERLINK("http://service.sap.com/sap/support/notes/1842300","1842300")</f>
        <v>1842300</v>
      </c>
      <c r="E12781">
        <v>2</v>
      </c>
      <c r="F12781" t="s">
        <v>10195</v>
      </c>
    </row>
    <row r="12782" spans="1:6" x14ac:dyDescent="0.25">
      <c r="A12782" t="s">
        <v>13380</v>
      </c>
      <c r="B12782" t="s">
        <v>2728</v>
      </c>
      <c r="C12782" t="s">
        <v>2729</v>
      </c>
      <c r="D12782" t="str">
        <f>HYPERLINK("http://service.sap.com/sap/support/notes/1855567","1855567")</f>
        <v>1855567</v>
      </c>
      <c r="E12782">
        <v>1</v>
      </c>
      <c r="F12782" t="s">
        <v>10196</v>
      </c>
    </row>
    <row r="12783" spans="1:6" x14ac:dyDescent="0.25">
      <c r="A12783" t="s">
        <v>13380</v>
      </c>
      <c r="B12783" t="s">
        <v>10197</v>
      </c>
      <c r="C12783" t="s">
        <v>1638</v>
      </c>
      <c r="D12783" t="str">
        <f>HYPERLINK("http://service.sap.com/sap/support/notes/1844399","1844399")</f>
        <v>1844399</v>
      </c>
      <c r="E12783">
        <v>2</v>
      </c>
      <c r="F12783" t="s">
        <v>10198</v>
      </c>
    </row>
    <row r="12784" spans="1:6" x14ac:dyDescent="0.25">
      <c r="A12784" t="s">
        <v>13380</v>
      </c>
      <c r="B12784" t="s">
        <v>2748</v>
      </c>
      <c r="C12784" t="s">
        <v>238</v>
      </c>
    </row>
    <row r="12785" spans="1:6" x14ac:dyDescent="0.25">
      <c r="A12785" t="s">
        <v>13380</v>
      </c>
      <c r="B12785" t="s">
        <v>2749</v>
      </c>
      <c r="C12785" t="s">
        <v>1588</v>
      </c>
    </row>
    <row r="12786" spans="1:6" x14ac:dyDescent="0.25">
      <c r="A12786" t="s">
        <v>13380</v>
      </c>
      <c r="B12786" t="s">
        <v>2750</v>
      </c>
      <c r="C12786" t="s">
        <v>2751</v>
      </c>
      <c r="D12786" t="str">
        <f>HYPERLINK("http://service.sap.com/sap/support/notes/1478782","1478782")</f>
        <v>1478782</v>
      </c>
      <c r="E12786">
        <v>2</v>
      </c>
      <c r="F12786" t="s">
        <v>10199</v>
      </c>
    </row>
    <row r="12787" spans="1:6" x14ac:dyDescent="0.25">
      <c r="A12787" t="s">
        <v>13380</v>
      </c>
      <c r="B12787" t="s">
        <v>2750</v>
      </c>
      <c r="C12787" t="s">
        <v>2751</v>
      </c>
      <c r="D12787" t="str">
        <f>HYPERLINK("http://service.sap.com/sap/support/notes/1532034","1532034")</f>
        <v>1532034</v>
      </c>
      <c r="E12787">
        <v>3</v>
      </c>
      <c r="F12787" t="s">
        <v>10200</v>
      </c>
    </row>
    <row r="12788" spans="1:6" x14ac:dyDescent="0.25">
      <c r="A12788" t="s">
        <v>13380</v>
      </c>
      <c r="B12788" t="s">
        <v>2750</v>
      </c>
      <c r="C12788" t="s">
        <v>2751</v>
      </c>
      <c r="D12788" t="str">
        <f>HYPERLINK("http://service.sap.com/sap/support/notes/1548083","1548083")</f>
        <v>1548083</v>
      </c>
      <c r="E12788">
        <v>4</v>
      </c>
      <c r="F12788" t="s">
        <v>10201</v>
      </c>
    </row>
    <row r="12789" spans="1:6" x14ac:dyDescent="0.25">
      <c r="A12789" t="s">
        <v>13380</v>
      </c>
      <c r="B12789" t="s">
        <v>2750</v>
      </c>
      <c r="C12789" t="s">
        <v>2751</v>
      </c>
      <c r="D12789" t="str">
        <f>HYPERLINK("http://service.sap.com/sap/support/notes/1575151","1575151")</f>
        <v>1575151</v>
      </c>
      <c r="E12789">
        <v>3</v>
      </c>
      <c r="F12789" t="s">
        <v>10202</v>
      </c>
    </row>
    <row r="12790" spans="1:6" x14ac:dyDescent="0.25">
      <c r="A12790" t="s">
        <v>13380</v>
      </c>
      <c r="B12790" t="s">
        <v>2750</v>
      </c>
      <c r="C12790" t="s">
        <v>2751</v>
      </c>
      <c r="D12790" t="str">
        <f>HYPERLINK("http://service.sap.com/sap/support/notes/1610089","1610089")</f>
        <v>1610089</v>
      </c>
      <c r="E12790">
        <v>2</v>
      </c>
      <c r="F12790" t="s">
        <v>10203</v>
      </c>
    </row>
    <row r="12791" spans="1:6" x14ac:dyDescent="0.25">
      <c r="A12791" t="s">
        <v>13380</v>
      </c>
      <c r="B12791" t="s">
        <v>2750</v>
      </c>
      <c r="C12791" t="s">
        <v>2751</v>
      </c>
      <c r="D12791" t="str">
        <f>HYPERLINK("http://service.sap.com/sap/support/notes/1749909","1749909")</f>
        <v>1749909</v>
      </c>
      <c r="E12791">
        <v>3</v>
      </c>
      <c r="F12791" t="s">
        <v>10204</v>
      </c>
    </row>
    <row r="12792" spans="1:6" x14ac:dyDescent="0.25">
      <c r="A12792" t="s">
        <v>13380</v>
      </c>
      <c r="B12792" t="s">
        <v>2750</v>
      </c>
      <c r="C12792" t="s">
        <v>2751</v>
      </c>
      <c r="D12792" t="str">
        <f>HYPERLINK("http://service.sap.com/sap/support/notes/1845574","1845574")</f>
        <v>1845574</v>
      </c>
      <c r="E12792">
        <v>2</v>
      </c>
      <c r="F12792" t="s">
        <v>10205</v>
      </c>
    </row>
    <row r="12793" spans="1:6" x14ac:dyDescent="0.25">
      <c r="A12793" t="s">
        <v>13380</v>
      </c>
      <c r="B12793" t="s">
        <v>2750</v>
      </c>
      <c r="C12793" t="s">
        <v>2751</v>
      </c>
      <c r="D12793" t="str">
        <f>HYPERLINK("http://service.sap.com/sap/support/notes/1852955","1852955")</f>
        <v>1852955</v>
      </c>
      <c r="E12793">
        <v>2</v>
      </c>
      <c r="F12793" t="s">
        <v>10206</v>
      </c>
    </row>
    <row r="12794" spans="1:6" x14ac:dyDescent="0.25">
      <c r="A12794" t="s">
        <v>13380</v>
      </c>
      <c r="B12794" t="s">
        <v>2750</v>
      </c>
      <c r="C12794" t="s">
        <v>2751</v>
      </c>
      <c r="D12794" t="str">
        <f>HYPERLINK("http://service.sap.com/sap/support/notes/1860950","1860950")</f>
        <v>1860950</v>
      </c>
      <c r="E12794">
        <v>2</v>
      </c>
      <c r="F12794" t="s">
        <v>9177</v>
      </c>
    </row>
    <row r="12795" spans="1:6" x14ac:dyDescent="0.25">
      <c r="A12795" t="s">
        <v>13380</v>
      </c>
      <c r="B12795" t="s">
        <v>2755</v>
      </c>
      <c r="C12795" t="s">
        <v>2756</v>
      </c>
      <c r="D12795" t="str">
        <f>HYPERLINK("http://service.sap.com/sap/support/notes/1855172","1855172")</f>
        <v>1855172</v>
      </c>
      <c r="E12795">
        <v>1</v>
      </c>
      <c r="F12795" t="s">
        <v>13301</v>
      </c>
    </row>
    <row r="12796" spans="1:6" x14ac:dyDescent="0.25">
      <c r="A12796" t="s">
        <v>13380</v>
      </c>
      <c r="B12796" t="s">
        <v>2755</v>
      </c>
      <c r="C12796" t="s">
        <v>2756</v>
      </c>
      <c r="D12796" t="str">
        <f>HYPERLINK("http://service.sap.com/sap/support/notes/1858732","1858732")</f>
        <v>1858732</v>
      </c>
      <c r="E12796">
        <v>3</v>
      </c>
      <c r="F12796" t="s">
        <v>11697</v>
      </c>
    </row>
    <row r="12797" spans="1:6" x14ac:dyDescent="0.25">
      <c r="A12797" t="s">
        <v>13380</v>
      </c>
      <c r="B12797" t="s">
        <v>2758</v>
      </c>
      <c r="C12797" t="s">
        <v>2759</v>
      </c>
      <c r="D12797" t="str">
        <f>HYPERLINK("http://service.sap.com/sap/support/notes/1815463","1815463")</f>
        <v>1815463</v>
      </c>
      <c r="E12797">
        <v>4</v>
      </c>
      <c r="F12797" t="s">
        <v>10208</v>
      </c>
    </row>
    <row r="12798" spans="1:6" x14ac:dyDescent="0.25">
      <c r="A12798" t="s">
        <v>13380</v>
      </c>
      <c r="B12798" t="s">
        <v>10209</v>
      </c>
      <c r="C12798" t="s">
        <v>10210</v>
      </c>
      <c r="D12798" t="str">
        <f>HYPERLINK("http://service.sap.com/sap/support/notes/1808775","1808775")</f>
        <v>1808775</v>
      </c>
      <c r="E12798">
        <v>2</v>
      </c>
      <c r="F12798" t="s">
        <v>10211</v>
      </c>
    </row>
    <row r="12799" spans="1:6" x14ac:dyDescent="0.25">
      <c r="A12799" t="s">
        <v>13380</v>
      </c>
      <c r="B12799" t="s">
        <v>2760</v>
      </c>
      <c r="C12799" t="s">
        <v>2761</v>
      </c>
      <c r="D12799" t="str">
        <f>HYPERLINK("http://service.sap.com/sap/support/notes/1787812","1787812")</f>
        <v>1787812</v>
      </c>
      <c r="E12799">
        <v>2</v>
      </c>
      <c r="F12799" t="s">
        <v>10212</v>
      </c>
    </row>
    <row r="12800" spans="1:6" x14ac:dyDescent="0.25">
      <c r="A12800" t="s">
        <v>13380</v>
      </c>
      <c r="B12800" t="s">
        <v>2760</v>
      </c>
      <c r="C12800" t="s">
        <v>2761</v>
      </c>
      <c r="D12800" t="str">
        <f>HYPERLINK("http://service.sap.com/sap/support/notes/1859084","1859084")</f>
        <v>1859084</v>
      </c>
      <c r="E12800">
        <v>1</v>
      </c>
      <c r="F12800" t="s">
        <v>13302</v>
      </c>
    </row>
    <row r="12801" spans="1:6" x14ac:dyDescent="0.25">
      <c r="A12801" t="s">
        <v>13380</v>
      </c>
      <c r="B12801" t="s">
        <v>13303</v>
      </c>
      <c r="C12801" t="s">
        <v>824</v>
      </c>
      <c r="D12801" t="str">
        <f>HYPERLINK("http://service.sap.com/sap/support/notes/1859279","1859279")</f>
        <v>1859279</v>
      </c>
      <c r="E12801">
        <v>5</v>
      </c>
      <c r="F12801" t="s">
        <v>13304</v>
      </c>
    </row>
    <row r="12802" spans="1:6" x14ac:dyDescent="0.25">
      <c r="A12802" t="s">
        <v>13380</v>
      </c>
      <c r="B12802" t="s">
        <v>13303</v>
      </c>
      <c r="C12802" t="s">
        <v>824</v>
      </c>
      <c r="D12802" t="str">
        <f>HYPERLINK("http://service.sap.com/sap/support/notes/1861428","1861428")</f>
        <v>1861428</v>
      </c>
      <c r="E12802">
        <v>1</v>
      </c>
      <c r="F12802" t="s">
        <v>10679</v>
      </c>
    </row>
    <row r="12803" spans="1:6" x14ac:dyDescent="0.25">
      <c r="A12803" t="s">
        <v>13380</v>
      </c>
      <c r="B12803" t="s">
        <v>2767</v>
      </c>
      <c r="C12803" t="s">
        <v>2768</v>
      </c>
      <c r="D12803" t="str">
        <f>HYPERLINK("http://service.sap.com/sap/support/notes/1844133","1844133")</f>
        <v>1844133</v>
      </c>
      <c r="E12803">
        <v>2</v>
      </c>
    </row>
    <row r="12804" spans="1:6" x14ac:dyDescent="0.25">
      <c r="A12804" t="s">
        <v>13380</v>
      </c>
      <c r="B12804" t="s">
        <v>2767</v>
      </c>
      <c r="C12804" t="s">
        <v>2768</v>
      </c>
      <c r="D12804" t="str">
        <f>HYPERLINK("http://service.sap.com/sap/support/notes/1848977","1848977")</f>
        <v>1848977</v>
      </c>
      <c r="E12804">
        <v>2</v>
      </c>
    </row>
    <row r="12805" spans="1:6" x14ac:dyDescent="0.25">
      <c r="A12805" t="s">
        <v>13380</v>
      </c>
      <c r="B12805" t="s">
        <v>2773</v>
      </c>
      <c r="C12805" t="s">
        <v>2774</v>
      </c>
      <c r="D12805" t="str">
        <f>HYPERLINK("http://service.sap.com/sap/support/notes/1662961","1662961")</f>
        <v>1662961</v>
      </c>
      <c r="E12805">
        <v>2</v>
      </c>
      <c r="F12805" t="s">
        <v>13305</v>
      </c>
    </row>
    <row r="12806" spans="1:6" x14ac:dyDescent="0.25">
      <c r="A12806" t="s">
        <v>13380</v>
      </c>
      <c r="B12806" t="s">
        <v>2773</v>
      </c>
      <c r="C12806" t="s">
        <v>2774</v>
      </c>
      <c r="D12806" t="str">
        <f>HYPERLINK("http://service.sap.com/sap/support/notes/1676358","1676358")</f>
        <v>1676358</v>
      </c>
      <c r="E12806">
        <v>3</v>
      </c>
      <c r="F12806" t="s">
        <v>13306</v>
      </c>
    </row>
    <row r="12807" spans="1:6" x14ac:dyDescent="0.25">
      <c r="A12807" t="s">
        <v>13380</v>
      </c>
      <c r="B12807" t="s">
        <v>13307</v>
      </c>
      <c r="C12807" t="s">
        <v>13308</v>
      </c>
      <c r="D12807" t="str">
        <f>HYPERLINK("http://service.sap.com/sap/support/notes/1689423","1689423")</f>
        <v>1689423</v>
      </c>
      <c r="E12807">
        <v>2</v>
      </c>
      <c r="F12807" t="s">
        <v>13309</v>
      </c>
    </row>
    <row r="12808" spans="1:6" x14ac:dyDescent="0.25">
      <c r="A12808" t="s">
        <v>13380</v>
      </c>
      <c r="B12808" t="s">
        <v>13307</v>
      </c>
      <c r="C12808" t="s">
        <v>13308</v>
      </c>
      <c r="D12808" t="str">
        <f>HYPERLINK("http://service.sap.com/sap/support/notes/1691628","1691628")</f>
        <v>1691628</v>
      </c>
      <c r="E12808">
        <v>3</v>
      </c>
      <c r="F12808" t="s">
        <v>13310</v>
      </c>
    </row>
    <row r="12809" spans="1:6" x14ac:dyDescent="0.25">
      <c r="A12809" t="s">
        <v>13380</v>
      </c>
      <c r="B12809" t="s">
        <v>2779</v>
      </c>
      <c r="C12809" t="s">
        <v>2780</v>
      </c>
      <c r="D12809" t="str">
        <f>HYPERLINK("http://service.sap.com/sap/support/notes/1832441","1832441")</f>
        <v>1832441</v>
      </c>
      <c r="E12809">
        <v>2</v>
      </c>
      <c r="F12809" t="s">
        <v>10215</v>
      </c>
    </row>
    <row r="12810" spans="1:6" x14ac:dyDescent="0.25">
      <c r="A12810" t="s">
        <v>13380</v>
      </c>
      <c r="B12810" t="s">
        <v>2779</v>
      </c>
      <c r="C12810" t="s">
        <v>2780</v>
      </c>
      <c r="D12810" t="str">
        <f>HYPERLINK("http://service.sap.com/sap/support/notes/1843781","1843781")</f>
        <v>1843781</v>
      </c>
      <c r="E12810">
        <v>3</v>
      </c>
      <c r="F12810" t="s">
        <v>13311</v>
      </c>
    </row>
    <row r="12811" spans="1:6" x14ac:dyDescent="0.25">
      <c r="A12811" t="s">
        <v>13380</v>
      </c>
      <c r="B12811" t="s">
        <v>2779</v>
      </c>
      <c r="C12811" t="s">
        <v>2780</v>
      </c>
      <c r="D12811" t="str">
        <f>HYPERLINK("http://service.sap.com/sap/support/notes/1844756","1844756")</f>
        <v>1844756</v>
      </c>
      <c r="E12811">
        <v>1</v>
      </c>
      <c r="F12811" t="s">
        <v>10217</v>
      </c>
    </row>
    <row r="12812" spans="1:6" x14ac:dyDescent="0.25">
      <c r="A12812" t="s">
        <v>13380</v>
      </c>
      <c r="B12812" t="s">
        <v>2779</v>
      </c>
      <c r="C12812" t="s">
        <v>2780</v>
      </c>
      <c r="D12812" t="str">
        <f>HYPERLINK("http://service.sap.com/sap/support/notes/1844759","1844759")</f>
        <v>1844759</v>
      </c>
      <c r="E12812">
        <v>1</v>
      </c>
      <c r="F12812" t="s">
        <v>10218</v>
      </c>
    </row>
    <row r="12813" spans="1:6" x14ac:dyDescent="0.25">
      <c r="A12813" t="s">
        <v>13380</v>
      </c>
      <c r="B12813" t="s">
        <v>2779</v>
      </c>
      <c r="C12813" t="s">
        <v>2780</v>
      </c>
      <c r="D12813" t="str">
        <f>HYPERLINK("http://service.sap.com/sap/support/notes/1851330","1851330")</f>
        <v>1851330</v>
      </c>
      <c r="E12813">
        <v>1</v>
      </c>
      <c r="F12813" t="s">
        <v>13312</v>
      </c>
    </row>
    <row r="12814" spans="1:6" x14ac:dyDescent="0.25">
      <c r="A12814" t="s">
        <v>13380</v>
      </c>
      <c r="B12814" t="s">
        <v>2779</v>
      </c>
      <c r="C12814" t="s">
        <v>2780</v>
      </c>
      <c r="D12814" t="str">
        <f>HYPERLINK("http://service.sap.com/sap/support/notes/1851800","1851800")</f>
        <v>1851800</v>
      </c>
      <c r="E12814">
        <v>2</v>
      </c>
      <c r="F12814" t="s">
        <v>10220</v>
      </c>
    </row>
    <row r="12815" spans="1:6" x14ac:dyDescent="0.25">
      <c r="A12815" t="s">
        <v>13380</v>
      </c>
      <c r="B12815" t="s">
        <v>2779</v>
      </c>
      <c r="C12815" t="s">
        <v>2780</v>
      </c>
      <c r="D12815" t="str">
        <f>HYPERLINK("http://service.sap.com/sap/support/notes/1859157","1859157")</f>
        <v>1859157</v>
      </c>
      <c r="E12815">
        <v>3</v>
      </c>
      <c r="F12815" t="s">
        <v>10221</v>
      </c>
    </row>
    <row r="12816" spans="1:6" x14ac:dyDescent="0.25">
      <c r="A12816" t="s">
        <v>13380</v>
      </c>
      <c r="B12816" t="s">
        <v>2800</v>
      </c>
      <c r="C12816" t="s">
        <v>2801</v>
      </c>
      <c r="D12816" t="str">
        <f>HYPERLINK("http://service.sap.com/sap/support/notes/924773","924773")</f>
        <v>924773</v>
      </c>
      <c r="E12816">
        <v>9</v>
      </c>
      <c r="F12816" t="s">
        <v>10222</v>
      </c>
    </row>
    <row r="12817" spans="1:6" x14ac:dyDescent="0.25">
      <c r="A12817" t="s">
        <v>13380</v>
      </c>
      <c r="B12817" t="s">
        <v>2800</v>
      </c>
      <c r="C12817" t="s">
        <v>2801</v>
      </c>
      <c r="D12817" t="str">
        <f>HYPERLINK("http://service.sap.com/sap/support/notes/1834705","1834705")</f>
        <v>1834705</v>
      </c>
      <c r="E12817">
        <v>2</v>
      </c>
      <c r="F12817" t="s">
        <v>13313</v>
      </c>
    </row>
    <row r="12818" spans="1:6" x14ac:dyDescent="0.25">
      <c r="A12818" t="s">
        <v>13380</v>
      </c>
      <c r="B12818" t="s">
        <v>2800</v>
      </c>
      <c r="C12818" t="s">
        <v>2801</v>
      </c>
      <c r="D12818" t="str">
        <f>HYPERLINK("http://service.sap.com/sap/support/notes/1835335","1835335")</f>
        <v>1835335</v>
      </c>
      <c r="E12818">
        <v>2</v>
      </c>
      <c r="F12818" t="s">
        <v>10223</v>
      </c>
    </row>
    <row r="12819" spans="1:6" x14ac:dyDescent="0.25">
      <c r="A12819" t="s">
        <v>13380</v>
      </c>
      <c r="B12819" t="s">
        <v>2800</v>
      </c>
      <c r="C12819" t="s">
        <v>2801</v>
      </c>
      <c r="D12819" t="str">
        <f>HYPERLINK("http://service.sap.com/sap/support/notes/1839527","1839527")</f>
        <v>1839527</v>
      </c>
      <c r="E12819">
        <v>2</v>
      </c>
      <c r="F12819" t="s">
        <v>13314</v>
      </c>
    </row>
    <row r="12820" spans="1:6" x14ac:dyDescent="0.25">
      <c r="A12820" t="s">
        <v>13380</v>
      </c>
      <c r="B12820" t="s">
        <v>2800</v>
      </c>
      <c r="C12820" t="s">
        <v>2801</v>
      </c>
      <c r="D12820" t="str">
        <f>HYPERLINK("http://service.sap.com/sap/support/notes/1845434","1845434")</f>
        <v>1845434</v>
      </c>
      <c r="E12820">
        <v>2</v>
      </c>
      <c r="F12820" t="s">
        <v>13315</v>
      </c>
    </row>
    <row r="12821" spans="1:6" x14ac:dyDescent="0.25">
      <c r="A12821" t="s">
        <v>13380</v>
      </c>
      <c r="B12821" t="s">
        <v>2800</v>
      </c>
      <c r="C12821" t="s">
        <v>2801</v>
      </c>
      <c r="D12821" t="str">
        <f>HYPERLINK("http://service.sap.com/sap/support/notes/1845996","1845996")</f>
        <v>1845996</v>
      </c>
      <c r="E12821">
        <v>3</v>
      </c>
      <c r="F12821" t="s">
        <v>13316</v>
      </c>
    </row>
    <row r="12822" spans="1:6" x14ac:dyDescent="0.25">
      <c r="A12822" t="s">
        <v>13380</v>
      </c>
      <c r="B12822" t="s">
        <v>2800</v>
      </c>
      <c r="C12822" t="s">
        <v>2801</v>
      </c>
      <c r="D12822" t="str">
        <f>HYPERLINK("http://service.sap.com/sap/support/notes/1846069","1846069")</f>
        <v>1846069</v>
      </c>
      <c r="E12822">
        <v>1</v>
      </c>
      <c r="F12822" t="s">
        <v>10224</v>
      </c>
    </row>
    <row r="12823" spans="1:6" x14ac:dyDescent="0.25">
      <c r="A12823" t="s">
        <v>13380</v>
      </c>
      <c r="B12823" t="s">
        <v>2800</v>
      </c>
      <c r="C12823" t="s">
        <v>2801</v>
      </c>
      <c r="D12823" t="str">
        <f>HYPERLINK("http://service.sap.com/sap/support/notes/1846622","1846622")</f>
        <v>1846622</v>
      </c>
      <c r="E12823">
        <v>2</v>
      </c>
      <c r="F12823" t="s">
        <v>13317</v>
      </c>
    </row>
    <row r="12824" spans="1:6" x14ac:dyDescent="0.25">
      <c r="A12824" t="s">
        <v>13380</v>
      </c>
      <c r="B12824" t="s">
        <v>2800</v>
      </c>
      <c r="C12824" t="s">
        <v>2801</v>
      </c>
      <c r="D12824" t="str">
        <f>HYPERLINK("http://service.sap.com/sap/support/notes/1847128","1847128")</f>
        <v>1847128</v>
      </c>
      <c r="E12824">
        <v>1</v>
      </c>
      <c r="F12824" t="s">
        <v>10225</v>
      </c>
    </row>
    <row r="12825" spans="1:6" x14ac:dyDescent="0.25">
      <c r="A12825" t="s">
        <v>13380</v>
      </c>
      <c r="B12825" t="s">
        <v>2800</v>
      </c>
      <c r="C12825" t="s">
        <v>2801</v>
      </c>
      <c r="D12825" t="str">
        <f>HYPERLINK("http://service.sap.com/sap/support/notes/1847667","1847667")</f>
        <v>1847667</v>
      </c>
      <c r="E12825">
        <v>1</v>
      </c>
      <c r="F12825" t="s">
        <v>13318</v>
      </c>
    </row>
    <row r="12826" spans="1:6" x14ac:dyDescent="0.25">
      <c r="A12826" t="s">
        <v>13380</v>
      </c>
      <c r="B12826" t="s">
        <v>2800</v>
      </c>
      <c r="C12826" t="s">
        <v>2801</v>
      </c>
      <c r="D12826" t="str">
        <f>HYPERLINK("http://service.sap.com/sap/support/notes/1847992","1847992")</f>
        <v>1847992</v>
      </c>
      <c r="E12826">
        <v>2</v>
      </c>
      <c r="F12826" t="s">
        <v>13319</v>
      </c>
    </row>
    <row r="12827" spans="1:6" x14ac:dyDescent="0.25">
      <c r="A12827" t="s">
        <v>13380</v>
      </c>
      <c r="B12827" t="s">
        <v>2800</v>
      </c>
      <c r="C12827" t="s">
        <v>2801</v>
      </c>
      <c r="D12827" t="str">
        <f>HYPERLINK("http://service.sap.com/sap/support/notes/1849196","1849196")</f>
        <v>1849196</v>
      </c>
      <c r="E12827">
        <v>2</v>
      </c>
      <c r="F12827" t="s">
        <v>13320</v>
      </c>
    </row>
    <row r="12828" spans="1:6" x14ac:dyDescent="0.25">
      <c r="A12828" t="s">
        <v>13380</v>
      </c>
      <c r="B12828" t="s">
        <v>2800</v>
      </c>
      <c r="C12828" t="s">
        <v>2801</v>
      </c>
      <c r="D12828" t="str">
        <f>HYPERLINK("http://service.sap.com/sap/support/notes/1851445","1851445")</f>
        <v>1851445</v>
      </c>
      <c r="E12828">
        <v>1</v>
      </c>
      <c r="F12828" t="s">
        <v>13321</v>
      </c>
    </row>
    <row r="12829" spans="1:6" x14ac:dyDescent="0.25">
      <c r="A12829" t="s">
        <v>13380</v>
      </c>
      <c r="B12829" t="s">
        <v>2800</v>
      </c>
      <c r="C12829" t="s">
        <v>2801</v>
      </c>
      <c r="D12829" t="str">
        <f>HYPERLINK("http://service.sap.com/sap/support/notes/1851449","1851449")</f>
        <v>1851449</v>
      </c>
      <c r="E12829">
        <v>1</v>
      </c>
      <c r="F12829" t="s">
        <v>13322</v>
      </c>
    </row>
    <row r="12830" spans="1:6" x14ac:dyDescent="0.25">
      <c r="A12830" t="s">
        <v>13380</v>
      </c>
      <c r="B12830" t="s">
        <v>2800</v>
      </c>
      <c r="C12830" t="s">
        <v>2801</v>
      </c>
      <c r="D12830" t="str">
        <f>HYPERLINK("http://service.sap.com/sap/support/notes/1853858","1853858")</f>
        <v>1853858</v>
      </c>
      <c r="E12830">
        <v>1</v>
      </c>
      <c r="F12830" t="s">
        <v>13323</v>
      </c>
    </row>
    <row r="12831" spans="1:6" x14ac:dyDescent="0.25">
      <c r="A12831" t="s">
        <v>13380</v>
      </c>
      <c r="B12831" t="s">
        <v>2800</v>
      </c>
      <c r="C12831" t="s">
        <v>2801</v>
      </c>
      <c r="D12831" t="str">
        <f>HYPERLINK("http://service.sap.com/sap/support/notes/1854245","1854245")</f>
        <v>1854245</v>
      </c>
      <c r="E12831">
        <v>2</v>
      </c>
      <c r="F12831" t="s">
        <v>13324</v>
      </c>
    </row>
    <row r="12832" spans="1:6" x14ac:dyDescent="0.25">
      <c r="A12832" t="s">
        <v>13380</v>
      </c>
      <c r="B12832" t="s">
        <v>2800</v>
      </c>
      <c r="C12832" t="s">
        <v>2801</v>
      </c>
      <c r="D12832" t="str">
        <f>HYPERLINK("http://service.sap.com/sap/support/notes/1854297","1854297")</f>
        <v>1854297</v>
      </c>
      <c r="E12832">
        <v>1</v>
      </c>
      <c r="F12832" t="s">
        <v>13325</v>
      </c>
    </row>
    <row r="12833" spans="1:6" x14ac:dyDescent="0.25">
      <c r="A12833" t="s">
        <v>13380</v>
      </c>
      <c r="B12833" t="s">
        <v>2800</v>
      </c>
      <c r="C12833" t="s">
        <v>2801</v>
      </c>
      <c r="D12833" t="str">
        <f>HYPERLINK("http://service.sap.com/sap/support/notes/1856558","1856558")</f>
        <v>1856558</v>
      </c>
      <c r="E12833">
        <v>1</v>
      </c>
      <c r="F12833" t="s">
        <v>13326</v>
      </c>
    </row>
    <row r="12834" spans="1:6" x14ac:dyDescent="0.25">
      <c r="A12834" t="s">
        <v>13380</v>
      </c>
      <c r="B12834" t="s">
        <v>2800</v>
      </c>
      <c r="C12834" t="s">
        <v>2801</v>
      </c>
      <c r="D12834" t="str">
        <f>HYPERLINK("http://service.sap.com/sap/support/notes/1861704","1861704")</f>
        <v>1861704</v>
      </c>
      <c r="E12834">
        <v>1</v>
      </c>
      <c r="F12834" t="s">
        <v>13327</v>
      </c>
    </row>
    <row r="12835" spans="1:6" x14ac:dyDescent="0.25">
      <c r="A12835" t="s">
        <v>13380</v>
      </c>
      <c r="B12835" t="s">
        <v>2800</v>
      </c>
      <c r="C12835" t="s">
        <v>2801</v>
      </c>
      <c r="D12835" t="str">
        <f>HYPERLINK("http://service.sap.com/sap/support/notes/1862835","1862835")</f>
        <v>1862835</v>
      </c>
      <c r="E12835">
        <v>1</v>
      </c>
      <c r="F12835" t="s">
        <v>13328</v>
      </c>
    </row>
    <row r="12836" spans="1:6" x14ac:dyDescent="0.25">
      <c r="A12836" t="s">
        <v>13380</v>
      </c>
      <c r="B12836" t="s">
        <v>2806</v>
      </c>
      <c r="C12836" t="s">
        <v>1588</v>
      </c>
      <c r="D12836" t="str">
        <f>HYPERLINK("http://service.sap.com/sap/support/notes/1800319","1800319")</f>
        <v>1800319</v>
      </c>
      <c r="E12836">
        <v>4</v>
      </c>
      <c r="F12836" t="s">
        <v>10226</v>
      </c>
    </row>
    <row r="12837" spans="1:6" x14ac:dyDescent="0.25">
      <c r="A12837" t="s">
        <v>13380</v>
      </c>
      <c r="B12837" t="s">
        <v>2806</v>
      </c>
      <c r="C12837" t="s">
        <v>1588</v>
      </c>
      <c r="D12837" t="str">
        <f>HYPERLINK("http://service.sap.com/sap/support/notes/1826851","1826851")</f>
        <v>1826851</v>
      </c>
      <c r="E12837">
        <v>2</v>
      </c>
      <c r="F12837" t="s">
        <v>10227</v>
      </c>
    </row>
    <row r="12838" spans="1:6" x14ac:dyDescent="0.25">
      <c r="A12838" t="s">
        <v>13380</v>
      </c>
      <c r="B12838" t="s">
        <v>2806</v>
      </c>
      <c r="C12838" t="s">
        <v>1588</v>
      </c>
      <c r="D12838" t="str">
        <f>HYPERLINK("http://service.sap.com/sap/support/notes/1855971","1855971")</f>
        <v>1855971</v>
      </c>
      <c r="E12838">
        <v>1</v>
      </c>
      <c r="F12838" t="s">
        <v>11667</v>
      </c>
    </row>
    <row r="12839" spans="1:6" x14ac:dyDescent="0.25">
      <c r="A12839" t="s">
        <v>13380</v>
      </c>
      <c r="B12839" t="s">
        <v>2810</v>
      </c>
      <c r="C12839" t="s">
        <v>2811</v>
      </c>
      <c r="D12839" t="str">
        <f>HYPERLINK("http://service.sap.com/sap/support/notes/1106858","1106858")</f>
        <v>1106858</v>
      </c>
      <c r="E12839">
        <v>4</v>
      </c>
      <c r="F12839" t="s">
        <v>13329</v>
      </c>
    </row>
    <row r="12840" spans="1:6" x14ac:dyDescent="0.25">
      <c r="A12840" t="s">
        <v>13380</v>
      </c>
      <c r="B12840" t="s">
        <v>2810</v>
      </c>
      <c r="C12840" t="s">
        <v>2811</v>
      </c>
      <c r="D12840" t="str">
        <f>HYPERLINK("http://service.sap.com/sap/support/notes/1669209","1669209")</f>
        <v>1669209</v>
      </c>
      <c r="E12840">
        <v>3</v>
      </c>
      <c r="F12840" t="s">
        <v>13330</v>
      </c>
    </row>
    <row r="12841" spans="1:6" x14ac:dyDescent="0.25">
      <c r="A12841" t="s">
        <v>13380</v>
      </c>
      <c r="B12841" t="s">
        <v>2810</v>
      </c>
      <c r="C12841" t="s">
        <v>2811</v>
      </c>
      <c r="D12841" t="str">
        <f>HYPERLINK("http://service.sap.com/sap/support/notes/1801696","1801696")</f>
        <v>1801696</v>
      </c>
      <c r="E12841">
        <v>2</v>
      </c>
      <c r="F12841" t="s">
        <v>10229</v>
      </c>
    </row>
    <row r="12842" spans="1:6" x14ac:dyDescent="0.25">
      <c r="A12842" t="s">
        <v>13380</v>
      </c>
      <c r="B12842" t="s">
        <v>2810</v>
      </c>
      <c r="C12842" t="s">
        <v>2811</v>
      </c>
      <c r="D12842" t="str">
        <f>HYPERLINK("http://service.sap.com/sap/support/notes/1806762","1806762")</f>
        <v>1806762</v>
      </c>
      <c r="E12842">
        <v>2</v>
      </c>
      <c r="F12842" t="s">
        <v>10230</v>
      </c>
    </row>
    <row r="12843" spans="1:6" x14ac:dyDescent="0.25">
      <c r="A12843" t="s">
        <v>13380</v>
      </c>
      <c r="B12843" t="s">
        <v>2810</v>
      </c>
      <c r="C12843" t="s">
        <v>2811</v>
      </c>
      <c r="D12843" t="str">
        <f>HYPERLINK("http://service.sap.com/sap/support/notes/1817265","1817265")</f>
        <v>1817265</v>
      </c>
      <c r="E12843">
        <v>3</v>
      </c>
      <c r="F12843" t="s">
        <v>10231</v>
      </c>
    </row>
    <row r="12844" spans="1:6" x14ac:dyDescent="0.25">
      <c r="A12844" t="s">
        <v>13380</v>
      </c>
      <c r="B12844" t="s">
        <v>2810</v>
      </c>
      <c r="C12844" t="s">
        <v>2811</v>
      </c>
      <c r="D12844" t="str">
        <f>HYPERLINK("http://service.sap.com/sap/support/notes/1843779","1843779")</f>
        <v>1843779</v>
      </c>
      <c r="E12844">
        <v>2</v>
      </c>
      <c r="F12844" t="s">
        <v>10235</v>
      </c>
    </row>
    <row r="12845" spans="1:6" x14ac:dyDescent="0.25">
      <c r="A12845" t="s">
        <v>13380</v>
      </c>
      <c r="B12845" t="s">
        <v>2810</v>
      </c>
      <c r="C12845" t="s">
        <v>2811</v>
      </c>
      <c r="D12845" t="str">
        <f>HYPERLINK("http://service.sap.com/sap/support/notes/1844847","1844847")</f>
        <v>1844847</v>
      </c>
      <c r="E12845">
        <v>1</v>
      </c>
      <c r="F12845" t="s">
        <v>10236</v>
      </c>
    </row>
    <row r="12846" spans="1:6" x14ac:dyDescent="0.25">
      <c r="A12846" t="s">
        <v>13380</v>
      </c>
      <c r="B12846" t="s">
        <v>2810</v>
      </c>
      <c r="C12846" t="s">
        <v>2811</v>
      </c>
      <c r="D12846" t="str">
        <f>HYPERLINK("http://service.sap.com/sap/support/notes/1850462","1850462")</f>
        <v>1850462</v>
      </c>
      <c r="E12846">
        <v>1</v>
      </c>
      <c r="F12846" t="s">
        <v>10237</v>
      </c>
    </row>
    <row r="12847" spans="1:6" x14ac:dyDescent="0.25">
      <c r="A12847" t="s">
        <v>13380</v>
      </c>
      <c r="B12847" t="s">
        <v>2818</v>
      </c>
      <c r="C12847" t="s">
        <v>2819</v>
      </c>
      <c r="D12847" t="str">
        <f>HYPERLINK("http://service.sap.com/sap/support/notes/1504027","1504027")</f>
        <v>1504027</v>
      </c>
      <c r="E12847">
        <v>4</v>
      </c>
      <c r="F12847" t="s">
        <v>10238</v>
      </c>
    </row>
    <row r="12848" spans="1:6" x14ac:dyDescent="0.25">
      <c r="A12848" t="s">
        <v>13380</v>
      </c>
      <c r="B12848" t="s">
        <v>2818</v>
      </c>
      <c r="C12848" t="s">
        <v>2819</v>
      </c>
      <c r="D12848" t="str">
        <f>HYPERLINK("http://service.sap.com/sap/support/notes/1846514","1846514")</f>
        <v>1846514</v>
      </c>
      <c r="E12848">
        <v>1</v>
      </c>
      <c r="F12848" t="s">
        <v>10239</v>
      </c>
    </row>
    <row r="12849" spans="1:6" x14ac:dyDescent="0.25">
      <c r="A12849" t="s">
        <v>13380</v>
      </c>
      <c r="B12849" t="s">
        <v>2818</v>
      </c>
      <c r="C12849" t="s">
        <v>2819</v>
      </c>
      <c r="D12849" t="str">
        <f>HYPERLINK("http://service.sap.com/sap/support/notes/1858581","1858581")</f>
        <v>1858581</v>
      </c>
      <c r="E12849">
        <v>1</v>
      </c>
      <c r="F12849" t="s">
        <v>10240</v>
      </c>
    </row>
    <row r="12850" spans="1:6" x14ac:dyDescent="0.25">
      <c r="A12850" t="s">
        <v>13380</v>
      </c>
      <c r="B12850" t="s">
        <v>2824</v>
      </c>
      <c r="C12850" t="s">
        <v>2825</v>
      </c>
    </row>
    <row r="12851" spans="1:6" x14ac:dyDescent="0.25">
      <c r="A12851" t="s">
        <v>13380</v>
      </c>
      <c r="B12851" t="s">
        <v>2826</v>
      </c>
      <c r="C12851" t="s">
        <v>2827</v>
      </c>
      <c r="D12851" t="str">
        <f>HYPERLINK("http://service.sap.com/sap/support/notes/1861663","1861663")</f>
        <v>1861663</v>
      </c>
      <c r="E12851">
        <v>1</v>
      </c>
      <c r="F12851" t="s">
        <v>11656</v>
      </c>
    </row>
    <row r="12852" spans="1:6" x14ac:dyDescent="0.25">
      <c r="A12852" t="s">
        <v>13380</v>
      </c>
      <c r="B12852" t="s">
        <v>2832</v>
      </c>
      <c r="C12852" t="s">
        <v>1588</v>
      </c>
    </row>
    <row r="12853" spans="1:6" x14ac:dyDescent="0.25">
      <c r="A12853" t="s">
        <v>13380</v>
      </c>
      <c r="B12853" t="s">
        <v>2833</v>
      </c>
      <c r="C12853" t="s">
        <v>2834</v>
      </c>
      <c r="D12853" t="str">
        <f>HYPERLINK("http://service.sap.com/sap/support/notes/1833274","1833274")</f>
        <v>1833274</v>
      </c>
      <c r="E12853">
        <v>2</v>
      </c>
      <c r="F12853" t="s">
        <v>10242</v>
      </c>
    </row>
    <row r="12854" spans="1:6" x14ac:dyDescent="0.25">
      <c r="A12854" t="s">
        <v>13380</v>
      </c>
      <c r="B12854" t="s">
        <v>2833</v>
      </c>
      <c r="C12854" t="s">
        <v>2834</v>
      </c>
      <c r="D12854" t="str">
        <f>HYPERLINK("http://service.sap.com/sap/support/notes/1841172","1841172")</f>
        <v>1841172</v>
      </c>
      <c r="E12854">
        <v>2</v>
      </c>
      <c r="F12854" t="s">
        <v>10243</v>
      </c>
    </row>
    <row r="12855" spans="1:6" x14ac:dyDescent="0.25">
      <c r="A12855" t="s">
        <v>13380</v>
      </c>
      <c r="B12855" t="s">
        <v>2838</v>
      </c>
      <c r="C12855" t="s">
        <v>2839</v>
      </c>
      <c r="D12855" t="str">
        <f>HYPERLINK("http://service.sap.com/sap/support/notes/1864397","1864397")</f>
        <v>1864397</v>
      </c>
      <c r="E12855">
        <v>3</v>
      </c>
      <c r="F12855" t="s">
        <v>10244</v>
      </c>
    </row>
    <row r="12856" spans="1:6" x14ac:dyDescent="0.25">
      <c r="A12856" t="s">
        <v>13380</v>
      </c>
      <c r="B12856" t="s">
        <v>2840</v>
      </c>
      <c r="C12856" t="s">
        <v>2841</v>
      </c>
      <c r="D12856" t="str">
        <f>HYPERLINK("http://service.sap.com/sap/support/notes/1692772","1692772")</f>
        <v>1692772</v>
      </c>
      <c r="E12856">
        <v>5</v>
      </c>
      <c r="F12856" t="s">
        <v>10245</v>
      </c>
    </row>
    <row r="12857" spans="1:6" x14ac:dyDescent="0.25">
      <c r="A12857" t="s">
        <v>13380</v>
      </c>
      <c r="B12857" t="s">
        <v>2843</v>
      </c>
      <c r="C12857" t="s">
        <v>2844</v>
      </c>
      <c r="D12857" t="str">
        <f>HYPERLINK("http://service.sap.com/sap/support/notes/1837309","1837309")</f>
        <v>1837309</v>
      </c>
      <c r="E12857">
        <v>3</v>
      </c>
      <c r="F12857" t="s">
        <v>10246</v>
      </c>
    </row>
    <row r="12858" spans="1:6" x14ac:dyDescent="0.25">
      <c r="A12858" t="s">
        <v>13380</v>
      </c>
      <c r="B12858" t="s">
        <v>2843</v>
      </c>
      <c r="C12858" t="s">
        <v>2844</v>
      </c>
      <c r="D12858" t="str">
        <f>HYPERLINK("http://service.sap.com/sap/support/notes/1845314","1845314")</f>
        <v>1845314</v>
      </c>
      <c r="E12858">
        <v>1</v>
      </c>
      <c r="F12858" t="s">
        <v>10247</v>
      </c>
    </row>
    <row r="12859" spans="1:6" x14ac:dyDescent="0.25">
      <c r="A12859" t="s">
        <v>13380</v>
      </c>
      <c r="B12859" t="s">
        <v>2843</v>
      </c>
      <c r="C12859" t="s">
        <v>2844</v>
      </c>
      <c r="D12859" t="str">
        <f>HYPERLINK("http://service.sap.com/sap/support/notes/1847303","1847303")</f>
        <v>1847303</v>
      </c>
      <c r="E12859">
        <v>1</v>
      </c>
      <c r="F12859" t="s">
        <v>10248</v>
      </c>
    </row>
    <row r="12860" spans="1:6" x14ac:dyDescent="0.25">
      <c r="A12860" t="s">
        <v>13380</v>
      </c>
      <c r="B12860" t="s">
        <v>2847</v>
      </c>
      <c r="C12860" t="s">
        <v>2848</v>
      </c>
      <c r="D12860" t="str">
        <f>HYPERLINK("http://service.sap.com/sap/support/notes/1844206","1844206")</f>
        <v>1844206</v>
      </c>
      <c r="E12860">
        <v>2</v>
      </c>
      <c r="F12860" t="s">
        <v>10249</v>
      </c>
    </row>
    <row r="12861" spans="1:6" x14ac:dyDescent="0.25">
      <c r="A12861" t="s">
        <v>13380</v>
      </c>
      <c r="B12861" t="s">
        <v>2847</v>
      </c>
      <c r="C12861" t="s">
        <v>2848</v>
      </c>
      <c r="D12861" t="str">
        <f>HYPERLINK("http://service.sap.com/sap/support/notes/1859808","1859808")</f>
        <v>1859808</v>
      </c>
      <c r="E12861">
        <v>1</v>
      </c>
      <c r="F12861" t="s">
        <v>10250</v>
      </c>
    </row>
    <row r="12862" spans="1:6" x14ac:dyDescent="0.25">
      <c r="A12862" t="s">
        <v>13380</v>
      </c>
      <c r="B12862" t="s">
        <v>2847</v>
      </c>
      <c r="C12862" t="s">
        <v>2848</v>
      </c>
      <c r="D12862" t="str">
        <f>HYPERLINK("http://service.sap.com/sap/support/notes/1860570","1860570")</f>
        <v>1860570</v>
      </c>
      <c r="E12862">
        <v>1</v>
      </c>
      <c r="F12862" t="s">
        <v>13331</v>
      </c>
    </row>
    <row r="12863" spans="1:6" x14ac:dyDescent="0.25">
      <c r="A12863" t="s">
        <v>13380</v>
      </c>
      <c r="B12863" t="s">
        <v>2850</v>
      </c>
      <c r="C12863" t="s">
        <v>2851</v>
      </c>
      <c r="D12863" t="str">
        <f>HYPERLINK("http://service.sap.com/sap/support/notes/1680091","1680091")</f>
        <v>1680091</v>
      </c>
      <c r="E12863">
        <v>1</v>
      </c>
      <c r="F12863" t="s">
        <v>13332</v>
      </c>
    </row>
    <row r="12864" spans="1:6" x14ac:dyDescent="0.25">
      <c r="A12864" t="s">
        <v>13380</v>
      </c>
      <c r="B12864" t="s">
        <v>2850</v>
      </c>
      <c r="C12864" t="s">
        <v>2851</v>
      </c>
      <c r="D12864" t="str">
        <f>HYPERLINK("http://service.sap.com/sap/support/notes/1842132","1842132")</f>
        <v>1842132</v>
      </c>
      <c r="E12864">
        <v>1</v>
      </c>
      <c r="F12864" t="s">
        <v>10252</v>
      </c>
    </row>
    <row r="12865" spans="1:6" x14ac:dyDescent="0.25">
      <c r="A12865" t="s">
        <v>13380</v>
      </c>
      <c r="B12865" t="s">
        <v>2865</v>
      </c>
      <c r="C12865" t="s">
        <v>10253</v>
      </c>
    </row>
    <row r="12866" spans="1:6" x14ac:dyDescent="0.25">
      <c r="A12866" t="s">
        <v>13380</v>
      </c>
      <c r="B12866" t="s">
        <v>2869</v>
      </c>
      <c r="C12866" t="s">
        <v>2870</v>
      </c>
      <c r="D12866" t="str">
        <f>HYPERLINK("http://service.sap.com/sap/support/notes/1857060","1857060")</f>
        <v>1857060</v>
      </c>
      <c r="E12866">
        <v>1</v>
      </c>
      <c r="F12866" t="s">
        <v>10256</v>
      </c>
    </row>
    <row r="12867" spans="1:6" x14ac:dyDescent="0.25">
      <c r="A12867" t="s">
        <v>13380</v>
      </c>
      <c r="B12867" t="s">
        <v>10257</v>
      </c>
      <c r="C12867" t="s">
        <v>10258</v>
      </c>
      <c r="D12867" t="str">
        <f>HYPERLINK("http://service.sap.com/sap/support/notes/1849708","1849708")</f>
        <v>1849708</v>
      </c>
      <c r="E12867">
        <v>1</v>
      </c>
      <c r="F12867" t="s">
        <v>10260</v>
      </c>
    </row>
    <row r="12868" spans="1:6" x14ac:dyDescent="0.25">
      <c r="A12868" t="s">
        <v>13380</v>
      </c>
      <c r="B12868" t="s">
        <v>2872</v>
      </c>
      <c r="C12868" t="s">
        <v>2873</v>
      </c>
      <c r="D12868" t="str">
        <f>HYPERLINK("http://service.sap.com/sap/support/notes/1439800","1439800")</f>
        <v>1439800</v>
      </c>
      <c r="E12868">
        <v>5</v>
      </c>
      <c r="F12868" t="s">
        <v>10262</v>
      </c>
    </row>
    <row r="12869" spans="1:6" x14ac:dyDescent="0.25">
      <c r="A12869" t="s">
        <v>13380</v>
      </c>
      <c r="B12869" t="s">
        <v>2872</v>
      </c>
      <c r="C12869" t="s">
        <v>2873</v>
      </c>
      <c r="D12869" t="str">
        <f>HYPERLINK("http://service.sap.com/sap/support/notes/1733455","1733455")</f>
        <v>1733455</v>
      </c>
      <c r="E12869">
        <v>5</v>
      </c>
      <c r="F12869" t="s">
        <v>10263</v>
      </c>
    </row>
    <row r="12870" spans="1:6" x14ac:dyDescent="0.25">
      <c r="A12870" t="s">
        <v>13380</v>
      </c>
      <c r="B12870" t="s">
        <v>2872</v>
      </c>
      <c r="C12870" t="s">
        <v>2873</v>
      </c>
      <c r="D12870" t="str">
        <f>HYPERLINK("http://service.sap.com/sap/support/notes/1858567","1858567")</f>
        <v>1858567</v>
      </c>
      <c r="E12870">
        <v>2</v>
      </c>
      <c r="F12870" t="s">
        <v>9177</v>
      </c>
    </row>
    <row r="12871" spans="1:6" x14ac:dyDescent="0.25">
      <c r="A12871" t="s">
        <v>13380</v>
      </c>
      <c r="B12871" t="s">
        <v>2872</v>
      </c>
      <c r="C12871" t="s">
        <v>2873</v>
      </c>
      <c r="D12871" t="str">
        <f>HYPERLINK("http://service.sap.com/sap/support/notes/1858884","1858884")</f>
        <v>1858884</v>
      </c>
      <c r="E12871">
        <v>2</v>
      </c>
      <c r="F12871" t="s">
        <v>13333</v>
      </c>
    </row>
    <row r="12872" spans="1:6" x14ac:dyDescent="0.25">
      <c r="A12872" t="s">
        <v>13380</v>
      </c>
      <c r="B12872" t="s">
        <v>2872</v>
      </c>
      <c r="C12872" t="s">
        <v>2873</v>
      </c>
      <c r="D12872" t="str">
        <f>HYPERLINK("http://service.sap.com/sap/support/notes/1859555","1859555")</f>
        <v>1859555</v>
      </c>
      <c r="E12872">
        <v>1</v>
      </c>
      <c r="F12872" t="s">
        <v>10264</v>
      </c>
    </row>
    <row r="12873" spans="1:6" x14ac:dyDescent="0.25">
      <c r="A12873" t="s">
        <v>13380</v>
      </c>
      <c r="B12873" t="s">
        <v>2874</v>
      </c>
      <c r="C12873" t="s">
        <v>2875</v>
      </c>
      <c r="D12873" t="str">
        <f>HYPERLINK("http://service.sap.com/sap/support/notes/1833116","1833116")</f>
        <v>1833116</v>
      </c>
      <c r="E12873">
        <v>2</v>
      </c>
      <c r="F12873" t="s">
        <v>10265</v>
      </c>
    </row>
    <row r="12874" spans="1:6" x14ac:dyDescent="0.25">
      <c r="A12874" t="s">
        <v>13380</v>
      </c>
      <c r="B12874" t="s">
        <v>2877</v>
      </c>
      <c r="C12874" t="s">
        <v>2878</v>
      </c>
      <c r="D12874" t="str">
        <f>HYPERLINK("http://service.sap.com/sap/support/notes/1812349","1812349")</f>
        <v>1812349</v>
      </c>
      <c r="E12874">
        <v>3</v>
      </c>
      <c r="F12874" t="s">
        <v>10268</v>
      </c>
    </row>
    <row r="12875" spans="1:6" x14ac:dyDescent="0.25">
      <c r="A12875" t="s">
        <v>13380</v>
      </c>
      <c r="B12875" t="s">
        <v>2877</v>
      </c>
      <c r="C12875" t="s">
        <v>2878</v>
      </c>
      <c r="D12875" t="str">
        <f>HYPERLINK("http://service.sap.com/sap/support/notes/1844944","1844944")</f>
        <v>1844944</v>
      </c>
      <c r="E12875">
        <v>2</v>
      </c>
      <c r="F12875" t="s">
        <v>10269</v>
      </c>
    </row>
    <row r="12876" spans="1:6" x14ac:dyDescent="0.25">
      <c r="A12876" t="s">
        <v>13380</v>
      </c>
      <c r="B12876" t="s">
        <v>2877</v>
      </c>
      <c r="C12876" t="s">
        <v>2878</v>
      </c>
      <c r="D12876" t="str">
        <f>HYPERLINK("http://service.sap.com/sap/support/notes/1855458","1855458")</f>
        <v>1855458</v>
      </c>
      <c r="E12876">
        <v>1</v>
      </c>
      <c r="F12876" t="s">
        <v>10270</v>
      </c>
    </row>
    <row r="12877" spans="1:6" x14ac:dyDescent="0.25">
      <c r="A12877" t="s">
        <v>13380</v>
      </c>
      <c r="B12877" t="s">
        <v>2883</v>
      </c>
      <c r="C12877" t="s">
        <v>2884</v>
      </c>
      <c r="D12877" t="str">
        <f>HYPERLINK("http://service.sap.com/sap/support/notes/1763085","1763085")</f>
        <v>1763085</v>
      </c>
      <c r="E12877">
        <v>6</v>
      </c>
      <c r="F12877" t="s">
        <v>11621</v>
      </c>
    </row>
    <row r="12878" spans="1:6" x14ac:dyDescent="0.25">
      <c r="A12878" t="s">
        <v>13380</v>
      </c>
      <c r="B12878" t="s">
        <v>2883</v>
      </c>
      <c r="C12878" t="s">
        <v>2884</v>
      </c>
      <c r="D12878" t="str">
        <f>HYPERLINK("http://service.sap.com/sap/support/notes/1840087","1840087")</f>
        <v>1840087</v>
      </c>
      <c r="E12878">
        <v>2</v>
      </c>
      <c r="F12878" t="s">
        <v>10271</v>
      </c>
    </row>
    <row r="12879" spans="1:6" x14ac:dyDescent="0.25">
      <c r="A12879" t="s">
        <v>13380</v>
      </c>
      <c r="B12879" t="s">
        <v>2883</v>
      </c>
      <c r="C12879" t="s">
        <v>2884</v>
      </c>
      <c r="D12879" t="str">
        <f>HYPERLINK("http://service.sap.com/sap/support/notes/1841605","1841605")</f>
        <v>1841605</v>
      </c>
      <c r="E12879">
        <v>2</v>
      </c>
      <c r="F12879" t="s">
        <v>10272</v>
      </c>
    </row>
    <row r="12880" spans="1:6" x14ac:dyDescent="0.25">
      <c r="A12880" t="s">
        <v>13380</v>
      </c>
      <c r="B12880" t="s">
        <v>2886</v>
      </c>
      <c r="C12880" t="s">
        <v>2887</v>
      </c>
      <c r="D12880" t="str">
        <f>HYPERLINK("http://service.sap.com/sap/support/notes/1856070","1856070")</f>
        <v>1856070</v>
      </c>
      <c r="E12880">
        <v>1</v>
      </c>
      <c r="F12880" t="s">
        <v>10274</v>
      </c>
    </row>
    <row r="12881" spans="1:6" x14ac:dyDescent="0.25">
      <c r="A12881" t="s">
        <v>13380</v>
      </c>
      <c r="B12881" t="s">
        <v>2903</v>
      </c>
      <c r="C12881" t="s">
        <v>2904</v>
      </c>
      <c r="D12881" t="str">
        <f>HYPERLINK("http://service.sap.com/sap/support/notes/1846962","1846962")</f>
        <v>1846962</v>
      </c>
      <c r="E12881">
        <v>2</v>
      </c>
      <c r="F12881" t="s">
        <v>10276</v>
      </c>
    </row>
    <row r="12882" spans="1:6" x14ac:dyDescent="0.25">
      <c r="A12882" t="s">
        <v>13380</v>
      </c>
      <c r="B12882" t="s">
        <v>2903</v>
      </c>
      <c r="C12882" t="s">
        <v>2904</v>
      </c>
      <c r="D12882" t="str">
        <f>HYPERLINK("http://service.sap.com/sap/support/notes/1848608","1848608")</f>
        <v>1848608</v>
      </c>
      <c r="E12882">
        <v>1</v>
      </c>
      <c r="F12882" t="s">
        <v>10277</v>
      </c>
    </row>
    <row r="12883" spans="1:6" x14ac:dyDescent="0.25">
      <c r="A12883" t="s">
        <v>13380</v>
      </c>
      <c r="B12883" t="s">
        <v>10278</v>
      </c>
      <c r="C12883" t="s">
        <v>10279</v>
      </c>
      <c r="D12883" t="str">
        <f>HYPERLINK("http://service.sap.com/sap/support/notes/1684535","1684535")</f>
        <v>1684535</v>
      </c>
      <c r="E12883">
        <v>6</v>
      </c>
      <c r="F12883" t="s">
        <v>10280</v>
      </c>
    </row>
    <row r="12884" spans="1:6" x14ac:dyDescent="0.25">
      <c r="A12884" t="s">
        <v>13380</v>
      </c>
      <c r="B12884" t="s">
        <v>8135</v>
      </c>
      <c r="C12884" t="s">
        <v>8136</v>
      </c>
      <c r="D12884" t="str">
        <f>HYPERLINK("http://service.sap.com/sap/support/notes/1854244","1854244")</f>
        <v>1854244</v>
      </c>
      <c r="E12884">
        <v>1</v>
      </c>
      <c r="F12884" t="s">
        <v>10281</v>
      </c>
    </row>
    <row r="12885" spans="1:6" x14ac:dyDescent="0.25">
      <c r="A12885" t="s">
        <v>13380</v>
      </c>
      <c r="B12885" t="s">
        <v>2907</v>
      </c>
      <c r="C12885" t="s">
        <v>824</v>
      </c>
      <c r="D12885" t="str">
        <f>HYPERLINK("http://service.sap.com/sap/support/notes/1716259","1716259")</f>
        <v>1716259</v>
      </c>
      <c r="E12885">
        <v>3</v>
      </c>
      <c r="F12885" t="s">
        <v>10282</v>
      </c>
    </row>
    <row r="12886" spans="1:6" x14ac:dyDescent="0.25">
      <c r="A12886" t="s">
        <v>13380</v>
      </c>
      <c r="B12886" t="s">
        <v>2907</v>
      </c>
      <c r="C12886" t="s">
        <v>824</v>
      </c>
      <c r="D12886" t="str">
        <f>HYPERLINK("http://service.sap.com/sap/support/notes/1842578","1842578")</f>
        <v>1842578</v>
      </c>
      <c r="E12886">
        <v>2</v>
      </c>
      <c r="F12886" t="s">
        <v>10283</v>
      </c>
    </row>
    <row r="12887" spans="1:6" x14ac:dyDescent="0.25">
      <c r="A12887" t="s">
        <v>13380</v>
      </c>
      <c r="B12887" t="s">
        <v>2909</v>
      </c>
      <c r="C12887" t="s">
        <v>2910</v>
      </c>
      <c r="D12887" t="str">
        <f>HYPERLINK("http://service.sap.com/sap/support/notes/1746485","1746485")</f>
        <v>1746485</v>
      </c>
      <c r="E12887">
        <v>3</v>
      </c>
      <c r="F12887" t="s">
        <v>10284</v>
      </c>
    </row>
    <row r="12888" spans="1:6" x14ac:dyDescent="0.25">
      <c r="A12888" t="s">
        <v>13380</v>
      </c>
      <c r="B12888" t="s">
        <v>2909</v>
      </c>
      <c r="C12888" t="s">
        <v>2910</v>
      </c>
      <c r="D12888" t="str">
        <f>HYPERLINK("http://service.sap.com/sap/support/notes/1856205","1856205")</f>
        <v>1856205</v>
      </c>
      <c r="E12888">
        <v>1</v>
      </c>
      <c r="F12888" t="s">
        <v>10286</v>
      </c>
    </row>
    <row r="12889" spans="1:6" x14ac:dyDescent="0.25">
      <c r="A12889" t="s">
        <v>13380</v>
      </c>
      <c r="B12889" t="s">
        <v>2912</v>
      </c>
      <c r="C12889" t="s">
        <v>2913</v>
      </c>
      <c r="D12889" t="str">
        <f>HYPERLINK("http://service.sap.com/sap/support/notes/1848831","1848831")</f>
        <v>1848831</v>
      </c>
      <c r="E12889">
        <v>1</v>
      </c>
      <c r="F12889" t="s">
        <v>10287</v>
      </c>
    </row>
    <row r="12890" spans="1:6" x14ac:dyDescent="0.25">
      <c r="A12890" t="s">
        <v>13380</v>
      </c>
      <c r="B12890" t="s">
        <v>2918</v>
      </c>
      <c r="C12890" t="s">
        <v>2919</v>
      </c>
      <c r="D12890" t="str">
        <f>HYPERLINK("http://service.sap.com/sap/support/notes/1855781","1855781")</f>
        <v>1855781</v>
      </c>
      <c r="E12890">
        <v>1</v>
      </c>
      <c r="F12890" t="s">
        <v>10288</v>
      </c>
    </row>
    <row r="12891" spans="1:6" x14ac:dyDescent="0.25">
      <c r="A12891" t="s">
        <v>13380</v>
      </c>
      <c r="B12891" t="s">
        <v>2947</v>
      </c>
      <c r="C12891" t="s">
        <v>2948</v>
      </c>
      <c r="D12891" t="str">
        <f>HYPERLINK("http://service.sap.com/sap/support/notes/1842218","1842218")</f>
        <v>1842218</v>
      </c>
      <c r="E12891">
        <v>2</v>
      </c>
      <c r="F12891" t="s">
        <v>10289</v>
      </c>
    </row>
    <row r="12892" spans="1:6" x14ac:dyDescent="0.25">
      <c r="A12892" t="s">
        <v>13380</v>
      </c>
      <c r="B12892" t="s">
        <v>2949</v>
      </c>
      <c r="C12892" t="s">
        <v>2950</v>
      </c>
    </row>
    <row r="12893" spans="1:6" x14ac:dyDescent="0.25">
      <c r="A12893" t="s">
        <v>13380</v>
      </c>
      <c r="B12893" t="s">
        <v>2951</v>
      </c>
      <c r="C12893" t="s">
        <v>2952</v>
      </c>
      <c r="D12893" t="str">
        <f>HYPERLINK("http://service.sap.com/sap/support/notes/1826780","1826780")</f>
        <v>1826780</v>
      </c>
      <c r="E12893">
        <v>2</v>
      </c>
      <c r="F12893" t="s">
        <v>10290</v>
      </c>
    </row>
    <row r="12894" spans="1:6" x14ac:dyDescent="0.25">
      <c r="A12894" t="s">
        <v>13380</v>
      </c>
      <c r="B12894" t="s">
        <v>10291</v>
      </c>
      <c r="C12894" t="s">
        <v>10292</v>
      </c>
      <c r="D12894" t="str">
        <f>HYPERLINK("http://service.sap.com/sap/support/notes/1836826","1836826")</f>
        <v>1836826</v>
      </c>
      <c r="E12894">
        <v>3</v>
      </c>
      <c r="F12894" t="s">
        <v>10293</v>
      </c>
    </row>
    <row r="12895" spans="1:6" x14ac:dyDescent="0.25">
      <c r="A12895" t="s">
        <v>13380</v>
      </c>
      <c r="B12895" t="s">
        <v>2958</v>
      </c>
      <c r="C12895" t="s">
        <v>2959</v>
      </c>
    </row>
    <row r="12896" spans="1:6" x14ac:dyDescent="0.25">
      <c r="A12896" t="s">
        <v>13380</v>
      </c>
      <c r="B12896" t="s">
        <v>5730</v>
      </c>
      <c r="C12896" t="s">
        <v>13334</v>
      </c>
    </row>
    <row r="12897" spans="1:6" x14ac:dyDescent="0.25">
      <c r="A12897" t="s">
        <v>13380</v>
      </c>
      <c r="B12897" t="s">
        <v>10296</v>
      </c>
      <c r="C12897" t="s">
        <v>1134</v>
      </c>
      <c r="D12897" t="str">
        <f>HYPERLINK("http://service.sap.com/sap/support/notes/1837615","1837615")</f>
        <v>1837615</v>
      </c>
      <c r="E12897">
        <v>2</v>
      </c>
      <c r="F12897" t="s">
        <v>10298</v>
      </c>
    </row>
    <row r="12898" spans="1:6" x14ac:dyDescent="0.25">
      <c r="A12898" t="s">
        <v>13380</v>
      </c>
      <c r="B12898" t="s">
        <v>2964</v>
      </c>
      <c r="C12898" t="s">
        <v>2959</v>
      </c>
      <c r="D12898" t="str">
        <f>HYPERLINK("http://service.sap.com/sap/support/notes/1849584","1849584")</f>
        <v>1849584</v>
      </c>
      <c r="E12898">
        <v>2</v>
      </c>
      <c r="F12898" t="s">
        <v>10299</v>
      </c>
    </row>
    <row r="12899" spans="1:6" x14ac:dyDescent="0.25">
      <c r="A12899" t="s">
        <v>13380</v>
      </c>
      <c r="B12899" t="s">
        <v>10300</v>
      </c>
      <c r="C12899" t="s">
        <v>10301</v>
      </c>
      <c r="D12899" t="str">
        <f>HYPERLINK("http://service.sap.com/sap/support/notes/1826287","1826287")</f>
        <v>1826287</v>
      </c>
      <c r="E12899">
        <v>2</v>
      </c>
      <c r="F12899" t="s">
        <v>10302</v>
      </c>
    </row>
    <row r="12900" spans="1:6" x14ac:dyDescent="0.25">
      <c r="A12900" t="s">
        <v>13380</v>
      </c>
      <c r="B12900" t="s">
        <v>5735</v>
      </c>
      <c r="C12900" t="s">
        <v>5736</v>
      </c>
      <c r="D12900" t="str">
        <f>HYPERLINK("http://service.sap.com/sap/support/notes/1858570","1858570")</f>
        <v>1858570</v>
      </c>
      <c r="E12900">
        <v>1</v>
      </c>
      <c r="F12900" t="s">
        <v>10304</v>
      </c>
    </row>
    <row r="12901" spans="1:6" x14ac:dyDescent="0.25">
      <c r="A12901" t="s">
        <v>13380</v>
      </c>
      <c r="B12901" t="s">
        <v>8167</v>
      </c>
      <c r="C12901" t="s">
        <v>2945</v>
      </c>
    </row>
    <row r="12902" spans="1:6" x14ac:dyDescent="0.25">
      <c r="A12902" t="s">
        <v>13380</v>
      </c>
      <c r="B12902" t="s">
        <v>10305</v>
      </c>
      <c r="C12902" t="s">
        <v>10306</v>
      </c>
      <c r="D12902" t="str">
        <f>HYPERLINK("http://service.sap.com/sap/support/notes/1829562","1829562")</f>
        <v>1829562</v>
      </c>
      <c r="E12902">
        <v>2</v>
      </c>
      <c r="F12902" t="s">
        <v>10307</v>
      </c>
    </row>
    <row r="12903" spans="1:6" x14ac:dyDescent="0.25">
      <c r="A12903" t="s">
        <v>13380</v>
      </c>
      <c r="B12903" t="s">
        <v>2975</v>
      </c>
      <c r="C12903" t="s">
        <v>824</v>
      </c>
      <c r="D12903" t="str">
        <f>HYPERLINK("http://service.sap.com/sap/support/notes/1818783","1818783")</f>
        <v>1818783</v>
      </c>
      <c r="E12903">
        <v>3</v>
      </c>
      <c r="F12903" t="s">
        <v>10308</v>
      </c>
    </row>
    <row r="12904" spans="1:6" x14ac:dyDescent="0.25">
      <c r="A12904" t="s">
        <v>13380</v>
      </c>
      <c r="B12904" t="s">
        <v>2975</v>
      </c>
      <c r="C12904" t="s">
        <v>824</v>
      </c>
      <c r="D12904" t="str">
        <f>HYPERLINK("http://service.sap.com/sap/support/notes/1842991","1842991")</f>
        <v>1842991</v>
      </c>
      <c r="E12904">
        <v>2</v>
      </c>
      <c r="F12904" t="s">
        <v>10309</v>
      </c>
    </row>
    <row r="12905" spans="1:6" x14ac:dyDescent="0.25">
      <c r="A12905" t="s">
        <v>13380</v>
      </c>
      <c r="B12905" t="s">
        <v>2975</v>
      </c>
      <c r="C12905" t="s">
        <v>824</v>
      </c>
      <c r="D12905" t="str">
        <f>HYPERLINK("http://service.sap.com/sap/support/notes/1844179","1844179")</f>
        <v>1844179</v>
      </c>
      <c r="E12905">
        <v>2</v>
      </c>
      <c r="F12905" t="s">
        <v>10310</v>
      </c>
    </row>
    <row r="12906" spans="1:6" x14ac:dyDescent="0.25">
      <c r="A12906" t="s">
        <v>13380</v>
      </c>
      <c r="B12906" t="s">
        <v>2975</v>
      </c>
      <c r="C12906" t="s">
        <v>824</v>
      </c>
      <c r="D12906" t="str">
        <f>HYPERLINK("http://service.sap.com/sap/support/notes/1858750","1858750")</f>
        <v>1858750</v>
      </c>
      <c r="E12906">
        <v>2</v>
      </c>
      <c r="F12906" t="s">
        <v>13335</v>
      </c>
    </row>
    <row r="12907" spans="1:6" x14ac:dyDescent="0.25">
      <c r="A12907" t="s">
        <v>13380</v>
      </c>
      <c r="B12907" t="s">
        <v>2989</v>
      </c>
      <c r="C12907" t="s">
        <v>2990</v>
      </c>
      <c r="D12907" t="str">
        <f>HYPERLINK("http://service.sap.com/sap/support/notes/1847808","1847808")</f>
        <v>1847808</v>
      </c>
      <c r="E12907">
        <v>2</v>
      </c>
      <c r="F12907" t="s">
        <v>10312</v>
      </c>
    </row>
    <row r="12908" spans="1:6" x14ac:dyDescent="0.25">
      <c r="A12908" t="s">
        <v>13380</v>
      </c>
      <c r="B12908" t="s">
        <v>2989</v>
      </c>
      <c r="C12908" t="s">
        <v>2990</v>
      </c>
      <c r="D12908" t="str">
        <f>HYPERLINK("http://service.sap.com/sap/support/notes/1850473","1850473")</f>
        <v>1850473</v>
      </c>
      <c r="E12908">
        <v>2</v>
      </c>
      <c r="F12908" t="s">
        <v>10313</v>
      </c>
    </row>
    <row r="12909" spans="1:6" x14ac:dyDescent="0.25">
      <c r="A12909" t="s">
        <v>13380</v>
      </c>
      <c r="B12909" t="s">
        <v>2998</v>
      </c>
      <c r="C12909" t="s">
        <v>2999</v>
      </c>
      <c r="D12909" t="str">
        <f>HYPERLINK("http://service.sap.com/sap/support/notes/1825097","1825097")</f>
        <v>1825097</v>
      </c>
      <c r="E12909">
        <v>2</v>
      </c>
      <c r="F12909" t="s">
        <v>10314</v>
      </c>
    </row>
    <row r="12910" spans="1:6" x14ac:dyDescent="0.25">
      <c r="A12910" t="s">
        <v>13380</v>
      </c>
      <c r="B12910" t="s">
        <v>3001</v>
      </c>
      <c r="C12910" t="s">
        <v>3002</v>
      </c>
      <c r="D12910" t="str">
        <f>HYPERLINK("http://service.sap.com/sap/support/notes/697622","697622")</f>
        <v>697622</v>
      </c>
      <c r="E12910">
        <v>5</v>
      </c>
      <c r="F12910" t="s">
        <v>10315</v>
      </c>
    </row>
    <row r="12911" spans="1:6" x14ac:dyDescent="0.25">
      <c r="A12911" t="s">
        <v>13380</v>
      </c>
      <c r="B12911" t="s">
        <v>3001</v>
      </c>
      <c r="C12911" t="s">
        <v>3002</v>
      </c>
      <c r="D12911" t="str">
        <f>HYPERLINK("http://service.sap.com/sap/support/notes/1834774","1834774")</f>
        <v>1834774</v>
      </c>
      <c r="E12911">
        <v>2</v>
      </c>
      <c r="F12911" t="s">
        <v>10316</v>
      </c>
    </row>
    <row r="12912" spans="1:6" x14ac:dyDescent="0.25">
      <c r="A12912" t="s">
        <v>13380</v>
      </c>
      <c r="B12912" t="s">
        <v>3008</v>
      </c>
      <c r="C12912" t="s">
        <v>3009</v>
      </c>
      <c r="D12912" t="str">
        <f>HYPERLINK("http://service.sap.com/sap/support/notes/1819888","1819888")</f>
        <v>1819888</v>
      </c>
      <c r="E12912">
        <v>2</v>
      </c>
      <c r="F12912" t="s">
        <v>10317</v>
      </c>
    </row>
    <row r="12913" spans="1:6" x14ac:dyDescent="0.25">
      <c r="A12913" t="s">
        <v>13380</v>
      </c>
      <c r="B12913" t="s">
        <v>3008</v>
      </c>
      <c r="C12913" t="s">
        <v>3009</v>
      </c>
      <c r="D12913" t="str">
        <f>HYPERLINK("http://service.sap.com/sap/support/notes/1838971","1838971")</f>
        <v>1838971</v>
      </c>
      <c r="E12913">
        <v>3</v>
      </c>
      <c r="F12913" t="s">
        <v>10318</v>
      </c>
    </row>
    <row r="12914" spans="1:6" x14ac:dyDescent="0.25">
      <c r="A12914" t="s">
        <v>13380</v>
      </c>
      <c r="B12914" t="s">
        <v>3008</v>
      </c>
      <c r="C12914" t="s">
        <v>3009</v>
      </c>
      <c r="D12914" t="str">
        <f>HYPERLINK("http://service.sap.com/sap/support/notes/1839769","1839769")</f>
        <v>1839769</v>
      </c>
      <c r="E12914">
        <v>3</v>
      </c>
      <c r="F12914" t="s">
        <v>10319</v>
      </c>
    </row>
    <row r="12915" spans="1:6" x14ac:dyDescent="0.25">
      <c r="A12915" t="s">
        <v>13380</v>
      </c>
      <c r="B12915" t="s">
        <v>3008</v>
      </c>
      <c r="C12915" t="s">
        <v>3009</v>
      </c>
      <c r="D12915" t="str">
        <f>HYPERLINK("http://service.sap.com/sap/support/notes/1843810","1843810")</f>
        <v>1843810</v>
      </c>
      <c r="E12915">
        <v>3</v>
      </c>
      <c r="F12915" t="s">
        <v>10320</v>
      </c>
    </row>
    <row r="12916" spans="1:6" x14ac:dyDescent="0.25">
      <c r="A12916" t="s">
        <v>13380</v>
      </c>
      <c r="B12916" t="s">
        <v>3008</v>
      </c>
      <c r="C12916" t="s">
        <v>3009</v>
      </c>
      <c r="D12916" t="str">
        <f>HYPERLINK("http://service.sap.com/sap/support/notes/1845517","1845517")</f>
        <v>1845517</v>
      </c>
      <c r="E12916">
        <v>2</v>
      </c>
      <c r="F12916" t="s">
        <v>10321</v>
      </c>
    </row>
    <row r="12917" spans="1:6" x14ac:dyDescent="0.25">
      <c r="A12917" t="s">
        <v>13380</v>
      </c>
      <c r="B12917" t="s">
        <v>3016</v>
      </c>
      <c r="C12917" t="s">
        <v>3017</v>
      </c>
      <c r="D12917" t="str">
        <f>HYPERLINK("http://service.sap.com/sap/support/notes/1842159","1842159")</f>
        <v>1842159</v>
      </c>
      <c r="E12917">
        <v>2</v>
      </c>
      <c r="F12917" t="s">
        <v>10324</v>
      </c>
    </row>
    <row r="12918" spans="1:6" x14ac:dyDescent="0.25">
      <c r="A12918" t="s">
        <v>13380</v>
      </c>
      <c r="B12918" t="s">
        <v>3016</v>
      </c>
      <c r="C12918" t="s">
        <v>3017</v>
      </c>
      <c r="D12918" t="str">
        <f>HYPERLINK("http://service.sap.com/sap/support/notes/1844192","1844192")</f>
        <v>1844192</v>
      </c>
      <c r="E12918">
        <v>2</v>
      </c>
      <c r="F12918" t="s">
        <v>10325</v>
      </c>
    </row>
    <row r="12919" spans="1:6" x14ac:dyDescent="0.25">
      <c r="A12919" t="s">
        <v>13380</v>
      </c>
      <c r="B12919" t="s">
        <v>10326</v>
      </c>
      <c r="C12919" t="s">
        <v>10327</v>
      </c>
      <c r="D12919" t="str">
        <f>HYPERLINK("http://service.sap.com/sap/support/notes/1860613","1860613")</f>
        <v>1860613</v>
      </c>
      <c r="E12919">
        <v>2</v>
      </c>
      <c r="F12919" t="s">
        <v>10328</v>
      </c>
    </row>
    <row r="12920" spans="1:6" x14ac:dyDescent="0.25">
      <c r="A12920" t="s">
        <v>13380</v>
      </c>
      <c r="B12920" t="s">
        <v>8178</v>
      </c>
      <c r="C12920" t="s">
        <v>8179</v>
      </c>
      <c r="D12920" t="str">
        <f>HYPERLINK("http://service.sap.com/sap/support/notes/1432476","1432476")</f>
        <v>1432476</v>
      </c>
      <c r="E12920">
        <v>20</v>
      </c>
      <c r="F12920" t="s">
        <v>11576</v>
      </c>
    </row>
    <row r="12921" spans="1:6" x14ac:dyDescent="0.25">
      <c r="A12921" t="s">
        <v>13380</v>
      </c>
      <c r="B12921" t="s">
        <v>3025</v>
      </c>
      <c r="C12921" t="s">
        <v>3026</v>
      </c>
      <c r="D12921" t="str">
        <f>HYPERLINK("http://service.sap.com/sap/support/notes/1843193","1843193")</f>
        <v>1843193</v>
      </c>
      <c r="E12921">
        <v>4</v>
      </c>
      <c r="F12921" t="s">
        <v>10329</v>
      </c>
    </row>
    <row r="12922" spans="1:6" x14ac:dyDescent="0.25">
      <c r="A12922" t="s">
        <v>13380</v>
      </c>
      <c r="B12922" t="s">
        <v>3027</v>
      </c>
      <c r="C12922" t="s">
        <v>3028</v>
      </c>
      <c r="D12922" t="str">
        <f>HYPERLINK("http://service.sap.com/sap/support/notes/1834809","1834809")</f>
        <v>1834809</v>
      </c>
      <c r="E12922">
        <v>3</v>
      </c>
      <c r="F12922" t="s">
        <v>10330</v>
      </c>
    </row>
    <row r="12923" spans="1:6" x14ac:dyDescent="0.25">
      <c r="A12923" t="s">
        <v>13380</v>
      </c>
      <c r="B12923" t="s">
        <v>3027</v>
      </c>
      <c r="C12923" t="s">
        <v>3028</v>
      </c>
      <c r="D12923" t="str">
        <f>HYPERLINK("http://service.sap.com/sap/support/notes/1841700","1841700")</f>
        <v>1841700</v>
      </c>
      <c r="E12923">
        <v>2</v>
      </c>
      <c r="F12923" t="s">
        <v>10331</v>
      </c>
    </row>
    <row r="12924" spans="1:6" x14ac:dyDescent="0.25">
      <c r="A12924" t="s">
        <v>13380</v>
      </c>
      <c r="B12924" t="s">
        <v>10332</v>
      </c>
      <c r="C12924" t="s">
        <v>10333</v>
      </c>
      <c r="D12924" t="str">
        <f>HYPERLINK("http://service.sap.com/sap/support/notes/1857916","1857916")</f>
        <v>1857916</v>
      </c>
      <c r="E12924">
        <v>2</v>
      </c>
      <c r="F12924" t="s">
        <v>10334</v>
      </c>
    </row>
    <row r="12925" spans="1:6" x14ac:dyDescent="0.25">
      <c r="A12925" t="s">
        <v>13380</v>
      </c>
      <c r="B12925" t="s">
        <v>3037</v>
      </c>
      <c r="C12925" t="s">
        <v>3038</v>
      </c>
      <c r="D12925" t="str">
        <f>HYPERLINK("http://service.sap.com/sap/support/notes/1761685","1761685")</f>
        <v>1761685</v>
      </c>
      <c r="E12925">
        <v>3</v>
      </c>
      <c r="F12925" t="s">
        <v>10335</v>
      </c>
    </row>
    <row r="12926" spans="1:6" x14ac:dyDescent="0.25">
      <c r="A12926" t="s">
        <v>13380</v>
      </c>
      <c r="B12926" t="s">
        <v>3040</v>
      </c>
      <c r="C12926" t="s">
        <v>3041</v>
      </c>
      <c r="D12926" t="str">
        <f>HYPERLINK("http://service.sap.com/sap/support/notes/1611130","1611130")</f>
        <v>1611130</v>
      </c>
      <c r="E12926">
        <v>1</v>
      </c>
      <c r="F12926" t="s">
        <v>10336</v>
      </c>
    </row>
    <row r="12927" spans="1:6" x14ac:dyDescent="0.25">
      <c r="A12927" t="s">
        <v>13380</v>
      </c>
      <c r="B12927" t="s">
        <v>3040</v>
      </c>
      <c r="C12927" t="s">
        <v>3041</v>
      </c>
      <c r="D12927" t="str">
        <f>HYPERLINK("http://service.sap.com/sap/support/notes/1739370","1739370")</f>
        <v>1739370</v>
      </c>
      <c r="E12927">
        <v>1</v>
      </c>
      <c r="F12927" t="s">
        <v>10337</v>
      </c>
    </row>
    <row r="12928" spans="1:6" x14ac:dyDescent="0.25">
      <c r="A12928" t="s">
        <v>13380</v>
      </c>
      <c r="B12928" t="s">
        <v>3040</v>
      </c>
      <c r="C12928" t="s">
        <v>3041</v>
      </c>
      <c r="D12928" t="str">
        <f>HYPERLINK("http://service.sap.com/sap/support/notes/1788945","1788945")</f>
        <v>1788945</v>
      </c>
      <c r="E12928">
        <v>2</v>
      </c>
      <c r="F12928" t="s">
        <v>10338</v>
      </c>
    </row>
    <row r="12929" spans="1:6" x14ac:dyDescent="0.25">
      <c r="A12929" t="s">
        <v>13380</v>
      </c>
      <c r="B12929" t="s">
        <v>3040</v>
      </c>
      <c r="C12929" t="s">
        <v>3041</v>
      </c>
      <c r="D12929" t="str">
        <f>HYPERLINK("http://service.sap.com/sap/support/notes/1808790","1808790")</f>
        <v>1808790</v>
      </c>
      <c r="E12929">
        <v>2</v>
      </c>
      <c r="F12929" t="s">
        <v>10339</v>
      </c>
    </row>
    <row r="12930" spans="1:6" x14ac:dyDescent="0.25">
      <c r="A12930" t="s">
        <v>13380</v>
      </c>
      <c r="B12930" t="s">
        <v>3040</v>
      </c>
      <c r="C12930" t="s">
        <v>3041</v>
      </c>
      <c r="D12930" t="str">
        <f>HYPERLINK("http://service.sap.com/sap/support/notes/1808964","1808964")</f>
        <v>1808964</v>
      </c>
      <c r="E12930">
        <v>2</v>
      </c>
      <c r="F12930" t="s">
        <v>10340</v>
      </c>
    </row>
    <row r="12931" spans="1:6" x14ac:dyDescent="0.25">
      <c r="A12931" t="s">
        <v>13380</v>
      </c>
      <c r="B12931" t="s">
        <v>3040</v>
      </c>
      <c r="C12931" t="s">
        <v>3041</v>
      </c>
      <c r="D12931" t="str">
        <f>HYPERLINK("http://service.sap.com/sap/support/notes/1821099","1821099")</f>
        <v>1821099</v>
      </c>
      <c r="E12931">
        <v>2</v>
      </c>
      <c r="F12931" t="s">
        <v>10341</v>
      </c>
    </row>
    <row r="12932" spans="1:6" x14ac:dyDescent="0.25">
      <c r="A12932" t="s">
        <v>13380</v>
      </c>
      <c r="B12932" t="s">
        <v>3040</v>
      </c>
      <c r="C12932" t="s">
        <v>3041</v>
      </c>
      <c r="D12932" t="str">
        <f>HYPERLINK("http://service.sap.com/sap/support/notes/1829301","1829301")</f>
        <v>1829301</v>
      </c>
      <c r="E12932">
        <v>1</v>
      </c>
      <c r="F12932" t="s">
        <v>8194</v>
      </c>
    </row>
    <row r="12933" spans="1:6" x14ac:dyDescent="0.25">
      <c r="A12933" t="s">
        <v>13380</v>
      </c>
      <c r="B12933" t="s">
        <v>3040</v>
      </c>
      <c r="C12933" t="s">
        <v>3041</v>
      </c>
      <c r="D12933" t="str">
        <f>HYPERLINK("http://service.sap.com/sap/support/notes/1837629","1837629")</f>
        <v>1837629</v>
      </c>
      <c r="E12933">
        <v>3</v>
      </c>
      <c r="F12933" t="s">
        <v>13336</v>
      </c>
    </row>
    <row r="12934" spans="1:6" x14ac:dyDescent="0.25">
      <c r="A12934" t="s">
        <v>13380</v>
      </c>
      <c r="B12934" t="s">
        <v>3040</v>
      </c>
      <c r="C12934" t="s">
        <v>3041</v>
      </c>
      <c r="D12934" t="str">
        <f>HYPERLINK("http://service.sap.com/sap/support/notes/1847546","1847546")</f>
        <v>1847546</v>
      </c>
      <c r="E12934">
        <v>2</v>
      </c>
    </row>
    <row r="12935" spans="1:6" x14ac:dyDescent="0.25">
      <c r="A12935" t="s">
        <v>13380</v>
      </c>
      <c r="B12935" t="s">
        <v>3040</v>
      </c>
      <c r="C12935" t="s">
        <v>3041</v>
      </c>
      <c r="D12935" t="str">
        <f>HYPERLINK("http://service.sap.com/sap/support/notes/1851331","1851331")</f>
        <v>1851331</v>
      </c>
      <c r="E12935">
        <v>1</v>
      </c>
      <c r="F12935" t="s">
        <v>10343</v>
      </c>
    </row>
    <row r="12936" spans="1:6" x14ac:dyDescent="0.25">
      <c r="A12936" t="s">
        <v>13380</v>
      </c>
      <c r="B12936" t="s">
        <v>3040</v>
      </c>
      <c r="C12936" t="s">
        <v>3041</v>
      </c>
      <c r="D12936" t="str">
        <f>HYPERLINK("http://service.sap.com/sap/support/notes/1852706","1852706")</f>
        <v>1852706</v>
      </c>
      <c r="E12936">
        <v>1</v>
      </c>
      <c r="F12936" t="s">
        <v>10344</v>
      </c>
    </row>
    <row r="12937" spans="1:6" x14ac:dyDescent="0.25">
      <c r="A12937" t="s">
        <v>13380</v>
      </c>
      <c r="B12937" t="s">
        <v>3040</v>
      </c>
      <c r="C12937" t="s">
        <v>3041</v>
      </c>
      <c r="D12937" t="str">
        <f>HYPERLINK("http://service.sap.com/sap/support/notes/1853307","1853307")</f>
        <v>1853307</v>
      </c>
      <c r="E12937">
        <v>1</v>
      </c>
      <c r="F12937" t="s">
        <v>10345</v>
      </c>
    </row>
    <row r="12938" spans="1:6" x14ac:dyDescent="0.25">
      <c r="A12938" t="s">
        <v>13380</v>
      </c>
      <c r="B12938" t="s">
        <v>3040</v>
      </c>
      <c r="C12938" t="s">
        <v>3041</v>
      </c>
      <c r="D12938" t="str">
        <f>HYPERLINK("http://service.sap.com/sap/support/notes/1856042","1856042")</f>
        <v>1856042</v>
      </c>
      <c r="E12938">
        <v>1</v>
      </c>
      <c r="F12938" t="s">
        <v>13337</v>
      </c>
    </row>
    <row r="12939" spans="1:6" x14ac:dyDescent="0.25">
      <c r="A12939" t="s">
        <v>13380</v>
      </c>
      <c r="B12939" t="s">
        <v>3040</v>
      </c>
      <c r="C12939" t="s">
        <v>3041</v>
      </c>
      <c r="D12939" t="str">
        <f>HYPERLINK("http://service.sap.com/sap/support/notes/1859593","1859593")</f>
        <v>1859593</v>
      </c>
      <c r="E12939">
        <v>1</v>
      </c>
      <c r="F12939" t="s">
        <v>13338</v>
      </c>
    </row>
    <row r="12940" spans="1:6" x14ac:dyDescent="0.25">
      <c r="A12940" t="s">
        <v>13380</v>
      </c>
      <c r="B12940" t="s">
        <v>10346</v>
      </c>
      <c r="C12940" t="s">
        <v>10347</v>
      </c>
      <c r="D12940" t="str">
        <f>HYPERLINK("http://service.sap.com/sap/support/notes/1842314","1842314")</f>
        <v>1842314</v>
      </c>
      <c r="E12940">
        <v>2</v>
      </c>
      <c r="F12940" t="s">
        <v>10348</v>
      </c>
    </row>
    <row r="12941" spans="1:6" x14ac:dyDescent="0.25">
      <c r="A12941" t="s">
        <v>13380</v>
      </c>
      <c r="B12941" t="s">
        <v>10346</v>
      </c>
      <c r="C12941" t="s">
        <v>10347</v>
      </c>
      <c r="D12941" t="str">
        <f>HYPERLINK("http://service.sap.com/sap/support/notes/1859889","1859889")</f>
        <v>1859889</v>
      </c>
      <c r="E12941">
        <v>3</v>
      </c>
      <c r="F12941" t="s">
        <v>11564</v>
      </c>
    </row>
    <row r="12942" spans="1:6" x14ac:dyDescent="0.25">
      <c r="A12942" t="s">
        <v>13380</v>
      </c>
      <c r="B12942" t="s">
        <v>3048</v>
      </c>
      <c r="C12942" t="s">
        <v>3049</v>
      </c>
    </row>
    <row r="12943" spans="1:6" x14ac:dyDescent="0.25">
      <c r="A12943" t="s">
        <v>13380</v>
      </c>
      <c r="B12943" t="s">
        <v>3050</v>
      </c>
      <c r="C12943" t="s">
        <v>3051</v>
      </c>
      <c r="D12943" t="str">
        <f>HYPERLINK("http://service.sap.com/sap/support/notes/1840749","1840749")</f>
        <v>1840749</v>
      </c>
      <c r="E12943">
        <v>3</v>
      </c>
      <c r="F12943" t="s">
        <v>10349</v>
      </c>
    </row>
    <row r="12944" spans="1:6" x14ac:dyDescent="0.25">
      <c r="A12944" t="s">
        <v>13380</v>
      </c>
      <c r="B12944" t="s">
        <v>5766</v>
      </c>
      <c r="C12944" t="s">
        <v>5767</v>
      </c>
      <c r="D12944" t="str">
        <f>HYPERLINK("http://service.sap.com/sap/support/notes/1854013","1854013")</f>
        <v>1854013</v>
      </c>
      <c r="E12944">
        <v>1</v>
      </c>
      <c r="F12944" t="s">
        <v>13339</v>
      </c>
    </row>
    <row r="12945" spans="1:6" x14ac:dyDescent="0.25">
      <c r="A12945" t="s">
        <v>13380</v>
      </c>
      <c r="B12945" t="s">
        <v>3055</v>
      </c>
      <c r="C12945" t="s">
        <v>3056</v>
      </c>
      <c r="D12945" t="str">
        <f>HYPERLINK("http://service.sap.com/sap/support/notes/1810922","1810922")</f>
        <v>1810922</v>
      </c>
      <c r="E12945">
        <v>2</v>
      </c>
      <c r="F12945" t="s">
        <v>10350</v>
      </c>
    </row>
    <row r="12946" spans="1:6" x14ac:dyDescent="0.25">
      <c r="A12946" t="s">
        <v>13380</v>
      </c>
      <c r="B12946" t="s">
        <v>3055</v>
      </c>
      <c r="C12946" t="s">
        <v>3056</v>
      </c>
      <c r="D12946" t="str">
        <f>HYPERLINK("http://service.sap.com/sap/support/notes/1825085","1825085")</f>
        <v>1825085</v>
      </c>
      <c r="E12946">
        <v>3</v>
      </c>
      <c r="F12946" t="s">
        <v>10351</v>
      </c>
    </row>
    <row r="12947" spans="1:6" x14ac:dyDescent="0.25">
      <c r="A12947" t="s">
        <v>13380</v>
      </c>
      <c r="B12947" t="s">
        <v>3055</v>
      </c>
      <c r="C12947" t="s">
        <v>3056</v>
      </c>
      <c r="D12947" t="str">
        <f>HYPERLINK("http://service.sap.com/sap/support/notes/1833619","1833619")</f>
        <v>1833619</v>
      </c>
      <c r="E12947">
        <v>2</v>
      </c>
      <c r="F12947" t="s">
        <v>10352</v>
      </c>
    </row>
    <row r="12948" spans="1:6" x14ac:dyDescent="0.25">
      <c r="A12948" t="s">
        <v>13380</v>
      </c>
      <c r="B12948" t="s">
        <v>3055</v>
      </c>
      <c r="C12948" t="s">
        <v>3056</v>
      </c>
      <c r="D12948" t="str">
        <f>HYPERLINK("http://service.sap.com/sap/support/notes/1836466","1836466")</f>
        <v>1836466</v>
      </c>
      <c r="E12948">
        <v>2</v>
      </c>
      <c r="F12948" t="s">
        <v>8216</v>
      </c>
    </row>
    <row r="12949" spans="1:6" x14ac:dyDescent="0.25">
      <c r="A12949" t="s">
        <v>13380</v>
      </c>
      <c r="B12949" t="s">
        <v>3055</v>
      </c>
      <c r="C12949" t="s">
        <v>3056</v>
      </c>
      <c r="D12949" t="str">
        <f>HYPERLINK("http://service.sap.com/sap/support/notes/1837575","1837575")</f>
        <v>1837575</v>
      </c>
      <c r="E12949">
        <v>4</v>
      </c>
      <c r="F12949" t="s">
        <v>10353</v>
      </c>
    </row>
    <row r="12950" spans="1:6" x14ac:dyDescent="0.25">
      <c r="A12950" t="s">
        <v>13380</v>
      </c>
      <c r="B12950" t="s">
        <v>3055</v>
      </c>
      <c r="C12950" t="s">
        <v>3056</v>
      </c>
      <c r="D12950" t="str">
        <f>HYPERLINK("http://service.sap.com/sap/support/notes/1837697","1837697")</f>
        <v>1837697</v>
      </c>
      <c r="E12950">
        <v>3</v>
      </c>
      <c r="F12950" t="s">
        <v>10354</v>
      </c>
    </row>
    <row r="12951" spans="1:6" x14ac:dyDescent="0.25">
      <c r="A12951" t="s">
        <v>13380</v>
      </c>
      <c r="B12951" t="s">
        <v>3055</v>
      </c>
      <c r="C12951" t="s">
        <v>3056</v>
      </c>
      <c r="D12951" t="str">
        <f>HYPERLINK("http://service.sap.com/sap/support/notes/1846040","1846040")</f>
        <v>1846040</v>
      </c>
      <c r="E12951">
        <v>3</v>
      </c>
      <c r="F12951" t="s">
        <v>10355</v>
      </c>
    </row>
    <row r="12952" spans="1:6" x14ac:dyDescent="0.25">
      <c r="A12952" t="s">
        <v>13380</v>
      </c>
      <c r="B12952" t="s">
        <v>3055</v>
      </c>
      <c r="C12952" t="s">
        <v>3056</v>
      </c>
      <c r="D12952" t="str">
        <f>HYPERLINK("http://service.sap.com/sap/support/notes/1847698","1847698")</f>
        <v>1847698</v>
      </c>
      <c r="E12952">
        <v>1</v>
      </c>
      <c r="F12952" t="s">
        <v>10356</v>
      </c>
    </row>
    <row r="12953" spans="1:6" x14ac:dyDescent="0.25">
      <c r="A12953" t="s">
        <v>13380</v>
      </c>
      <c r="B12953" t="s">
        <v>3055</v>
      </c>
      <c r="C12953" t="s">
        <v>3056</v>
      </c>
      <c r="D12953" t="str">
        <f>HYPERLINK("http://service.sap.com/sap/support/notes/1855389","1855389")</f>
        <v>1855389</v>
      </c>
      <c r="E12953">
        <v>1</v>
      </c>
      <c r="F12953" t="s">
        <v>10357</v>
      </c>
    </row>
    <row r="12954" spans="1:6" x14ac:dyDescent="0.25">
      <c r="A12954" t="s">
        <v>13380</v>
      </c>
      <c r="B12954" t="s">
        <v>3055</v>
      </c>
      <c r="C12954" t="s">
        <v>3056</v>
      </c>
      <c r="D12954" t="str">
        <f>HYPERLINK("http://service.sap.com/sap/support/notes/1856859","1856859")</f>
        <v>1856859</v>
      </c>
      <c r="E12954">
        <v>1</v>
      </c>
      <c r="F12954" t="s">
        <v>10358</v>
      </c>
    </row>
    <row r="12955" spans="1:6" x14ac:dyDescent="0.25">
      <c r="A12955" t="s">
        <v>13380</v>
      </c>
      <c r="B12955" t="s">
        <v>3055</v>
      </c>
      <c r="C12955" t="s">
        <v>3056</v>
      </c>
      <c r="D12955" t="str">
        <f>HYPERLINK("http://service.sap.com/sap/support/notes/1862411","1862411")</f>
        <v>1862411</v>
      </c>
      <c r="E12955">
        <v>1</v>
      </c>
      <c r="F12955" t="s">
        <v>10359</v>
      </c>
    </row>
    <row r="12956" spans="1:6" x14ac:dyDescent="0.25">
      <c r="A12956" t="s">
        <v>13380</v>
      </c>
      <c r="B12956" t="s">
        <v>8217</v>
      </c>
      <c r="C12956" t="s">
        <v>8218</v>
      </c>
      <c r="D12956" t="str">
        <f>HYPERLINK("http://service.sap.com/sap/support/notes/1820761","1820761")</f>
        <v>1820761</v>
      </c>
      <c r="E12956">
        <v>4</v>
      </c>
      <c r="F12956" t="s">
        <v>10360</v>
      </c>
    </row>
    <row r="12957" spans="1:6" x14ac:dyDescent="0.25">
      <c r="A12957" t="s">
        <v>13380</v>
      </c>
      <c r="B12957" t="s">
        <v>8217</v>
      </c>
      <c r="C12957" t="s">
        <v>8218</v>
      </c>
      <c r="D12957" t="str">
        <f>HYPERLINK("http://service.sap.com/sap/support/notes/1858246","1858246")</f>
        <v>1858246</v>
      </c>
      <c r="E12957">
        <v>2</v>
      </c>
    </row>
    <row r="12958" spans="1:6" x14ac:dyDescent="0.25">
      <c r="A12958" t="s">
        <v>13380</v>
      </c>
      <c r="B12958" t="s">
        <v>3064</v>
      </c>
      <c r="C12958" t="s">
        <v>3065</v>
      </c>
      <c r="D12958" t="str">
        <f>HYPERLINK("http://service.sap.com/sap/support/notes/1791803","1791803")</f>
        <v>1791803</v>
      </c>
      <c r="E12958">
        <v>4</v>
      </c>
      <c r="F12958" t="s">
        <v>10362</v>
      </c>
    </row>
    <row r="12959" spans="1:6" x14ac:dyDescent="0.25">
      <c r="A12959" t="s">
        <v>13380</v>
      </c>
      <c r="B12959" t="s">
        <v>3064</v>
      </c>
      <c r="C12959" t="s">
        <v>3065</v>
      </c>
      <c r="D12959" t="str">
        <f>HYPERLINK("http://service.sap.com/sap/support/notes/1835282","1835282")</f>
        <v>1835282</v>
      </c>
      <c r="E12959">
        <v>2</v>
      </c>
      <c r="F12959" t="s">
        <v>10364</v>
      </c>
    </row>
    <row r="12960" spans="1:6" x14ac:dyDescent="0.25">
      <c r="A12960" t="s">
        <v>13380</v>
      </c>
      <c r="B12960" t="s">
        <v>3064</v>
      </c>
      <c r="C12960" t="s">
        <v>3065</v>
      </c>
      <c r="D12960" t="str">
        <f>HYPERLINK("http://service.sap.com/sap/support/notes/1837717","1837717")</f>
        <v>1837717</v>
      </c>
      <c r="E12960">
        <v>3</v>
      </c>
      <c r="F12960" t="s">
        <v>10365</v>
      </c>
    </row>
    <row r="12961" spans="1:6" x14ac:dyDescent="0.25">
      <c r="A12961" t="s">
        <v>13380</v>
      </c>
      <c r="B12961" t="s">
        <v>3064</v>
      </c>
      <c r="C12961" t="s">
        <v>3065</v>
      </c>
      <c r="D12961" t="str">
        <f>HYPERLINK("http://service.sap.com/sap/support/notes/1847668","1847668")</f>
        <v>1847668</v>
      </c>
      <c r="E12961">
        <v>1</v>
      </c>
      <c r="F12961" t="s">
        <v>10366</v>
      </c>
    </row>
    <row r="12962" spans="1:6" x14ac:dyDescent="0.25">
      <c r="A12962" t="s">
        <v>13380</v>
      </c>
      <c r="B12962" t="s">
        <v>3064</v>
      </c>
      <c r="C12962" t="s">
        <v>3065</v>
      </c>
      <c r="D12962" t="str">
        <f>HYPERLINK("http://service.sap.com/sap/support/notes/1850918","1850918")</f>
        <v>1850918</v>
      </c>
      <c r="E12962">
        <v>2</v>
      </c>
      <c r="F12962" t="s">
        <v>10367</v>
      </c>
    </row>
    <row r="12963" spans="1:6" x14ac:dyDescent="0.25">
      <c r="A12963" t="s">
        <v>13380</v>
      </c>
      <c r="B12963" t="s">
        <v>3064</v>
      </c>
      <c r="C12963" t="s">
        <v>3065</v>
      </c>
      <c r="D12963" t="str">
        <f>HYPERLINK("http://service.sap.com/sap/support/notes/1854865","1854865")</f>
        <v>1854865</v>
      </c>
      <c r="E12963">
        <v>2</v>
      </c>
      <c r="F12963" t="s">
        <v>10368</v>
      </c>
    </row>
    <row r="12964" spans="1:6" x14ac:dyDescent="0.25">
      <c r="A12964" t="s">
        <v>13380</v>
      </c>
      <c r="B12964" t="s">
        <v>3075</v>
      </c>
      <c r="C12964" t="s">
        <v>3076</v>
      </c>
      <c r="D12964" t="str">
        <f>HYPERLINK("http://service.sap.com/sap/support/notes/1852349","1852349")</f>
        <v>1852349</v>
      </c>
      <c r="E12964">
        <v>2</v>
      </c>
      <c r="F12964" t="s">
        <v>10370</v>
      </c>
    </row>
    <row r="12965" spans="1:6" x14ac:dyDescent="0.25">
      <c r="A12965" t="s">
        <v>13380</v>
      </c>
      <c r="B12965" t="s">
        <v>3078</v>
      </c>
      <c r="C12965" t="s">
        <v>3079</v>
      </c>
      <c r="D12965" t="str">
        <f>HYPERLINK("http://service.sap.com/sap/support/notes/1752606","1752606")</f>
        <v>1752606</v>
      </c>
      <c r="E12965">
        <v>4</v>
      </c>
      <c r="F12965" t="s">
        <v>10371</v>
      </c>
    </row>
    <row r="12966" spans="1:6" x14ac:dyDescent="0.25">
      <c r="A12966" t="s">
        <v>13380</v>
      </c>
      <c r="B12966" t="s">
        <v>3078</v>
      </c>
      <c r="C12966" t="s">
        <v>3079</v>
      </c>
      <c r="D12966" t="str">
        <f>HYPERLINK("http://service.sap.com/sap/support/notes/1845543","1845543")</f>
        <v>1845543</v>
      </c>
      <c r="E12966">
        <v>2</v>
      </c>
      <c r="F12966" t="s">
        <v>10372</v>
      </c>
    </row>
    <row r="12967" spans="1:6" x14ac:dyDescent="0.25">
      <c r="A12967" t="s">
        <v>13380</v>
      </c>
      <c r="B12967" t="s">
        <v>3078</v>
      </c>
      <c r="C12967" t="s">
        <v>3079</v>
      </c>
      <c r="D12967" t="str">
        <f>HYPERLINK("http://service.sap.com/sap/support/notes/1857505","1857505")</f>
        <v>1857505</v>
      </c>
      <c r="E12967">
        <v>3</v>
      </c>
      <c r="F12967" t="s">
        <v>10373</v>
      </c>
    </row>
    <row r="12968" spans="1:6" x14ac:dyDescent="0.25">
      <c r="A12968" t="s">
        <v>13380</v>
      </c>
      <c r="B12968" t="s">
        <v>3084</v>
      </c>
      <c r="C12968" t="s">
        <v>3085</v>
      </c>
    </row>
    <row r="12969" spans="1:6" x14ac:dyDescent="0.25">
      <c r="A12969" t="s">
        <v>13380</v>
      </c>
      <c r="B12969" t="s">
        <v>3097</v>
      </c>
      <c r="C12969" t="s">
        <v>1066</v>
      </c>
    </row>
    <row r="12970" spans="1:6" x14ac:dyDescent="0.25">
      <c r="A12970" t="s">
        <v>13380</v>
      </c>
      <c r="B12970" t="s">
        <v>3124</v>
      </c>
      <c r="C12970" t="s">
        <v>3125</v>
      </c>
    </row>
    <row r="12971" spans="1:6" x14ac:dyDescent="0.25">
      <c r="A12971" t="s">
        <v>13380</v>
      </c>
      <c r="B12971" t="s">
        <v>3126</v>
      </c>
      <c r="C12971" t="s">
        <v>2400</v>
      </c>
      <c r="D12971" t="str">
        <f>HYPERLINK("http://service.sap.com/sap/support/notes/1836906","1836906")</f>
        <v>1836906</v>
      </c>
      <c r="E12971">
        <v>4</v>
      </c>
      <c r="F12971" t="s">
        <v>10390</v>
      </c>
    </row>
    <row r="12972" spans="1:6" x14ac:dyDescent="0.25">
      <c r="A12972" t="s">
        <v>13380</v>
      </c>
      <c r="B12972" t="s">
        <v>3142</v>
      </c>
      <c r="C12972" t="s">
        <v>3143</v>
      </c>
      <c r="D12972" t="str">
        <f>HYPERLINK("http://service.sap.com/sap/support/notes/1859584","1859584")</f>
        <v>1859584</v>
      </c>
      <c r="E12972">
        <v>1</v>
      </c>
      <c r="F12972" t="s">
        <v>13340</v>
      </c>
    </row>
    <row r="12973" spans="1:6" x14ac:dyDescent="0.25">
      <c r="A12973" t="s">
        <v>13380</v>
      </c>
      <c r="B12973" t="s">
        <v>3144</v>
      </c>
      <c r="C12973" t="s">
        <v>3145</v>
      </c>
      <c r="D12973" t="str">
        <f>HYPERLINK("http://service.sap.com/sap/support/notes/1830083","1830083")</f>
        <v>1830083</v>
      </c>
      <c r="E12973">
        <v>2</v>
      </c>
      <c r="F12973" t="s">
        <v>10398</v>
      </c>
    </row>
    <row r="12974" spans="1:6" x14ac:dyDescent="0.25">
      <c r="A12974" t="s">
        <v>13380</v>
      </c>
      <c r="B12974" t="s">
        <v>3144</v>
      </c>
      <c r="C12974" t="s">
        <v>3145</v>
      </c>
      <c r="D12974" t="str">
        <f>HYPERLINK("http://service.sap.com/sap/support/notes/1853063","1853063")</f>
        <v>1853063</v>
      </c>
      <c r="E12974">
        <v>1</v>
      </c>
      <c r="F12974" t="s">
        <v>10399</v>
      </c>
    </row>
    <row r="12975" spans="1:6" x14ac:dyDescent="0.25">
      <c r="A12975" t="s">
        <v>13380</v>
      </c>
      <c r="B12975" t="s">
        <v>3144</v>
      </c>
      <c r="C12975" t="s">
        <v>3145</v>
      </c>
      <c r="D12975" t="str">
        <f>HYPERLINK("http://service.sap.com/sap/support/notes/1853681","1853681")</f>
        <v>1853681</v>
      </c>
      <c r="E12975">
        <v>1</v>
      </c>
      <c r="F12975" t="s">
        <v>10400</v>
      </c>
    </row>
    <row r="12976" spans="1:6" x14ac:dyDescent="0.25">
      <c r="A12976" t="s">
        <v>13380</v>
      </c>
      <c r="B12976" t="s">
        <v>3150</v>
      </c>
      <c r="C12976" t="s">
        <v>3151</v>
      </c>
      <c r="D12976" t="str">
        <f>HYPERLINK("http://service.sap.com/sap/support/notes/1865889","1865889")</f>
        <v>1865889</v>
      </c>
      <c r="E12976">
        <v>1</v>
      </c>
      <c r="F12976" t="s">
        <v>13341</v>
      </c>
    </row>
    <row r="12977" spans="1:6" x14ac:dyDescent="0.25">
      <c r="A12977" t="s">
        <v>13380</v>
      </c>
      <c r="B12977" t="s">
        <v>3153</v>
      </c>
      <c r="C12977" t="s">
        <v>3154</v>
      </c>
      <c r="D12977" t="str">
        <f>HYPERLINK("http://service.sap.com/sap/support/notes/1841474","1841474")</f>
        <v>1841474</v>
      </c>
      <c r="E12977">
        <v>2</v>
      </c>
      <c r="F12977" t="s">
        <v>10401</v>
      </c>
    </row>
    <row r="12978" spans="1:6" x14ac:dyDescent="0.25">
      <c r="A12978" t="s">
        <v>13380</v>
      </c>
      <c r="B12978" t="s">
        <v>3153</v>
      </c>
      <c r="C12978" t="s">
        <v>3154</v>
      </c>
      <c r="D12978" t="str">
        <f>HYPERLINK("http://service.sap.com/sap/support/notes/1849549","1849549")</f>
        <v>1849549</v>
      </c>
      <c r="E12978">
        <v>2</v>
      </c>
      <c r="F12978" t="s">
        <v>10402</v>
      </c>
    </row>
    <row r="12979" spans="1:6" x14ac:dyDescent="0.25">
      <c r="A12979" t="s">
        <v>13380</v>
      </c>
      <c r="B12979" t="s">
        <v>3153</v>
      </c>
      <c r="C12979" t="s">
        <v>3154</v>
      </c>
      <c r="D12979" t="str">
        <f>HYPERLINK("http://service.sap.com/sap/support/notes/1849848","1849848")</f>
        <v>1849848</v>
      </c>
      <c r="E12979">
        <v>2</v>
      </c>
      <c r="F12979" t="s">
        <v>10403</v>
      </c>
    </row>
    <row r="12980" spans="1:6" x14ac:dyDescent="0.25">
      <c r="A12980" t="s">
        <v>13380</v>
      </c>
      <c r="B12980" t="s">
        <v>3153</v>
      </c>
      <c r="C12980" t="s">
        <v>3154</v>
      </c>
      <c r="D12980" t="str">
        <f>HYPERLINK("http://service.sap.com/sap/support/notes/1862788","1862788")</f>
        <v>1862788</v>
      </c>
      <c r="E12980">
        <v>1</v>
      </c>
      <c r="F12980" t="s">
        <v>10404</v>
      </c>
    </row>
    <row r="12981" spans="1:6" x14ac:dyDescent="0.25">
      <c r="A12981" t="s">
        <v>13380</v>
      </c>
      <c r="B12981" t="s">
        <v>3156</v>
      </c>
      <c r="C12981" t="s">
        <v>3157</v>
      </c>
      <c r="D12981" t="str">
        <f>HYPERLINK("http://service.sap.com/sap/support/notes/1818455","1818455")</f>
        <v>1818455</v>
      </c>
      <c r="E12981">
        <v>3</v>
      </c>
      <c r="F12981" t="s">
        <v>10405</v>
      </c>
    </row>
    <row r="12982" spans="1:6" x14ac:dyDescent="0.25">
      <c r="A12982" t="s">
        <v>13380</v>
      </c>
      <c r="B12982" t="s">
        <v>3156</v>
      </c>
      <c r="C12982" t="s">
        <v>3157</v>
      </c>
      <c r="D12982" t="str">
        <f>HYPERLINK("http://service.sap.com/sap/support/notes/1842576","1842576")</f>
        <v>1842576</v>
      </c>
      <c r="E12982">
        <v>2</v>
      </c>
      <c r="F12982" t="s">
        <v>10406</v>
      </c>
    </row>
    <row r="12983" spans="1:6" x14ac:dyDescent="0.25">
      <c r="A12983" t="s">
        <v>13380</v>
      </c>
      <c r="B12983" t="s">
        <v>3156</v>
      </c>
      <c r="C12983" t="s">
        <v>3157</v>
      </c>
      <c r="D12983" t="str">
        <f>HYPERLINK("http://service.sap.com/sap/support/notes/1845444","1845444")</f>
        <v>1845444</v>
      </c>
      <c r="E12983">
        <v>2</v>
      </c>
      <c r="F12983" t="s">
        <v>10407</v>
      </c>
    </row>
    <row r="12984" spans="1:6" x14ac:dyDescent="0.25">
      <c r="A12984" t="s">
        <v>13380</v>
      </c>
      <c r="B12984" t="s">
        <v>5815</v>
      </c>
      <c r="C12984" t="s">
        <v>5816</v>
      </c>
      <c r="D12984" t="str">
        <f>HYPERLINK("http://service.sap.com/sap/support/notes/1821734","1821734")</f>
        <v>1821734</v>
      </c>
      <c r="E12984">
        <v>3</v>
      </c>
      <c r="F12984" t="s">
        <v>10408</v>
      </c>
    </row>
    <row r="12985" spans="1:6" x14ac:dyDescent="0.25">
      <c r="A12985" t="s">
        <v>13380</v>
      </c>
      <c r="B12985" t="s">
        <v>5819</v>
      </c>
      <c r="C12985" t="s">
        <v>5820</v>
      </c>
      <c r="D12985" t="str">
        <f>HYPERLINK("http://service.sap.com/sap/support/notes/1853494","1853494")</f>
        <v>1853494</v>
      </c>
      <c r="E12985">
        <v>1</v>
      </c>
      <c r="F12985" t="s">
        <v>10409</v>
      </c>
    </row>
    <row r="12986" spans="1:6" x14ac:dyDescent="0.25">
      <c r="A12986" t="s">
        <v>13380</v>
      </c>
      <c r="B12986" t="s">
        <v>3163</v>
      </c>
      <c r="C12986" t="s">
        <v>3164</v>
      </c>
      <c r="D12986" t="str">
        <f>HYPERLINK("http://service.sap.com/sap/support/notes/1656126","1656126")</f>
        <v>1656126</v>
      </c>
      <c r="E12986">
        <v>2</v>
      </c>
      <c r="F12986" t="s">
        <v>10410</v>
      </c>
    </row>
    <row r="12987" spans="1:6" x14ac:dyDescent="0.25">
      <c r="A12987" t="s">
        <v>13380</v>
      </c>
      <c r="B12987" t="s">
        <v>3163</v>
      </c>
      <c r="C12987" t="s">
        <v>3164</v>
      </c>
      <c r="D12987" t="str">
        <f>HYPERLINK("http://service.sap.com/sap/support/notes/1831535","1831535")</f>
        <v>1831535</v>
      </c>
      <c r="E12987">
        <v>2</v>
      </c>
      <c r="F12987" t="s">
        <v>10411</v>
      </c>
    </row>
    <row r="12988" spans="1:6" x14ac:dyDescent="0.25">
      <c r="A12988" t="s">
        <v>13380</v>
      </c>
      <c r="B12988" t="s">
        <v>3163</v>
      </c>
      <c r="C12988" t="s">
        <v>3164</v>
      </c>
      <c r="D12988" t="str">
        <f>HYPERLINK("http://service.sap.com/sap/support/notes/1833772","1833772")</f>
        <v>1833772</v>
      </c>
      <c r="E12988">
        <v>2</v>
      </c>
      <c r="F12988" t="s">
        <v>10412</v>
      </c>
    </row>
    <row r="12989" spans="1:6" x14ac:dyDescent="0.25">
      <c r="A12989" t="s">
        <v>13380</v>
      </c>
      <c r="B12989" t="s">
        <v>3171</v>
      </c>
      <c r="C12989" t="s">
        <v>3172</v>
      </c>
    </row>
    <row r="12990" spans="1:6" x14ac:dyDescent="0.25">
      <c r="A12990" t="s">
        <v>13380</v>
      </c>
      <c r="B12990" t="s">
        <v>3174</v>
      </c>
      <c r="C12990" t="s">
        <v>1588</v>
      </c>
    </row>
    <row r="12991" spans="1:6" x14ac:dyDescent="0.25">
      <c r="A12991" t="s">
        <v>13380</v>
      </c>
      <c r="B12991" t="s">
        <v>5826</v>
      </c>
      <c r="C12991" t="s">
        <v>5827</v>
      </c>
      <c r="D12991" t="str">
        <f>HYPERLINK("http://service.sap.com/sap/support/notes/1834497","1834497")</f>
        <v>1834497</v>
      </c>
      <c r="E12991">
        <v>6</v>
      </c>
      <c r="F12991" t="s">
        <v>10413</v>
      </c>
    </row>
    <row r="12992" spans="1:6" x14ac:dyDescent="0.25">
      <c r="A12992" t="s">
        <v>13380</v>
      </c>
      <c r="B12992" t="s">
        <v>5826</v>
      </c>
      <c r="C12992" t="s">
        <v>5827</v>
      </c>
      <c r="D12992" t="str">
        <f>HYPERLINK("http://service.sap.com/sap/support/notes/1862897","1862897")</f>
        <v>1862897</v>
      </c>
      <c r="E12992">
        <v>1</v>
      </c>
      <c r="F12992" t="s">
        <v>10414</v>
      </c>
    </row>
    <row r="12993" spans="1:6" x14ac:dyDescent="0.25">
      <c r="A12993" t="s">
        <v>13380</v>
      </c>
      <c r="B12993" t="s">
        <v>3185</v>
      </c>
      <c r="C12993" t="s">
        <v>3186</v>
      </c>
      <c r="D12993" t="str">
        <f>HYPERLINK("http://service.sap.com/sap/support/notes/1779051","1779051")</f>
        <v>1779051</v>
      </c>
      <c r="E12993">
        <v>2</v>
      </c>
      <c r="F12993" t="s">
        <v>10415</v>
      </c>
    </row>
    <row r="12994" spans="1:6" x14ac:dyDescent="0.25">
      <c r="A12994" t="s">
        <v>13380</v>
      </c>
      <c r="B12994" t="s">
        <v>3185</v>
      </c>
      <c r="C12994" t="s">
        <v>3186</v>
      </c>
      <c r="D12994" t="str">
        <f>HYPERLINK("http://service.sap.com/sap/support/notes/1819122","1819122")</f>
        <v>1819122</v>
      </c>
      <c r="E12994">
        <v>2</v>
      </c>
      <c r="F12994" t="s">
        <v>10416</v>
      </c>
    </row>
    <row r="12995" spans="1:6" x14ac:dyDescent="0.25">
      <c r="A12995" t="s">
        <v>13380</v>
      </c>
      <c r="B12995" t="s">
        <v>3185</v>
      </c>
      <c r="C12995" t="s">
        <v>3186</v>
      </c>
      <c r="D12995" t="str">
        <f>HYPERLINK("http://service.sap.com/sap/support/notes/1824230","1824230")</f>
        <v>1824230</v>
      </c>
      <c r="E12995">
        <v>2</v>
      </c>
      <c r="F12995" t="s">
        <v>10417</v>
      </c>
    </row>
    <row r="12996" spans="1:6" x14ac:dyDescent="0.25">
      <c r="A12996" t="s">
        <v>13380</v>
      </c>
      <c r="B12996" t="s">
        <v>3185</v>
      </c>
      <c r="C12996" t="s">
        <v>3186</v>
      </c>
      <c r="D12996" t="str">
        <f>HYPERLINK("http://service.sap.com/sap/support/notes/1831402","1831402")</f>
        <v>1831402</v>
      </c>
      <c r="E12996">
        <v>3</v>
      </c>
      <c r="F12996" t="s">
        <v>10418</v>
      </c>
    </row>
    <row r="12997" spans="1:6" x14ac:dyDescent="0.25">
      <c r="A12997" t="s">
        <v>13380</v>
      </c>
      <c r="B12997" t="s">
        <v>3185</v>
      </c>
      <c r="C12997" t="s">
        <v>3186</v>
      </c>
      <c r="D12997" t="str">
        <f>HYPERLINK("http://service.sap.com/sap/support/notes/1836440","1836440")</f>
        <v>1836440</v>
      </c>
      <c r="E12997">
        <v>2</v>
      </c>
      <c r="F12997" t="s">
        <v>10419</v>
      </c>
    </row>
    <row r="12998" spans="1:6" x14ac:dyDescent="0.25">
      <c r="A12998" t="s">
        <v>13380</v>
      </c>
      <c r="B12998" t="s">
        <v>3185</v>
      </c>
      <c r="C12998" t="s">
        <v>3186</v>
      </c>
      <c r="D12998" t="str">
        <f>HYPERLINK("http://service.sap.com/sap/support/notes/1852787","1852787")</f>
        <v>1852787</v>
      </c>
      <c r="E12998">
        <v>1</v>
      </c>
      <c r="F12998" t="s">
        <v>10420</v>
      </c>
    </row>
    <row r="12999" spans="1:6" x14ac:dyDescent="0.25">
      <c r="A12999" t="s">
        <v>13380</v>
      </c>
      <c r="B12999" t="s">
        <v>3185</v>
      </c>
      <c r="C12999" t="s">
        <v>3186</v>
      </c>
      <c r="D12999" t="str">
        <f>HYPERLINK("http://service.sap.com/sap/support/notes/1856781","1856781")</f>
        <v>1856781</v>
      </c>
      <c r="E12999">
        <v>2</v>
      </c>
      <c r="F12999" t="s">
        <v>10421</v>
      </c>
    </row>
    <row r="13000" spans="1:6" x14ac:dyDescent="0.25">
      <c r="A13000" t="s">
        <v>13380</v>
      </c>
      <c r="B13000" t="s">
        <v>3185</v>
      </c>
      <c r="C13000" t="s">
        <v>3186</v>
      </c>
      <c r="D13000" t="str">
        <f>HYPERLINK("http://service.sap.com/sap/support/notes/1861583","1861583")</f>
        <v>1861583</v>
      </c>
      <c r="E13000">
        <v>2</v>
      </c>
      <c r="F13000" t="s">
        <v>13342</v>
      </c>
    </row>
    <row r="13001" spans="1:6" x14ac:dyDescent="0.25">
      <c r="A13001" t="s">
        <v>13380</v>
      </c>
      <c r="B13001" t="s">
        <v>3185</v>
      </c>
      <c r="C13001" t="s">
        <v>3186</v>
      </c>
      <c r="D13001" t="str">
        <f>HYPERLINK("http://service.sap.com/sap/support/notes/1862794","1862794")</f>
        <v>1862794</v>
      </c>
      <c r="E13001">
        <v>4</v>
      </c>
      <c r="F13001" t="s">
        <v>10422</v>
      </c>
    </row>
    <row r="13002" spans="1:6" x14ac:dyDescent="0.25">
      <c r="A13002" t="s">
        <v>13380</v>
      </c>
      <c r="B13002" t="s">
        <v>3195</v>
      </c>
      <c r="C13002" t="s">
        <v>3196</v>
      </c>
    </row>
    <row r="13003" spans="1:6" x14ac:dyDescent="0.25">
      <c r="A13003" t="s">
        <v>13380</v>
      </c>
      <c r="B13003" t="s">
        <v>8325</v>
      </c>
      <c r="C13003" t="s">
        <v>8326</v>
      </c>
    </row>
    <row r="13004" spans="1:6" x14ac:dyDescent="0.25">
      <c r="A13004" t="s">
        <v>13380</v>
      </c>
      <c r="B13004" t="s">
        <v>10423</v>
      </c>
      <c r="C13004" t="s">
        <v>2512</v>
      </c>
      <c r="D13004" t="str">
        <f>HYPERLINK("http://service.sap.com/sap/support/notes/1858704","1858704")</f>
        <v>1858704</v>
      </c>
      <c r="E13004">
        <v>3</v>
      </c>
      <c r="F13004" t="s">
        <v>10424</v>
      </c>
    </row>
    <row r="13005" spans="1:6" x14ac:dyDescent="0.25">
      <c r="A13005" t="s">
        <v>13380</v>
      </c>
      <c r="B13005" t="s">
        <v>10425</v>
      </c>
      <c r="C13005" t="s">
        <v>3207</v>
      </c>
      <c r="D13005" t="str">
        <f>HYPERLINK("http://service.sap.com/sap/support/notes/1847880","1847880")</f>
        <v>1847880</v>
      </c>
      <c r="E13005">
        <v>1</v>
      </c>
      <c r="F13005" t="s">
        <v>10427</v>
      </c>
    </row>
    <row r="13006" spans="1:6" x14ac:dyDescent="0.25">
      <c r="A13006" t="s">
        <v>13380</v>
      </c>
      <c r="B13006" t="s">
        <v>3215</v>
      </c>
      <c r="C13006" t="s">
        <v>3216</v>
      </c>
    </row>
    <row r="13007" spans="1:6" x14ac:dyDescent="0.25">
      <c r="A13007" t="s">
        <v>13380</v>
      </c>
      <c r="B13007" t="s">
        <v>3217</v>
      </c>
      <c r="C13007" t="s">
        <v>3218</v>
      </c>
    </row>
    <row r="13008" spans="1:6" x14ac:dyDescent="0.25">
      <c r="A13008" t="s">
        <v>13380</v>
      </c>
      <c r="B13008" t="s">
        <v>3219</v>
      </c>
      <c r="C13008" t="s">
        <v>8330</v>
      </c>
      <c r="D13008" t="str">
        <f>HYPERLINK("http://service.sap.com/sap/support/notes/1795432","1795432")</f>
        <v>1795432</v>
      </c>
      <c r="E13008">
        <v>20</v>
      </c>
      <c r="F13008" t="s">
        <v>10432</v>
      </c>
    </row>
    <row r="13009" spans="1:6" x14ac:dyDescent="0.25">
      <c r="A13009" t="s">
        <v>13380</v>
      </c>
      <c r="B13009" t="s">
        <v>10438</v>
      </c>
      <c r="C13009" t="s">
        <v>3247</v>
      </c>
    </row>
    <row r="13010" spans="1:6" x14ac:dyDescent="0.25">
      <c r="A13010" t="s">
        <v>13380</v>
      </c>
      <c r="B13010" t="s">
        <v>10439</v>
      </c>
      <c r="C13010" t="s">
        <v>10440</v>
      </c>
      <c r="D13010" t="str">
        <f>HYPERLINK("http://service.sap.com/sap/support/notes/1858931","1858931")</f>
        <v>1858931</v>
      </c>
      <c r="E13010">
        <v>3</v>
      </c>
      <c r="F13010" t="s">
        <v>10441</v>
      </c>
    </row>
    <row r="13011" spans="1:6" x14ac:dyDescent="0.25">
      <c r="A13011" t="s">
        <v>13380</v>
      </c>
      <c r="B13011" t="s">
        <v>3231</v>
      </c>
      <c r="C13011" t="s">
        <v>1784</v>
      </c>
      <c r="D13011" t="str">
        <f>HYPERLINK("http://service.sap.com/sap/support/notes/1860436","1860436")</f>
        <v>1860436</v>
      </c>
      <c r="E13011">
        <v>3</v>
      </c>
      <c r="F13011" t="s">
        <v>10442</v>
      </c>
    </row>
    <row r="13012" spans="1:6" x14ac:dyDescent="0.25">
      <c r="A13012" t="s">
        <v>13380</v>
      </c>
      <c r="B13012" t="s">
        <v>3238</v>
      </c>
      <c r="C13012" t="s">
        <v>3239</v>
      </c>
      <c r="D13012" t="str">
        <f>HYPERLINK("http://service.sap.com/sap/support/notes/1839578","1839578")</f>
        <v>1839578</v>
      </c>
      <c r="E13012">
        <v>2</v>
      </c>
      <c r="F13012" t="s">
        <v>10445</v>
      </c>
    </row>
    <row r="13013" spans="1:6" x14ac:dyDescent="0.25">
      <c r="A13013" t="s">
        <v>13380</v>
      </c>
      <c r="B13013" t="s">
        <v>3241</v>
      </c>
      <c r="C13013" t="s">
        <v>3242</v>
      </c>
      <c r="D13013" t="str">
        <f>HYPERLINK("http://service.sap.com/sap/support/notes/1857772","1857772")</f>
        <v>1857772</v>
      </c>
      <c r="E13013">
        <v>1</v>
      </c>
      <c r="F13013" t="s">
        <v>10446</v>
      </c>
    </row>
    <row r="13014" spans="1:6" x14ac:dyDescent="0.25">
      <c r="A13014" t="s">
        <v>13380</v>
      </c>
      <c r="B13014" t="s">
        <v>3241</v>
      </c>
      <c r="C13014" t="s">
        <v>3242</v>
      </c>
      <c r="D13014" t="str">
        <f>HYPERLINK("http://service.sap.com/sap/support/notes/1861697","1861697")</f>
        <v>1861697</v>
      </c>
      <c r="E13014">
        <v>1</v>
      </c>
      <c r="F13014" t="s">
        <v>10447</v>
      </c>
    </row>
    <row r="13015" spans="1:6" x14ac:dyDescent="0.25">
      <c r="A13015" t="s">
        <v>13380</v>
      </c>
      <c r="B13015" t="s">
        <v>8346</v>
      </c>
      <c r="C13015" t="s">
        <v>8347</v>
      </c>
      <c r="D13015" t="str">
        <f>HYPERLINK("http://service.sap.com/sap/support/notes/1851524","1851524")</f>
        <v>1851524</v>
      </c>
      <c r="E13015">
        <v>1</v>
      </c>
      <c r="F13015" t="s">
        <v>10448</v>
      </c>
    </row>
    <row r="13016" spans="1:6" x14ac:dyDescent="0.25">
      <c r="A13016" t="s">
        <v>13380</v>
      </c>
      <c r="B13016" t="s">
        <v>8346</v>
      </c>
      <c r="C13016" t="s">
        <v>8347</v>
      </c>
      <c r="D13016" t="str">
        <f>HYPERLINK("http://service.sap.com/sap/support/notes/1852777","1852777")</f>
        <v>1852777</v>
      </c>
      <c r="E13016">
        <v>1</v>
      </c>
      <c r="F13016" t="s">
        <v>13343</v>
      </c>
    </row>
    <row r="13017" spans="1:6" x14ac:dyDescent="0.25">
      <c r="A13017" t="s">
        <v>13380</v>
      </c>
      <c r="B13017" t="s">
        <v>3251</v>
      </c>
      <c r="C13017" t="s">
        <v>29</v>
      </c>
    </row>
    <row r="13018" spans="1:6" x14ac:dyDescent="0.25">
      <c r="A13018" t="s">
        <v>13380</v>
      </c>
      <c r="B13018" t="s">
        <v>3252</v>
      </c>
      <c r="C13018" t="s">
        <v>3253</v>
      </c>
      <c r="D13018" t="str">
        <f>HYPERLINK("http://service.sap.com/sap/support/notes/1835666","1835666")</f>
        <v>1835666</v>
      </c>
      <c r="E13018">
        <v>4</v>
      </c>
      <c r="F13018" t="s">
        <v>10450</v>
      </c>
    </row>
    <row r="13019" spans="1:6" x14ac:dyDescent="0.25">
      <c r="A13019" t="s">
        <v>13380</v>
      </c>
      <c r="B13019" t="s">
        <v>3252</v>
      </c>
      <c r="C13019" t="s">
        <v>3253</v>
      </c>
      <c r="D13019" t="str">
        <f>HYPERLINK("http://service.sap.com/sap/support/notes/1838129","1838129")</f>
        <v>1838129</v>
      </c>
      <c r="E13019">
        <v>3</v>
      </c>
      <c r="F13019" t="s">
        <v>10451</v>
      </c>
    </row>
    <row r="13020" spans="1:6" x14ac:dyDescent="0.25">
      <c r="A13020" t="s">
        <v>13380</v>
      </c>
      <c r="B13020" t="s">
        <v>3252</v>
      </c>
      <c r="C13020" t="s">
        <v>3253</v>
      </c>
      <c r="D13020" t="str">
        <f>HYPERLINK("http://service.sap.com/sap/support/notes/1842807","1842807")</f>
        <v>1842807</v>
      </c>
      <c r="E13020">
        <v>2</v>
      </c>
      <c r="F13020" t="s">
        <v>10452</v>
      </c>
    </row>
    <row r="13021" spans="1:6" x14ac:dyDescent="0.25">
      <c r="A13021" t="s">
        <v>13380</v>
      </c>
      <c r="B13021" t="s">
        <v>3252</v>
      </c>
      <c r="C13021" t="s">
        <v>3253</v>
      </c>
      <c r="D13021" t="str">
        <f>HYPERLINK("http://service.sap.com/sap/support/notes/1844349","1844349")</f>
        <v>1844349</v>
      </c>
      <c r="E13021">
        <v>2</v>
      </c>
      <c r="F13021" t="s">
        <v>10453</v>
      </c>
    </row>
    <row r="13022" spans="1:6" x14ac:dyDescent="0.25">
      <c r="A13022" t="s">
        <v>13380</v>
      </c>
      <c r="B13022" t="s">
        <v>3252</v>
      </c>
      <c r="C13022" t="s">
        <v>3253</v>
      </c>
      <c r="D13022" t="str">
        <f>HYPERLINK("http://service.sap.com/sap/support/notes/1847148","1847148")</f>
        <v>1847148</v>
      </c>
      <c r="E13022">
        <v>1</v>
      </c>
      <c r="F13022" t="s">
        <v>10454</v>
      </c>
    </row>
    <row r="13023" spans="1:6" x14ac:dyDescent="0.25">
      <c r="A13023" t="s">
        <v>13380</v>
      </c>
      <c r="B13023" t="s">
        <v>3252</v>
      </c>
      <c r="C13023" t="s">
        <v>3253</v>
      </c>
      <c r="D13023" t="str">
        <f>HYPERLINK("http://service.sap.com/sap/support/notes/1850134","1850134")</f>
        <v>1850134</v>
      </c>
      <c r="E13023">
        <v>1</v>
      </c>
      <c r="F13023" t="s">
        <v>10455</v>
      </c>
    </row>
    <row r="13024" spans="1:6" x14ac:dyDescent="0.25">
      <c r="A13024" t="s">
        <v>13380</v>
      </c>
      <c r="B13024" t="s">
        <v>3252</v>
      </c>
      <c r="C13024" t="s">
        <v>3253</v>
      </c>
      <c r="D13024" t="str">
        <f>HYPERLINK("http://service.sap.com/sap/support/notes/1852973","1852973")</f>
        <v>1852973</v>
      </c>
      <c r="E13024">
        <v>3</v>
      </c>
      <c r="F13024" t="s">
        <v>10456</v>
      </c>
    </row>
    <row r="13025" spans="1:6" x14ac:dyDescent="0.25">
      <c r="A13025" t="s">
        <v>13380</v>
      </c>
      <c r="B13025" t="s">
        <v>3252</v>
      </c>
      <c r="C13025" t="s">
        <v>3253</v>
      </c>
      <c r="D13025" t="str">
        <f>HYPERLINK("http://service.sap.com/sap/support/notes/1854528","1854528")</f>
        <v>1854528</v>
      </c>
      <c r="E13025">
        <v>1</v>
      </c>
      <c r="F13025" t="s">
        <v>10457</v>
      </c>
    </row>
    <row r="13026" spans="1:6" x14ac:dyDescent="0.25">
      <c r="A13026" t="s">
        <v>13380</v>
      </c>
      <c r="B13026" t="s">
        <v>3252</v>
      </c>
      <c r="C13026" t="s">
        <v>3253</v>
      </c>
      <c r="D13026" t="str">
        <f>HYPERLINK("http://service.sap.com/sap/support/notes/1857948","1857948")</f>
        <v>1857948</v>
      </c>
      <c r="E13026">
        <v>1</v>
      </c>
      <c r="F13026" t="s">
        <v>10458</v>
      </c>
    </row>
    <row r="13027" spans="1:6" x14ac:dyDescent="0.25">
      <c r="A13027" t="s">
        <v>13380</v>
      </c>
      <c r="B13027" t="s">
        <v>5914</v>
      </c>
      <c r="C13027" t="s">
        <v>5915</v>
      </c>
      <c r="D13027" t="str">
        <f>HYPERLINK("http://service.sap.com/sap/support/notes/1812853","1812853")</f>
        <v>1812853</v>
      </c>
      <c r="E13027">
        <v>4</v>
      </c>
      <c r="F13027" t="s">
        <v>10459</v>
      </c>
    </row>
    <row r="13028" spans="1:6" x14ac:dyDescent="0.25">
      <c r="A13028" t="s">
        <v>13380</v>
      </c>
      <c r="B13028" t="s">
        <v>5917</v>
      </c>
      <c r="C13028" t="s">
        <v>5918</v>
      </c>
      <c r="D13028" t="str">
        <f>HYPERLINK("http://service.sap.com/sap/support/notes/1850468","1850468")</f>
        <v>1850468</v>
      </c>
      <c r="E13028">
        <v>2</v>
      </c>
      <c r="F13028" t="s">
        <v>10461</v>
      </c>
    </row>
    <row r="13029" spans="1:6" x14ac:dyDescent="0.25">
      <c r="A13029" t="s">
        <v>13380</v>
      </c>
      <c r="B13029" t="s">
        <v>3270</v>
      </c>
      <c r="C13029" t="s">
        <v>3271</v>
      </c>
      <c r="D13029" t="str">
        <f>HYPERLINK("http://service.sap.com/sap/support/notes/1858680","1858680")</f>
        <v>1858680</v>
      </c>
      <c r="E13029">
        <v>2</v>
      </c>
      <c r="F13029" t="s">
        <v>10462</v>
      </c>
    </row>
    <row r="13030" spans="1:6" x14ac:dyDescent="0.25">
      <c r="A13030" t="s">
        <v>13380</v>
      </c>
      <c r="B13030" t="s">
        <v>3273</v>
      </c>
      <c r="C13030" t="s">
        <v>3274</v>
      </c>
      <c r="D13030" t="str">
        <f>HYPERLINK("http://service.sap.com/sap/support/notes/1834354","1834354")</f>
        <v>1834354</v>
      </c>
      <c r="E13030">
        <v>3</v>
      </c>
      <c r="F13030" t="s">
        <v>10464</v>
      </c>
    </row>
    <row r="13031" spans="1:6" x14ac:dyDescent="0.25">
      <c r="A13031" t="s">
        <v>13380</v>
      </c>
      <c r="B13031" t="s">
        <v>3273</v>
      </c>
      <c r="C13031" t="s">
        <v>3274</v>
      </c>
      <c r="D13031" t="str">
        <f>HYPERLINK("http://service.sap.com/sap/support/notes/1836493","1836493")</f>
        <v>1836493</v>
      </c>
      <c r="E13031">
        <v>2</v>
      </c>
      <c r="F13031" t="s">
        <v>10465</v>
      </c>
    </row>
    <row r="13032" spans="1:6" x14ac:dyDescent="0.25">
      <c r="A13032" t="s">
        <v>13380</v>
      </c>
      <c r="B13032" t="s">
        <v>3273</v>
      </c>
      <c r="C13032" t="s">
        <v>3274</v>
      </c>
      <c r="D13032" t="str">
        <f>HYPERLINK("http://service.sap.com/sap/support/notes/1838458","1838458")</f>
        <v>1838458</v>
      </c>
      <c r="E13032">
        <v>2</v>
      </c>
      <c r="F13032" t="s">
        <v>10466</v>
      </c>
    </row>
    <row r="13033" spans="1:6" x14ac:dyDescent="0.25">
      <c r="A13033" t="s">
        <v>13380</v>
      </c>
      <c r="B13033" t="s">
        <v>3273</v>
      </c>
      <c r="C13033" t="s">
        <v>3274</v>
      </c>
      <c r="D13033" t="str">
        <f>HYPERLINK("http://service.sap.com/sap/support/notes/1841267","1841267")</f>
        <v>1841267</v>
      </c>
      <c r="E13033">
        <v>2</v>
      </c>
      <c r="F13033" t="s">
        <v>10467</v>
      </c>
    </row>
    <row r="13034" spans="1:6" x14ac:dyDescent="0.25">
      <c r="A13034" t="s">
        <v>13380</v>
      </c>
      <c r="B13034" t="s">
        <v>3273</v>
      </c>
      <c r="C13034" t="s">
        <v>3274</v>
      </c>
      <c r="D13034" t="str">
        <f>HYPERLINK("http://service.sap.com/sap/support/notes/1846635","1846635")</f>
        <v>1846635</v>
      </c>
      <c r="E13034">
        <v>2</v>
      </c>
      <c r="F13034" t="s">
        <v>10468</v>
      </c>
    </row>
    <row r="13035" spans="1:6" x14ac:dyDescent="0.25">
      <c r="A13035" t="s">
        <v>13380</v>
      </c>
      <c r="B13035" t="s">
        <v>3273</v>
      </c>
      <c r="C13035" t="s">
        <v>3274</v>
      </c>
      <c r="D13035" t="str">
        <f>HYPERLINK("http://service.sap.com/sap/support/notes/1847647","1847647")</f>
        <v>1847647</v>
      </c>
      <c r="E13035">
        <v>1</v>
      </c>
    </row>
    <row r="13036" spans="1:6" x14ac:dyDescent="0.25">
      <c r="A13036" t="s">
        <v>13380</v>
      </c>
      <c r="B13036" t="s">
        <v>3273</v>
      </c>
      <c r="C13036" t="s">
        <v>3274</v>
      </c>
      <c r="D13036" t="str">
        <f>HYPERLINK("http://service.sap.com/sap/support/notes/1861409","1861409")</f>
        <v>1861409</v>
      </c>
      <c r="E13036">
        <v>3</v>
      </c>
      <c r="F13036" t="s">
        <v>10470</v>
      </c>
    </row>
    <row r="13037" spans="1:6" x14ac:dyDescent="0.25">
      <c r="A13037" t="s">
        <v>13380</v>
      </c>
      <c r="B13037" t="s">
        <v>3285</v>
      </c>
      <c r="C13037" t="s">
        <v>3286</v>
      </c>
      <c r="D13037" t="str">
        <f>HYPERLINK("http://service.sap.com/sap/support/notes/1847246","1847246")</f>
        <v>1847246</v>
      </c>
      <c r="E13037">
        <v>1</v>
      </c>
      <c r="F13037" t="s">
        <v>10471</v>
      </c>
    </row>
    <row r="13038" spans="1:6" x14ac:dyDescent="0.25">
      <c r="A13038" t="s">
        <v>13380</v>
      </c>
      <c r="B13038" t="s">
        <v>3285</v>
      </c>
      <c r="C13038" t="s">
        <v>3286</v>
      </c>
      <c r="D13038" t="str">
        <f>HYPERLINK("http://service.sap.com/sap/support/notes/1851616","1851616")</f>
        <v>1851616</v>
      </c>
      <c r="E13038">
        <v>1</v>
      </c>
      <c r="F13038" t="s">
        <v>10472</v>
      </c>
    </row>
    <row r="13039" spans="1:6" x14ac:dyDescent="0.25">
      <c r="A13039" t="s">
        <v>13380</v>
      </c>
      <c r="B13039" t="s">
        <v>3289</v>
      </c>
      <c r="C13039" t="s">
        <v>1878</v>
      </c>
      <c r="D13039" t="str">
        <f>HYPERLINK("http://service.sap.com/sap/support/notes/1806116","1806116")</f>
        <v>1806116</v>
      </c>
      <c r="E13039">
        <v>1</v>
      </c>
      <c r="F13039" t="s">
        <v>10473</v>
      </c>
    </row>
    <row r="13040" spans="1:6" x14ac:dyDescent="0.25">
      <c r="A13040" t="s">
        <v>13380</v>
      </c>
      <c r="B13040" t="s">
        <v>3289</v>
      </c>
      <c r="C13040" t="s">
        <v>1878</v>
      </c>
      <c r="D13040" t="str">
        <f>HYPERLINK("http://service.sap.com/sap/support/notes/1841528","1841528")</f>
        <v>1841528</v>
      </c>
      <c r="E13040">
        <v>6</v>
      </c>
      <c r="F13040" t="s">
        <v>10474</v>
      </c>
    </row>
    <row r="13041" spans="1:6" x14ac:dyDescent="0.25">
      <c r="A13041" t="s">
        <v>13380</v>
      </c>
      <c r="B13041" t="s">
        <v>8381</v>
      </c>
      <c r="C13041" t="s">
        <v>8382</v>
      </c>
    </row>
    <row r="13042" spans="1:6" x14ac:dyDescent="0.25">
      <c r="A13042" t="s">
        <v>13380</v>
      </c>
      <c r="B13042" t="s">
        <v>8383</v>
      </c>
      <c r="C13042" t="s">
        <v>1784</v>
      </c>
      <c r="D13042" t="str">
        <f>HYPERLINK("http://service.sap.com/sap/support/notes/1860791","1860791")</f>
        <v>1860791</v>
      </c>
      <c r="E13042">
        <v>1</v>
      </c>
      <c r="F13042" t="s">
        <v>13344</v>
      </c>
    </row>
    <row r="13043" spans="1:6" x14ac:dyDescent="0.25">
      <c r="A13043" t="s">
        <v>13380</v>
      </c>
      <c r="B13043" t="s">
        <v>13345</v>
      </c>
      <c r="C13043" t="s">
        <v>13346</v>
      </c>
      <c r="D13043" t="str">
        <f>HYPERLINK("http://service.sap.com/sap/support/notes/1859529","1859529")</f>
        <v>1859529</v>
      </c>
      <c r="E13043">
        <v>2</v>
      </c>
      <c r="F13043" t="s">
        <v>13347</v>
      </c>
    </row>
    <row r="13044" spans="1:6" x14ac:dyDescent="0.25">
      <c r="A13044" t="s">
        <v>13380</v>
      </c>
      <c r="B13044" t="s">
        <v>10475</v>
      </c>
      <c r="C13044" t="s">
        <v>10476</v>
      </c>
    </row>
    <row r="13045" spans="1:6" x14ac:dyDescent="0.25">
      <c r="A13045" t="s">
        <v>13380</v>
      </c>
      <c r="B13045" t="s">
        <v>10477</v>
      </c>
      <c r="C13045" t="s">
        <v>10478</v>
      </c>
      <c r="D13045" t="str">
        <f>HYPERLINK("http://service.sap.com/sap/support/notes/1858890","1858890")</f>
        <v>1858890</v>
      </c>
      <c r="E13045">
        <v>1</v>
      </c>
      <c r="F13045" t="s">
        <v>10479</v>
      </c>
    </row>
    <row r="13046" spans="1:6" x14ac:dyDescent="0.25">
      <c r="A13046" t="s">
        <v>13380</v>
      </c>
      <c r="B13046" t="s">
        <v>3301</v>
      </c>
      <c r="C13046" t="s">
        <v>3302</v>
      </c>
    </row>
    <row r="13047" spans="1:6" x14ac:dyDescent="0.25">
      <c r="A13047" t="s">
        <v>13380</v>
      </c>
      <c r="B13047" t="s">
        <v>3303</v>
      </c>
      <c r="C13047" t="s">
        <v>3304</v>
      </c>
      <c r="D13047" t="str">
        <f>HYPERLINK("http://service.sap.com/sap/support/notes/1807991","1807991")</f>
        <v>1807991</v>
      </c>
      <c r="E13047">
        <v>4</v>
      </c>
      <c r="F13047" t="s">
        <v>10480</v>
      </c>
    </row>
    <row r="13048" spans="1:6" x14ac:dyDescent="0.25">
      <c r="A13048" t="s">
        <v>13380</v>
      </c>
      <c r="B13048" t="s">
        <v>3303</v>
      </c>
      <c r="C13048" t="s">
        <v>3304</v>
      </c>
      <c r="D13048" t="str">
        <f>HYPERLINK("http://service.sap.com/sap/support/notes/1821049","1821049")</f>
        <v>1821049</v>
      </c>
      <c r="E13048">
        <v>7</v>
      </c>
      <c r="F13048" t="s">
        <v>10481</v>
      </c>
    </row>
    <row r="13049" spans="1:6" x14ac:dyDescent="0.25">
      <c r="A13049" t="s">
        <v>13380</v>
      </c>
      <c r="B13049" t="s">
        <v>3303</v>
      </c>
      <c r="C13049" t="s">
        <v>3304</v>
      </c>
      <c r="D13049" t="str">
        <f>HYPERLINK("http://service.sap.com/sap/support/notes/1824663","1824663")</f>
        <v>1824663</v>
      </c>
      <c r="E13049">
        <v>3</v>
      </c>
      <c r="F13049" t="s">
        <v>10482</v>
      </c>
    </row>
    <row r="13050" spans="1:6" x14ac:dyDescent="0.25">
      <c r="A13050" t="s">
        <v>13380</v>
      </c>
      <c r="B13050" t="s">
        <v>3303</v>
      </c>
      <c r="C13050" t="s">
        <v>3304</v>
      </c>
      <c r="D13050" t="str">
        <f>HYPERLINK("http://service.sap.com/sap/support/notes/1833384","1833384")</f>
        <v>1833384</v>
      </c>
      <c r="E13050">
        <v>2</v>
      </c>
      <c r="F13050" t="s">
        <v>10486</v>
      </c>
    </row>
    <row r="13051" spans="1:6" x14ac:dyDescent="0.25">
      <c r="A13051" t="s">
        <v>13380</v>
      </c>
      <c r="B13051" t="s">
        <v>3303</v>
      </c>
      <c r="C13051" t="s">
        <v>3304</v>
      </c>
      <c r="D13051" t="str">
        <f>HYPERLINK("http://service.sap.com/sap/support/notes/1834414","1834414")</f>
        <v>1834414</v>
      </c>
      <c r="E13051">
        <v>3</v>
      </c>
      <c r="F13051" t="s">
        <v>10487</v>
      </c>
    </row>
    <row r="13052" spans="1:6" x14ac:dyDescent="0.25">
      <c r="A13052" t="s">
        <v>13380</v>
      </c>
      <c r="B13052" t="s">
        <v>3303</v>
      </c>
      <c r="C13052" t="s">
        <v>3304</v>
      </c>
      <c r="D13052" t="str">
        <f>HYPERLINK("http://service.sap.com/sap/support/notes/1848680","1848680")</f>
        <v>1848680</v>
      </c>
      <c r="E13052">
        <v>2</v>
      </c>
      <c r="F13052" t="s">
        <v>10489</v>
      </c>
    </row>
    <row r="13053" spans="1:6" x14ac:dyDescent="0.25">
      <c r="A13053" t="s">
        <v>13380</v>
      </c>
      <c r="B13053" t="s">
        <v>3303</v>
      </c>
      <c r="C13053" t="s">
        <v>3304</v>
      </c>
      <c r="D13053" t="str">
        <f>HYPERLINK("http://service.sap.com/sap/support/notes/1853417","1853417")</f>
        <v>1853417</v>
      </c>
      <c r="E13053">
        <v>2</v>
      </c>
      <c r="F13053" t="s">
        <v>10490</v>
      </c>
    </row>
    <row r="13054" spans="1:6" x14ac:dyDescent="0.25">
      <c r="A13054" t="s">
        <v>13380</v>
      </c>
      <c r="B13054" t="s">
        <v>3303</v>
      </c>
      <c r="C13054" t="s">
        <v>3304</v>
      </c>
      <c r="D13054" t="str">
        <f>HYPERLINK("http://service.sap.com/sap/support/notes/1861100","1861100")</f>
        <v>1861100</v>
      </c>
      <c r="E13054">
        <v>1</v>
      </c>
      <c r="F13054" t="s">
        <v>13348</v>
      </c>
    </row>
    <row r="13055" spans="1:6" x14ac:dyDescent="0.25">
      <c r="A13055" t="s">
        <v>13380</v>
      </c>
      <c r="B13055" t="s">
        <v>3303</v>
      </c>
      <c r="C13055" t="s">
        <v>3304</v>
      </c>
      <c r="D13055" t="str">
        <f>HYPERLINK("http://service.sap.com/sap/support/notes/1861926","1861926")</f>
        <v>1861926</v>
      </c>
      <c r="E13055">
        <v>1</v>
      </c>
      <c r="F13055" t="s">
        <v>13349</v>
      </c>
    </row>
    <row r="13056" spans="1:6" x14ac:dyDescent="0.25">
      <c r="A13056" t="s">
        <v>13380</v>
      </c>
      <c r="B13056" t="s">
        <v>3303</v>
      </c>
      <c r="C13056" t="s">
        <v>3304</v>
      </c>
      <c r="D13056" t="str">
        <f>HYPERLINK("http://service.sap.com/sap/support/notes/1862988","1862988")</f>
        <v>1862988</v>
      </c>
      <c r="E13056">
        <v>1</v>
      </c>
      <c r="F13056" t="s">
        <v>13350</v>
      </c>
    </row>
    <row r="13057" spans="1:6" x14ac:dyDescent="0.25">
      <c r="A13057" t="s">
        <v>13380</v>
      </c>
      <c r="B13057" t="s">
        <v>3319</v>
      </c>
      <c r="C13057" t="s">
        <v>1784</v>
      </c>
      <c r="D13057" t="str">
        <f>HYPERLINK("http://service.sap.com/sap/support/notes/1814645","1814645")</f>
        <v>1814645</v>
      </c>
      <c r="E13057">
        <v>3</v>
      </c>
      <c r="F13057" t="s">
        <v>10491</v>
      </c>
    </row>
    <row r="13058" spans="1:6" x14ac:dyDescent="0.25">
      <c r="A13058" t="s">
        <v>13380</v>
      </c>
      <c r="B13058" t="s">
        <v>3319</v>
      </c>
      <c r="C13058" t="s">
        <v>1784</v>
      </c>
      <c r="D13058" t="str">
        <f>HYPERLINK("http://service.sap.com/sap/support/notes/1839835","1839835")</f>
        <v>1839835</v>
      </c>
      <c r="E13058">
        <v>3</v>
      </c>
      <c r="F13058" t="s">
        <v>10492</v>
      </c>
    </row>
    <row r="13059" spans="1:6" x14ac:dyDescent="0.25">
      <c r="A13059" t="s">
        <v>13380</v>
      </c>
      <c r="B13059" t="s">
        <v>5953</v>
      </c>
      <c r="C13059" t="s">
        <v>700</v>
      </c>
      <c r="D13059" t="str">
        <f>HYPERLINK("http://service.sap.com/sap/support/notes/1825495","1825495")</f>
        <v>1825495</v>
      </c>
      <c r="E13059">
        <v>4</v>
      </c>
      <c r="F13059" t="s">
        <v>10493</v>
      </c>
    </row>
    <row r="13060" spans="1:6" x14ac:dyDescent="0.25">
      <c r="A13060" t="s">
        <v>13380</v>
      </c>
      <c r="B13060" t="s">
        <v>3322</v>
      </c>
      <c r="C13060" t="s">
        <v>3323</v>
      </c>
    </row>
    <row r="13061" spans="1:6" x14ac:dyDescent="0.25">
      <c r="A13061" t="s">
        <v>13380</v>
      </c>
      <c r="B13061" t="s">
        <v>3324</v>
      </c>
      <c r="C13061" t="s">
        <v>3325</v>
      </c>
      <c r="D13061" t="str">
        <f>HYPERLINK("http://service.sap.com/sap/support/notes/1836210","1836210")</f>
        <v>1836210</v>
      </c>
      <c r="E13061">
        <v>3</v>
      </c>
      <c r="F13061" t="s">
        <v>10496</v>
      </c>
    </row>
    <row r="13062" spans="1:6" x14ac:dyDescent="0.25">
      <c r="A13062" t="s">
        <v>13380</v>
      </c>
      <c r="B13062" t="s">
        <v>3324</v>
      </c>
      <c r="C13062" t="s">
        <v>3325</v>
      </c>
      <c r="D13062" t="str">
        <f>HYPERLINK("http://service.sap.com/sap/support/notes/1848257","1848257")</f>
        <v>1848257</v>
      </c>
      <c r="E13062">
        <v>3</v>
      </c>
      <c r="F13062" t="s">
        <v>10497</v>
      </c>
    </row>
    <row r="13063" spans="1:6" x14ac:dyDescent="0.25">
      <c r="A13063" t="s">
        <v>13380</v>
      </c>
      <c r="B13063" t="s">
        <v>3324</v>
      </c>
      <c r="C13063" t="s">
        <v>3325</v>
      </c>
      <c r="D13063" t="str">
        <f>HYPERLINK("http://service.sap.com/sap/support/notes/1851029","1851029")</f>
        <v>1851029</v>
      </c>
      <c r="E13063">
        <v>1</v>
      </c>
      <c r="F13063" t="s">
        <v>10498</v>
      </c>
    </row>
    <row r="13064" spans="1:6" x14ac:dyDescent="0.25">
      <c r="A13064" t="s">
        <v>13380</v>
      </c>
      <c r="B13064" t="s">
        <v>3341</v>
      </c>
      <c r="C13064" t="s">
        <v>3342</v>
      </c>
    </row>
    <row r="13065" spans="1:6" x14ac:dyDescent="0.25">
      <c r="A13065" t="s">
        <v>13380</v>
      </c>
      <c r="B13065" t="s">
        <v>3343</v>
      </c>
      <c r="C13065" t="s">
        <v>151</v>
      </c>
    </row>
    <row r="13066" spans="1:6" x14ac:dyDescent="0.25">
      <c r="A13066" t="s">
        <v>13380</v>
      </c>
      <c r="B13066" t="s">
        <v>3344</v>
      </c>
      <c r="C13066" t="s">
        <v>621</v>
      </c>
      <c r="D13066" t="str">
        <f>HYPERLINK("http://service.sap.com/sap/support/notes/1832162","1832162")</f>
        <v>1832162</v>
      </c>
      <c r="E13066">
        <v>2</v>
      </c>
      <c r="F13066" t="s">
        <v>10502</v>
      </c>
    </row>
    <row r="13067" spans="1:6" x14ac:dyDescent="0.25">
      <c r="A13067" t="s">
        <v>13380</v>
      </c>
      <c r="B13067" t="s">
        <v>3344</v>
      </c>
      <c r="C13067" t="s">
        <v>621</v>
      </c>
      <c r="D13067" t="str">
        <f>HYPERLINK("http://service.sap.com/sap/support/notes/1849187","1849187")</f>
        <v>1849187</v>
      </c>
      <c r="E13067">
        <v>2</v>
      </c>
      <c r="F13067" t="s">
        <v>10504</v>
      </c>
    </row>
    <row r="13068" spans="1:6" x14ac:dyDescent="0.25">
      <c r="A13068" t="s">
        <v>13380</v>
      </c>
      <c r="B13068" t="s">
        <v>3344</v>
      </c>
      <c r="C13068" t="s">
        <v>621</v>
      </c>
      <c r="D13068" t="str">
        <f>HYPERLINK("http://service.sap.com/sap/support/notes/1849491","1849491")</f>
        <v>1849491</v>
      </c>
      <c r="E13068">
        <v>2</v>
      </c>
      <c r="F13068" t="s">
        <v>10505</v>
      </c>
    </row>
    <row r="13069" spans="1:6" x14ac:dyDescent="0.25">
      <c r="A13069" t="s">
        <v>13380</v>
      </c>
      <c r="B13069" t="s">
        <v>3344</v>
      </c>
      <c r="C13069" t="s">
        <v>621</v>
      </c>
      <c r="D13069" t="str">
        <f>HYPERLINK("http://service.sap.com/sap/support/notes/1850090","1850090")</f>
        <v>1850090</v>
      </c>
      <c r="E13069">
        <v>1</v>
      </c>
      <c r="F13069" t="s">
        <v>10506</v>
      </c>
    </row>
    <row r="13070" spans="1:6" x14ac:dyDescent="0.25">
      <c r="A13070" t="s">
        <v>13380</v>
      </c>
      <c r="B13070" t="s">
        <v>3344</v>
      </c>
      <c r="C13070" t="s">
        <v>621</v>
      </c>
      <c r="D13070" t="str">
        <f>HYPERLINK("http://service.sap.com/sap/support/notes/1858983","1858983")</f>
        <v>1858983</v>
      </c>
      <c r="E13070">
        <v>1</v>
      </c>
      <c r="F13070" t="s">
        <v>9177</v>
      </c>
    </row>
    <row r="13071" spans="1:6" x14ac:dyDescent="0.25">
      <c r="A13071" t="s">
        <v>13380</v>
      </c>
      <c r="B13071" t="s">
        <v>3351</v>
      </c>
      <c r="C13071" t="s">
        <v>3352</v>
      </c>
      <c r="D13071" t="str">
        <f>HYPERLINK("http://service.sap.com/sap/support/notes/1839106","1839106")</f>
        <v>1839106</v>
      </c>
      <c r="E13071">
        <v>3</v>
      </c>
      <c r="F13071" t="s">
        <v>10507</v>
      </c>
    </row>
    <row r="13072" spans="1:6" x14ac:dyDescent="0.25">
      <c r="A13072" t="s">
        <v>13380</v>
      </c>
      <c r="B13072" t="s">
        <v>3354</v>
      </c>
      <c r="C13072" t="s">
        <v>3226</v>
      </c>
      <c r="D13072" t="str">
        <f>HYPERLINK("http://service.sap.com/sap/support/notes/1435215","1435215")</f>
        <v>1435215</v>
      </c>
      <c r="E13072">
        <v>7</v>
      </c>
      <c r="F13072" t="s">
        <v>10508</v>
      </c>
    </row>
    <row r="13073" spans="1:6" x14ac:dyDescent="0.25">
      <c r="A13073" t="s">
        <v>13380</v>
      </c>
      <c r="B13073" t="s">
        <v>3360</v>
      </c>
      <c r="C13073" t="s">
        <v>3361</v>
      </c>
      <c r="D13073" t="str">
        <f>HYPERLINK("http://service.sap.com/sap/support/notes/1782233","1782233")</f>
        <v>1782233</v>
      </c>
      <c r="E13073">
        <v>3</v>
      </c>
    </row>
    <row r="13074" spans="1:6" x14ac:dyDescent="0.25">
      <c r="A13074" t="s">
        <v>13380</v>
      </c>
      <c r="B13074" t="s">
        <v>3360</v>
      </c>
      <c r="C13074" t="s">
        <v>3361</v>
      </c>
      <c r="D13074" t="str">
        <f>HYPERLINK("http://service.sap.com/sap/support/notes/1792119","1792119")</f>
        <v>1792119</v>
      </c>
      <c r="E13074">
        <v>2</v>
      </c>
    </row>
    <row r="13075" spans="1:6" x14ac:dyDescent="0.25">
      <c r="A13075" t="s">
        <v>13380</v>
      </c>
      <c r="B13075" t="s">
        <v>3360</v>
      </c>
      <c r="C13075" t="s">
        <v>3361</v>
      </c>
      <c r="D13075" t="str">
        <f>HYPERLINK("http://service.sap.com/sap/support/notes/1835860","1835860")</f>
        <v>1835860</v>
      </c>
      <c r="E13075">
        <v>3</v>
      </c>
      <c r="F13075" t="s">
        <v>10510</v>
      </c>
    </row>
    <row r="13076" spans="1:6" x14ac:dyDescent="0.25">
      <c r="A13076" t="s">
        <v>13380</v>
      </c>
      <c r="B13076" t="s">
        <v>3360</v>
      </c>
      <c r="C13076" t="s">
        <v>3361</v>
      </c>
      <c r="D13076" t="str">
        <f>HYPERLINK("http://service.sap.com/sap/support/notes/1858997","1858997")</f>
        <v>1858997</v>
      </c>
      <c r="E13076">
        <v>1</v>
      </c>
      <c r="F13076" t="s">
        <v>9177</v>
      </c>
    </row>
    <row r="13077" spans="1:6" x14ac:dyDescent="0.25">
      <c r="A13077" t="s">
        <v>13380</v>
      </c>
      <c r="B13077" t="s">
        <v>3365</v>
      </c>
      <c r="C13077" t="s">
        <v>998</v>
      </c>
      <c r="D13077" t="str">
        <f>HYPERLINK("http://service.sap.com/sap/support/notes/1853480","1853480")</f>
        <v>1853480</v>
      </c>
      <c r="E13077">
        <v>1</v>
      </c>
    </row>
    <row r="13078" spans="1:6" x14ac:dyDescent="0.25">
      <c r="A13078" t="s">
        <v>13380</v>
      </c>
      <c r="B13078" t="s">
        <v>3365</v>
      </c>
      <c r="C13078" t="s">
        <v>998</v>
      </c>
      <c r="D13078" t="str">
        <f>HYPERLINK("http://service.sap.com/sap/support/notes/1858852","1858852")</f>
        <v>1858852</v>
      </c>
      <c r="E13078">
        <v>1</v>
      </c>
      <c r="F13078" t="s">
        <v>9177</v>
      </c>
    </row>
    <row r="13079" spans="1:6" x14ac:dyDescent="0.25">
      <c r="A13079" t="s">
        <v>13380</v>
      </c>
      <c r="B13079" t="s">
        <v>3369</v>
      </c>
      <c r="C13079" t="s">
        <v>3370</v>
      </c>
      <c r="D13079" t="str">
        <f>HYPERLINK("http://service.sap.com/sap/support/notes/1839987","1839987")</f>
        <v>1839987</v>
      </c>
      <c r="E13079">
        <v>1</v>
      </c>
    </row>
    <row r="13080" spans="1:6" x14ac:dyDescent="0.25">
      <c r="A13080" t="s">
        <v>13380</v>
      </c>
      <c r="B13080" t="s">
        <v>3369</v>
      </c>
      <c r="C13080" t="s">
        <v>3370</v>
      </c>
      <c r="D13080" t="str">
        <f>HYPERLINK("http://service.sap.com/sap/support/notes/1840554","1840554")</f>
        <v>1840554</v>
      </c>
      <c r="E13080">
        <v>1</v>
      </c>
    </row>
    <row r="13081" spans="1:6" x14ac:dyDescent="0.25">
      <c r="A13081" t="s">
        <v>13380</v>
      </c>
      <c r="B13081" t="s">
        <v>5984</v>
      </c>
      <c r="C13081" t="s">
        <v>5089</v>
      </c>
      <c r="D13081" t="str">
        <f>HYPERLINK("http://service.sap.com/sap/support/notes/1820994","1820994")</f>
        <v>1820994</v>
      </c>
      <c r="E13081">
        <v>3</v>
      </c>
      <c r="F13081" t="s">
        <v>10515</v>
      </c>
    </row>
    <row r="13082" spans="1:6" x14ac:dyDescent="0.25">
      <c r="A13082" t="s">
        <v>13380</v>
      </c>
      <c r="B13082" t="s">
        <v>5984</v>
      </c>
      <c r="C13082" t="s">
        <v>5089</v>
      </c>
      <c r="D13082" t="str">
        <f>HYPERLINK("http://service.sap.com/sap/support/notes/1840969","1840969")</f>
        <v>1840969</v>
      </c>
      <c r="E13082">
        <v>2</v>
      </c>
      <c r="F13082" t="s">
        <v>10516</v>
      </c>
    </row>
    <row r="13083" spans="1:6" x14ac:dyDescent="0.25">
      <c r="A13083" t="s">
        <v>13380</v>
      </c>
      <c r="B13083" t="s">
        <v>3372</v>
      </c>
      <c r="C13083" t="s">
        <v>3373</v>
      </c>
      <c r="D13083" t="str">
        <f>HYPERLINK("http://service.sap.com/sap/support/notes/1836706","1836706")</f>
        <v>1836706</v>
      </c>
      <c r="E13083">
        <v>4</v>
      </c>
      <c r="F13083" t="s">
        <v>10517</v>
      </c>
    </row>
    <row r="13084" spans="1:6" x14ac:dyDescent="0.25">
      <c r="A13084" t="s">
        <v>13380</v>
      </c>
      <c r="B13084" t="s">
        <v>3372</v>
      </c>
      <c r="C13084" t="s">
        <v>3373</v>
      </c>
      <c r="D13084" t="str">
        <f>HYPERLINK("http://service.sap.com/sap/support/notes/1843120","1843120")</f>
        <v>1843120</v>
      </c>
      <c r="E13084">
        <v>2</v>
      </c>
      <c r="F13084" t="s">
        <v>10518</v>
      </c>
    </row>
    <row r="13085" spans="1:6" x14ac:dyDescent="0.25">
      <c r="A13085" t="s">
        <v>13380</v>
      </c>
      <c r="B13085" t="s">
        <v>3378</v>
      </c>
      <c r="C13085" t="s">
        <v>48</v>
      </c>
      <c r="D13085" t="str">
        <f>HYPERLINK("http://service.sap.com/sap/support/notes/1845137","1845137")</f>
        <v>1845137</v>
      </c>
      <c r="E13085">
        <v>1</v>
      </c>
      <c r="F13085" t="s">
        <v>10520</v>
      </c>
    </row>
    <row r="13086" spans="1:6" x14ac:dyDescent="0.25">
      <c r="A13086" t="s">
        <v>13380</v>
      </c>
      <c r="B13086" t="s">
        <v>3378</v>
      </c>
      <c r="C13086" t="s">
        <v>48</v>
      </c>
      <c r="D13086" t="str">
        <f>HYPERLINK("http://service.sap.com/sap/support/notes/1860844","1860844")</f>
        <v>1860844</v>
      </c>
      <c r="E13086">
        <v>1</v>
      </c>
      <c r="F13086" t="s">
        <v>13351</v>
      </c>
    </row>
    <row r="13087" spans="1:6" x14ac:dyDescent="0.25">
      <c r="A13087" t="s">
        <v>13380</v>
      </c>
      <c r="B13087" t="s">
        <v>3380</v>
      </c>
      <c r="C13087" t="s">
        <v>3381</v>
      </c>
      <c r="D13087" t="str">
        <f>HYPERLINK("http://service.sap.com/sap/support/notes/1838742","1838742")</f>
        <v>1838742</v>
      </c>
      <c r="E13087">
        <v>2</v>
      </c>
      <c r="F13087" t="s">
        <v>10522</v>
      </c>
    </row>
    <row r="13088" spans="1:6" x14ac:dyDescent="0.25">
      <c r="A13088" t="s">
        <v>13380</v>
      </c>
      <c r="B13088" t="s">
        <v>3380</v>
      </c>
      <c r="C13088" t="s">
        <v>3381</v>
      </c>
      <c r="D13088" t="str">
        <f>HYPERLINK("http://service.sap.com/sap/support/notes/1847255","1847255")</f>
        <v>1847255</v>
      </c>
      <c r="E13088">
        <v>2</v>
      </c>
      <c r="F13088" t="s">
        <v>10523</v>
      </c>
    </row>
    <row r="13089" spans="1:6" x14ac:dyDescent="0.25">
      <c r="A13089" t="s">
        <v>13380</v>
      </c>
      <c r="B13089" t="s">
        <v>3380</v>
      </c>
      <c r="C13089" t="s">
        <v>3381</v>
      </c>
      <c r="D13089" t="str">
        <f>HYPERLINK("http://service.sap.com/sap/support/notes/1856173","1856173")</f>
        <v>1856173</v>
      </c>
      <c r="E13089">
        <v>1</v>
      </c>
      <c r="F13089" t="s">
        <v>10524</v>
      </c>
    </row>
    <row r="13090" spans="1:6" x14ac:dyDescent="0.25">
      <c r="A13090" t="s">
        <v>13380</v>
      </c>
      <c r="B13090" t="s">
        <v>3387</v>
      </c>
      <c r="C13090" t="s">
        <v>612</v>
      </c>
      <c r="D13090" t="str">
        <f>HYPERLINK("http://service.sap.com/sap/support/notes/1857488","1857488")</f>
        <v>1857488</v>
      </c>
      <c r="E13090">
        <v>1</v>
      </c>
      <c r="F13090" t="s">
        <v>13352</v>
      </c>
    </row>
    <row r="13091" spans="1:6" x14ac:dyDescent="0.25">
      <c r="A13091" t="s">
        <v>13380</v>
      </c>
      <c r="B13091" t="s">
        <v>3387</v>
      </c>
      <c r="C13091" t="s">
        <v>612</v>
      </c>
      <c r="D13091" t="str">
        <f>HYPERLINK("http://service.sap.com/sap/support/notes/1858849","1858849")</f>
        <v>1858849</v>
      </c>
      <c r="E13091">
        <v>3</v>
      </c>
      <c r="F13091" t="s">
        <v>9177</v>
      </c>
    </row>
    <row r="13092" spans="1:6" x14ac:dyDescent="0.25">
      <c r="A13092" t="s">
        <v>13380</v>
      </c>
      <c r="B13092" t="s">
        <v>3388</v>
      </c>
      <c r="C13092" t="s">
        <v>3389</v>
      </c>
      <c r="D13092" t="str">
        <f>HYPERLINK("http://service.sap.com/sap/support/notes/1853711","1853711")</f>
        <v>1853711</v>
      </c>
      <c r="E13092">
        <v>4</v>
      </c>
      <c r="F13092" t="s">
        <v>10525</v>
      </c>
    </row>
    <row r="13093" spans="1:6" x14ac:dyDescent="0.25">
      <c r="A13093" t="s">
        <v>13380</v>
      </c>
      <c r="B13093" t="s">
        <v>3391</v>
      </c>
      <c r="C13093" t="s">
        <v>151</v>
      </c>
      <c r="D13093" t="str">
        <f>HYPERLINK("http://service.sap.com/sap/support/notes/1849770","1849770")</f>
        <v>1849770</v>
      </c>
      <c r="E13093">
        <v>1</v>
      </c>
      <c r="F13093" t="s">
        <v>10527</v>
      </c>
    </row>
    <row r="13094" spans="1:6" x14ac:dyDescent="0.25">
      <c r="A13094" t="s">
        <v>13380</v>
      </c>
      <c r="B13094" t="s">
        <v>3394</v>
      </c>
      <c r="C13094" t="s">
        <v>3395</v>
      </c>
      <c r="D13094" t="str">
        <f>HYPERLINK("http://service.sap.com/sap/support/notes/1836156","1836156")</f>
        <v>1836156</v>
      </c>
      <c r="E13094">
        <v>3</v>
      </c>
      <c r="F13094" t="s">
        <v>10529</v>
      </c>
    </row>
    <row r="13095" spans="1:6" x14ac:dyDescent="0.25">
      <c r="A13095" t="s">
        <v>13380</v>
      </c>
      <c r="B13095" t="s">
        <v>3397</v>
      </c>
      <c r="C13095" t="s">
        <v>3398</v>
      </c>
      <c r="D13095" t="str">
        <f>HYPERLINK("http://service.sap.com/sap/support/notes/1813807","1813807")</f>
        <v>1813807</v>
      </c>
      <c r="E13095">
        <v>4</v>
      </c>
      <c r="F13095" t="s">
        <v>10530</v>
      </c>
    </row>
    <row r="13096" spans="1:6" x14ac:dyDescent="0.25">
      <c r="A13096" t="s">
        <v>13380</v>
      </c>
      <c r="B13096" t="s">
        <v>3397</v>
      </c>
      <c r="C13096" t="s">
        <v>3398</v>
      </c>
      <c r="D13096" t="str">
        <f>HYPERLINK("http://service.sap.com/sap/support/notes/1846682","1846682")</f>
        <v>1846682</v>
      </c>
      <c r="E13096">
        <v>3</v>
      </c>
      <c r="F13096" t="s">
        <v>10531</v>
      </c>
    </row>
    <row r="13097" spans="1:6" x14ac:dyDescent="0.25">
      <c r="A13097" t="s">
        <v>13380</v>
      </c>
      <c r="B13097" t="s">
        <v>3401</v>
      </c>
      <c r="C13097" t="s">
        <v>3402</v>
      </c>
      <c r="D13097" t="str">
        <f>HYPERLINK("http://service.sap.com/sap/support/notes/1638931","1638931")</f>
        <v>1638931</v>
      </c>
      <c r="E13097">
        <v>6</v>
      </c>
      <c r="F13097" t="s">
        <v>10532</v>
      </c>
    </row>
    <row r="13098" spans="1:6" x14ac:dyDescent="0.25">
      <c r="A13098" t="s">
        <v>13380</v>
      </c>
      <c r="B13098" t="s">
        <v>3401</v>
      </c>
      <c r="C13098" t="s">
        <v>3402</v>
      </c>
      <c r="D13098" t="str">
        <f>HYPERLINK("http://service.sap.com/sap/support/notes/1772135","1772135")</f>
        <v>1772135</v>
      </c>
      <c r="E13098">
        <v>3</v>
      </c>
      <c r="F13098" t="s">
        <v>10533</v>
      </c>
    </row>
    <row r="13099" spans="1:6" x14ac:dyDescent="0.25">
      <c r="A13099" t="s">
        <v>13380</v>
      </c>
      <c r="B13099" t="s">
        <v>3401</v>
      </c>
      <c r="C13099" t="s">
        <v>3402</v>
      </c>
      <c r="D13099" t="str">
        <f>HYPERLINK("http://service.sap.com/sap/support/notes/1830353","1830353")</f>
        <v>1830353</v>
      </c>
      <c r="E13099">
        <v>3</v>
      </c>
      <c r="F13099" t="s">
        <v>10536</v>
      </c>
    </row>
    <row r="13100" spans="1:6" x14ac:dyDescent="0.25">
      <c r="A13100" t="s">
        <v>13380</v>
      </c>
      <c r="B13100" t="s">
        <v>3401</v>
      </c>
      <c r="C13100" t="s">
        <v>3402</v>
      </c>
      <c r="D13100" t="str">
        <f>HYPERLINK("http://service.sap.com/sap/support/notes/1842573","1842573")</f>
        <v>1842573</v>
      </c>
      <c r="E13100">
        <v>1</v>
      </c>
      <c r="F13100" t="s">
        <v>10537</v>
      </c>
    </row>
    <row r="13101" spans="1:6" x14ac:dyDescent="0.25">
      <c r="A13101" t="s">
        <v>13380</v>
      </c>
      <c r="B13101" t="s">
        <v>3401</v>
      </c>
      <c r="C13101" t="s">
        <v>3402</v>
      </c>
      <c r="D13101" t="str">
        <f>HYPERLINK("http://service.sap.com/sap/support/notes/1848258","1848258")</f>
        <v>1848258</v>
      </c>
      <c r="E13101">
        <v>1</v>
      </c>
      <c r="F13101" t="s">
        <v>10538</v>
      </c>
    </row>
    <row r="13102" spans="1:6" x14ac:dyDescent="0.25">
      <c r="A13102" t="s">
        <v>13380</v>
      </c>
      <c r="B13102" t="s">
        <v>3401</v>
      </c>
      <c r="C13102" t="s">
        <v>3402</v>
      </c>
      <c r="D13102" t="str">
        <f>HYPERLINK("http://service.sap.com/sap/support/notes/1848327","1848327")</f>
        <v>1848327</v>
      </c>
      <c r="E13102">
        <v>4</v>
      </c>
      <c r="F13102" t="s">
        <v>10539</v>
      </c>
    </row>
    <row r="13103" spans="1:6" x14ac:dyDescent="0.25">
      <c r="A13103" t="s">
        <v>13380</v>
      </c>
      <c r="B13103" t="s">
        <v>3401</v>
      </c>
      <c r="C13103" t="s">
        <v>3402</v>
      </c>
      <c r="D13103" t="str">
        <f>HYPERLINK("http://service.sap.com/sap/support/notes/1850731","1850731")</f>
        <v>1850731</v>
      </c>
      <c r="E13103">
        <v>2</v>
      </c>
      <c r="F13103" t="s">
        <v>13353</v>
      </c>
    </row>
    <row r="13104" spans="1:6" x14ac:dyDescent="0.25">
      <c r="A13104" t="s">
        <v>13380</v>
      </c>
      <c r="B13104" t="s">
        <v>3401</v>
      </c>
      <c r="C13104" t="s">
        <v>3402</v>
      </c>
      <c r="D13104" t="str">
        <f>HYPERLINK("http://service.sap.com/sap/support/notes/1858810","1858810")</f>
        <v>1858810</v>
      </c>
      <c r="E13104">
        <v>1</v>
      </c>
      <c r="F13104" t="s">
        <v>10541</v>
      </c>
    </row>
    <row r="13105" spans="1:6" x14ac:dyDescent="0.25">
      <c r="A13105" t="s">
        <v>13380</v>
      </c>
      <c r="B13105" t="s">
        <v>10542</v>
      </c>
      <c r="C13105" t="s">
        <v>10543</v>
      </c>
      <c r="D13105" t="str">
        <f>HYPERLINK("http://service.sap.com/sap/support/notes/1850123","1850123")</f>
        <v>1850123</v>
      </c>
      <c r="E13105">
        <v>1</v>
      </c>
      <c r="F13105" t="s">
        <v>10544</v>
      </c>
    </row>
    <row r="13106" spans="1:6" x14ac:dyDescent="0.25">
      <c r="A13106" t="s">
        <v>13380</v>
      </c>
      <c r="B13106" t="s">
        <v>5995</v>
      </c>
      <c r="C13106" t="s">
        <v>5996</v>
      </c>
      <c r="D13106" t="str">
        <f>HYPERLINK("http://service.sap.com/sap/support/notes/1841382","1841382")</f>
        <v>1841382</v>
      </c>
      <c r="E13106">
        <v>5</v>
      </c>
      <c r="F13106" t="s">
        <v>10545</v>
      </c>
    </row>
    <row r="13107" spans="1:6" x14ac:dyDescent="0.25">
      <c r="A13107" t="s">
        <v>13380</v>
      </c>
      <c r="B13107" t="s">
        <v>8448</v>
      </c>
      <c r="C13107" t="s">
        <v>8449</v>
      </c>
      <c r="D13107" t="str">
        <f>HYPERLINK("http://service.sap.com/sap/support/notes/1858691","1858691")</f>
        <v>1858691</v>
      </c>
      <c r="E13107">
        <v>1</v>
      </c>
    </row>
    <row r="13108" spans="1:6" x14ac:dyDescent="0.25">
      <c r="A13108" t="s">
        <v>13380</v>
      </c>
      <c r="B13108" t="s">
        <v>3413</v>
      </c>
      <c r="C13108" t="s">
        <v>3414</v>
      </c>
      <c r="D13108" t="str">
        <f>HYPERLINK("http://service.sap.com/sap/support/notes/1766044","1766044")</f>
        <v>1766044</v>
      </c>
      <c r="E13108">
        <v>3</v>
      </c>
      <c r="F13108" t="s">
        <v>10550</v>
      </c>
    </row>
    <row r="13109" spans="1:6" x14ac:dyDescent="0.25">
      <c r="A13109" t="s">
        <v>13380</v>
      </c>
      <c r="B13109" t="s">
        <v>3418</v>
      </c>
      <c r="C13109" t="s">
        <v>3419</v>
      </c>
      <c r="D13109" t="str">
        <f>HYPERLINK("http://service.sap.com/sap/support/notes/1763386","1763386")</f>
        <v>1763386</v>
      </c>
      <c r="E13109">
        <v>4</v>
      </c>
      <c r="F13109" t="s">
        <v>10551</v>
      </c>
    </row>
    <row r="13110" spans="1:6" x14ac:dyDescent="0.25">
      <c r="A13110" t="s">
        <v>13380</v>
      </c>
      <c r="B13110" t="s">
        <v>3418</v>
      </c>
      <c r="C13110" t="s">
        <v>3419</v>
      </c>
      <c r="D13110" t="str">
        <f>HYPERLINK("http://service.sap.com/sap/support/notes/1858740","1858740")</f>
        <v>1858740</v>
      </c>
      <c r="E13110">
        <v>2</v>
      </c>
      <c r="F13110" t="s">
        <v>13354</v>
      </c>
    </row>
    <row r="13111" spans="1:6" x14ac:dyDescent="0.25">
      <c r="A13111" t="s">
        <v>13380</v>
      </c>
      <c r="B13111" t="s">
        <v>3420</v>
      </c>
      <c r="C13111" t="s">
        <v>3421</v>
      </c>
      <c r="D13111" t="str">
        <f>HYPERLINK("http://service.sap.com/sap/support/notes/1853127","1853127")</f>
        <v>1853127</v>
      </c>
      <c r="E13111">
        <v>2</v>
      </c>
      <c r="F13111" t="s">
        <v>10553</v>
      </c>
    </row>
    <row r="13112" spans="1:6" x14ac:dyDescent="0.25">
      <c r="A13112" t="s">
        <v>13380</v>
      </c>
      <c r="B13112" t="s">
        <v>3423</v>
      </c>
      <c r="C13112" t="s">
        <v>3424</v>
      </c>
      <c r="D13112" t="str">
        <f>HYPERLINK("http://service.sap.com/sap/support/notes/1795734","1795734")</f>
        <v>1795734</v>
      </c>
      <c r="E13112">
        <v>2</v>
      </c>
      <c r="F13112" t="s">
        <v>10554</v>
      </c>
    </row>
    <row r="13113" spans="1:6" x14ac:dyDescent="0.25">
      <c r="A13113" t="s">
        <v>13380</v>
      </c>
      <c r="B13113" t="s">
        <v>3423</v>
      </c>
      <c r="C13113" t="s">
        <v>3424</v>
      </c>
      <c r="D13113" t="str">
        <f>HYPERLINK("http://service.sap.com/sap/support/notes/1805156","1805156")</f>
        <v>1805156</v>
      </c>
      <c r="E13113">
        <v>6</v>
      </c>
      <c r="F13113" t="s">
        <v>10555</v>
      </c>
    </row>
    <row r="13114" spans="1:6" x14ac:dyDescent="0.25">
      <c r="A13114" t="s">
        <v>13380</v>
      </c>
      <c r="B13114" t="s">
        <v>3423</v>
      </c>
      <c r="C13114" t="s">
        <v>3424</v>
      </c>
      <c r="D13114" t="str">
        <f>HYPERLINK("http://service.sap.com/sap/support/notes/1812597","1812597")</f>
        <v>1812597</v>
      </c>
      <c r="E13114">
        <v>4</v>
      </c>
      <c r="F13114" t="s">
        <v>10556</v>
      </c>
    </row>
    <row r="13115" spans="1:6" x14ac:dyDescent="0.25">
      <c r="A13115" t="s">
        <v>13380</v>
      </c>
      <c r="B13115" t="s">
        <v>3423</v>
      </c>
      <c r="C13115" t="s">
        <v>3424</v>
      </c>
      <c r="D13115" t="str">
        <f>HYPERLINK("http://service.sap.com/sap/support/notes/1840458","1840458")</f>
        <v>1840458</v>
      </c>
      <c r="E13115">
        <v>6</v>
      </c>
      <c r="F13115" t="s">
        <v>10557</v>
      </c>
    </row>
    <row r="13116" spans="1:6" x14ac:dyDescent="0.25">
      <c r="A13116" t="s">
        <v>13380</v>
      </c>
      <c r="B13116" t="s">
        <v>3434</v>
      </c>
      <c r="C13116" t="s">
        <v>3435</v>
      </c>
      <c r="D13116" t="str">
        <f>HYPERLINK("http://service.sap.com/sap/support/notes/1858887","1858887")</f>
        <v>1858887</v>
      </c>
      <c r="E13116">
        <v>1</v>
      </c>
    </row>
    <row r="13117" spans="1:6" x14ac:dyDescent="0.25">
      <c r="A13117" t="s">
        <v>13380</v>
      </c>
      <c r="B13117" t="s">
        <v>3434</v>
      </c>
      <c r="C13117" t="s">
        <v>3435</v>
      </c>
      <c r="D13117" t="str">
        <f>HYPERLINK("http://service.sap.com/sap/support/notes/1858998","1858998")</f>
        <v>1858998</v>
      </c>
      <c r="E13117">
        <v>1</v>
      </c>
      <c r="F13117" t="s">
        <v>9177</v>
      </c>
    </row>
    <row r="13118" spans="1:6" x14ac:dyDescent="0.25">
      <c r="A13118" t="s">
        <v>13380</v>
      </c>
      <c r="B13118" t="s">
        <v>3436</v>
      </c>
      <c r="C13118" t="s">
        <v>3437</v>
      </c>
      <c r="D13118" t="str">
        <f>HYPERLINK("http://service.sap.com/sap/support/notes/1834044","1834044")</f>
        <v>1834044</v>
      </c>
      <c r="E13118">
        <v>2</v>
      </c>
    </row>
    <row r="13119" spans="1:6" x14ac:dyDescent="0.25">
      <c r="A13119" t="s">
        <v>13380</v>
      </c>
      <c r="B13119" t="s">
        <v>3439</v>
      </c>
      <c r="C13119" t="s">
        <v>3440</v>
      </c>
    </row>
    <row r="13120" spans="1:6" x14ac:dyDescent="0.25">
      <c r="A13120" t="s">
        <v>13380</v>
      </c>
      <c r="B13120" t="s">
        <v>3441</v>
      </c>
      <c r="C13120" t="s">
        <v>3442</v>
      </c>
    </row>
    <row r="13121" spans="1:6" x14ac:dyDescent="0.25">
      <c r="A13121" t="s">
        <v>13380</v>
      </c>
      <c r="B13121" t="s">
        <v>3443</v>
      </c>
      <c r="C13121" t="s">
        <v>3444</v>
      </c>
      <c r="D13121" t="str">
        <f>HYPERLINK("http://service.sap.com/sap/support/notes/1841099","1841099")</f>
        <v>1841099</v>
      </c>
      <c r="E13121">
        <v>1</v>
      </c>
      <c r="F13121" t="s">
        <v>10560</v>
      </c>
    </row>
    <row r="13122" spans="1:6" x14ac:dyDescent="0.25">
      <c r="A13122" t="s">
        <v>13380</v>
      </c>
      <c r="B13122" t="s">
        <v>3447</v>
      </c>
      <c r="C13122" t="s">
        <v>2205</v>
      </c>
      <c r="D13122" t="str">
        <f>HYPERLINK("http://service.sap.com/sap/support/notes/1858712","1858712")</f>
        <v>1858712</v>
      </c>
      <c r="E13122">
        <v>1</v>
      </c>
      <c r="F13122" t="s">
        <v>13355</v>
      </c>
    </row>
    <row r="13123" spans="1:6" x14ac:dyDescent="0.25">
      <c r="A13123" t="s">
        <v>13380</v>
      </c>
      <c r="B13123" t="s">
        <v>3455</v>
      </c>
      <c r="C13123" t="s">
        <v>2207</v>
      </c>
      <c r="D13123" t="str">
        <f>HYPERLINK("http://service.sap.com/sap/support/notes/1823476","1823476")</f>
        <v>1823476</v>
      </c>
      <c r="E13123">
        <v>2</v>
      </c>
      <c r="F13123" t="s">
        <v>10562</v>
      </c>
    </row>
    <row r="13124" spans="1:6" x14ac:dyDescent="0.25">
      <c r="A13124" t="s">
        <v>13380</v>
      </c>
      <c r="B13124" t="s">
        <v>3455</v>
      </c>
      <c r="C13124" t="s">
        <v>2207</v>
      </c>
      <c r="D13124" t="str">
        <f>HYPERLINK("http://service.sap.com/sap/support/notes/1854949","1854949")</f>
        <v>1854949</v>
      </c>
      <c r="E13124">
        <v>3</v>
      </c>
      <c r="F13124" t="s">
        <v>10563</v>
      </c>
    </row>
    <row r="13125" spans="1:6" x14ac:dyDescent="0.25">
      <c r="A13125" t="s">
        <v>13380</v>
      </c>
      <c r="B13125" t="s">
        <v>3469</v>
      </c>
      <c r="C13125" t="s">
        <v>824</v>
      </c>
      <c r="D13125" t="str">
        <f>HYPERLINK("http://service.sap.com/sap/support/notes/1859385","1859385")</f>
        <v>1859385</v>
      </c>
      <c r="E13125">
        <v>1</v>
      </c>
    </row>
    <row r="13126" spans="1:6" x14ac:dyDescent="0.25">
      <c r="A13126" t="s">
        <v>13380</v>
      </c>
      <c r="B13126" t="s">
        <v>3471</v>
      </c>
      <c r="C13126" t="s">
        <v>29</v>
      </c>
      <c r="D13126" t="str">
        <f>HYPERLINK("http://service.sap.com/sap/support/notes/1858985","1858985")</f>
        <v>1858985</v>
      </c>
      <c r="E13126">
        <v>1</v>
      </c>
      <c r="F13126" t="s">
        <v>9177</v>
      </c>
    </row>
    <row r="13127" spans="1:6" x14ac:dyDescent="0.25">
      <c r="A13127" t="s">
        <v>13380</v>
      </c>
      <c r="B13127" t="s">
        <v>3472</v>
      </c>
      <c r="C13127" t="s">
        <v>3473</v>
      </c>
    </row>
    <row r="13128" spans="1:6" x14ac:dyDescent="0.25">
      <c r="A13128" t="s">
        <v>13380</v>
      </c>
      <c r="B13128" t="s">
        <v>8471</v>
      </c>
      <c r="C13128" t="s">
        <v>8472</v>
      </c>
      <c r="D13128" t="str">
        <f>HYPERLINK("http://service.sap.com/sap/support/notes/1826801","1826801")</f>
        <v>1826801</v>
      </c>
      <c r="E13128">
        <v>2</v>
      </c>
      <c r="F13128" t="s">
        <v>10568</v>
      </c>
    </row>
    <row r="13129" spans="1:6" x14ac:dyDescent="0.25">
      <c r="A13129" t="s">
        <v>13380</v>
      </c>
      <c r="B13129" t="s">
        <v>3481</v>
      </c>
      <c r="C13129" t="s">
        <v>3482</v>
      </c>
      <c r="D13129" t="str">
        <f>HYPERLINK("http://service.sap.com/sap/support/notes/1789053","1789053")</f>
        <v>1789053</v>
      </c>
      <c r="E13129">
        <v>4</v>
      </c>
      <c r="F13129" t="s">
        <v>10569</v>
      </c>
    </row>
    <row r="13130" spans="1:6" x14ac:dyDescent="0.25">
      <c r="A13130" t="s">
        <v>13380</v>
      </c>
      <c r="B13130" t="s">
        <v>3481</v>
      </c>
      <c r="C13130" t="s">
        <v>3482</v>
      </c>
      <c r="D13130" t="str">
        <f>HYPERLINK("http://service.sap.com/sap/support/notes/1828163","1828163")</f>
        <v>1828163</v>
      </c>
      <c r="E13130">
        <v>2</v>
      </c>
      <c r="F13130" t="s">
        <v>10571</v>
      </c>
    </row>
    <row r="13131" spans="1:6" x14ac:dyDescent="0.25">
      <c r="A13131" t="s">
        <v>13380</v>
      </c>
      <c r="B13131" t="s">
        <v>3481</v>
      </c>
      <c r="C13131" t="s">
        <v>3482</v>
      </c>
      <c r="D13131" t="str">
        <f>HYPERLINK("http://service.sap.com/sap/support/notes/1831611","1831611")</f>
        <v>1831611</v>
      </c>
      <c r="E13131">
        <v>2</v>
      </c>
      <c r="F13131" t="s">
        <v>10572</v>
      </c>
    </row>
    <row r="13132" spans="1:6" x14ac:dyDescent="0.25">
      <c r="A13132" t="s">
        <v>13380</v>
      </c>
      <c r="B13132" t="s">
        <v>3481</v>
      </c>
      <c r="C13132" t="s">
        <v>3482</v>
      </c>
      <c r="D13132" t="str">
        <f>HYPERLINK("http://service.sap.com/sap/support/notes/1858856","1858856")</f>
        <v>1858856</v>
      </c>
      <c r="E13132">
        <v>1</v>
      </c>
      <c r="F13132" t="s">
        <v>13356</v>
      </c>
    </row>
    <row r="13133" spans="1:6" x14ac:dyDescent="0.25">
      <c r="A13133" t="s">
        <v>13380</v>
      </c>
      <c r="B13133" t="s">
        <v>3495</v>
      </c>
      <c r="C13133" t="s">
        <v>3496</v>
      </c>
      <c r="D13133" t="str">
        <f>HYPERLINK("http://service.sap.com/sap/support/notes/1846665","1846665")</f>
        <v>1846665</v>
      </c>
      <c r="E13133">
        <v>1</v>
      </c>
    </row>
    <row r="13134" spans="1:6" x14ac:dyDescent="0.25">
      <c r="A13134" t="s">
        <v>13380</v>
      </c>
      <c r="B13134" t="s">
        <v>3495</v>
      </c>
      <c r="C13134" t="s">
        <v>3496</v>
      </c>
      <c r="D13134" t="str">
        <f>HYPERLINK("http://service.sap.com/sap/support/notes/1859515","1859515")</f>
        <v>1859515</v>
      </c>
      <c r="E13134">
        <v>1</v>
      </c>
      <c r="F13134" t="s">
        <v>9177</v>
      </c>
    </row>
    <row r="13135" spans="1:6" x14ac:dyDescent="0.25">
      <c r="A13135" t="s">
        <v>13380</v>
      </c>
      <c r="B13135" t="s">
        <v>3497</v>
      </c>
      <c r="C13135" t="s">
        <v>1925</v>
      </c>
      <c r="D13135" t="str">
        <f>HYPERLINK("http://service.sap.com/sap/support/notes/1855896","1855896")</f>
        <v>1855896</v>
      </c>
      <c r="E13135">
        <v>3</v>
      </c>
      <c r="F13135" t="s">
        <v>10573</v>
      </c>
    </row>
    <row r="13136" spans="1:6" x14ac:dyDescent="0.25">
      <c r="A13136" t="s">
        <v>13380</v>
      </c>
      <c r="B13136" t="s">
        <v>6021</v>
      </c>
      <c r="C13136" t="s">
        <v>6022</v>
      </c>
    </row>
    <row r="13137" spans="1:6" x14ac:dyDescent="0.25">
      <c r="A13137" t="s">
        <v>13380</v>
      </c>
      <c r="B13137" t="s">
        <v>13357</v>
      </c>
      <c r="C13137" t="s">
        <v>13358</v>
      </c>
      <c r="D13137" t="str">
        <f>HYPERLINK("http://service.sap.com/sap/support/notes/1858677","1858677")</f>
        <v>1858677</v>
      </c>
      <c r="E13137">
        <v>4</v>
      </c>
      <c r="F13137" t="s">
        <v>13359</v>
      </c>
    </row>
    <row r="13138" spans="1:6" x14ac:dyDescent="0.25">
      <c r="A13138" t="s">
        <v>13380</v>
      </c>
      <c r="B13138" t="s">
        <v>3499</v>
      </c>
      <c r="C13138" t="s">
        <v>1878</v>
      </c>
      <c r="D13138" t="str">
        <f>HYPERLINK("http://service.sap.com/sap/support/notes/1824301","1824301")</f>
        <v>1824301</v>
      </c>
      <c r="E13138">
        <v>4</v>
      </c>
      <c r="F13138" t="s">
        <v>10576</v>
      </c>
    </row>
    <row r="13139" spans="1:6" x14ac:dyDescent="0.25">
      <c r="A13139" t="s">
        <v>13380</v>
      </c>
      <c r="B13139" t="s">
        <v>3499</v>
      </c>
      <c r="C13139" t="s">
        <v>1878</v>
      </c>
      <c r="D13139" t="str">
        <f>HYPERLINK("http://service.sap.com/sap/support/notes/1834551","1834551")</f>
        <v>1834551</v>
      </c>
      <c r="E13139">
        <v>5</v>
      </c>
      <c r="F13139" t="s">
        <v>10578</v>
      </c>
    </row>
    <row r="13140" spans="1:6" x14ac:dyDescent="0.25">
      <c r="A13140" t="s">
        <v>13380</v>
      </c>
      <c r="B13140" t="s">
        <v>3499</v>
      </c>
      <c r="C13140" t="s">
        <v>1878</v>
      </c>
      <c r="D13140" t="str">
        <f>HYPERLINK("http://service.sap.com/sap/support/notes/1838541","1838541")</f>
        <v>1838541</v>
      </c>
      <c r="E13140">
        <v>3</v>
      </c>
      <c r="F13140" t="s">
        <v>10579</v>
      </c>
    </row>
    <row r="13141" spans="1:6" x14ac:dyDescent="0.25">
      <c r="A13141" t="s">
        <v>13380</v>
      </c>
      <c r="B13141" t="s">
        <v>3499</v>
      </c>
      <c r="C13141" t="s">
        <v>1878</v>
      </c>
      <c r="D13141" t="str">
        <f>HYPERLINK("http://service.sap.com/sap/support/notes/1839041","1839041")</f>
        <v>1839041</v>
      </c>
      <c r="E13141">
        <v>3</v>
      </c>
      <c r="F13141" t="s">
        <v>10580</v>
      </c>
    </row>
    <row r="13142" spans="1:6" x14ac:dyDescent="0.25">
      <c r="A13142" t="s">
        <v>13380</v>
      </c>
      <c r="B13142" t="s">
        <v>3499</v>
      </c>
      <c r="C13142" t="s">
        <v>1878</v>
      </c>
      <c r="D13142" t="str">
        <f>HYPERLINK("http://service.sap.com/sap/support/notes/1843123","1843123")</f>
        <v>1843123</v>
      </c>
      <c r="E13142">
        <v>4</v>
      </c>
      <c r="F13142" t="s">
        <v>10581</v>
      </c>
    </row>
    <row r="13143" spans="1:6" x14ac:dyDescent="0.25">
      <c r="A13143" t="s">
        <v>13380</v>
      </c>
      <c r="B13143" t="s">
        <v>3499</v>
      </c>
      <c r="C13143" t="s">
        <v>1878</v>
      </c>
      <c r="D13143" t="str">
        <f>HYPERLINK("http://service.sap.com/sap/support/notes/1847261","1847261")</f>
        <v>1847261</v>
      </c>
      <c r="E13143">
        <v>1</v>
      </c>
      <c r="F13143" t="s">
        <v>10582</v>
      </c>
    </row>
    <row r="13144" spans="1:6" x14ac:dyDescent="0.25">
      <c r="A13144" t="s">
        <v>13380</v>
      </c>
      <c r="B13144" t="s">
        <v>3499</v>
      </c>
      <c r="C13144" t="s">
        <v>1878</v>
      </c>
      <c r="D13144" t="str">
        <f>HYPERLINK("http://service.sap.com/sap/support/notes/1851673","1851673")</f>
        <v>1851673</v>
      </c>
      <c r="E13144">
        <v>1</v>
      </c>
      <c r="F13144" t="s">
        <v>10583</v>
      </c>
    </row>
    <row r="13145" spans="1:6" x14ac:dyDescent="0.25">
      <c r="A13145" t="s">
        <v>13380</v>
      </c>
      <c r="B13145" t="s">
        <v>3499</v>
      </c>
      <c r="C13145" t="s">
        <v>1878</v>
      </c>
      <c r="D13145" t="str">
        <f>HYPERLINK("http://service.sap.com/sap/support/notes/1852773","1852773")</f>
        <v>1852773</v>
      </c>
      <c r="E13145">
        <v>1</v>
      </c>
      <c r="F13145" t="s">
        <v>13360</v>
      </c>
    </row>
    <row r="13146" spans="1:6" x14ac:dyDescent="0.25">
      <c r="A13146" t="s">
        <v>13380</v>
      </c>
      <c r="B13146" t="s">
        <v>3499</v>
      </c>
      <c r="C13146" t="s">
        <v>1878</v>
      </c>
      <c r="D13146" t="str">
        <f>HYPERLINK("http://service.sap.com/sap/support/notes/1852774","1852774")</f>
        <v>1852774</v>
      </c>
      <c r="E13146">
        <v>1</v>
      </c>
      <c r="F13146" t="s">
        <v>10584</v>
      </c>
    </row>
    <row r="13147" spans="1:6" x14ac:dyDescent="0.25">
      <c r="A13147" t="s">
        <v>13380</v>
      </c>
      <c r="B13147" t="s">
        <v>3499</v>
      </c>
      <c r="C13147" t="s">
        <v>1878</v>
      </c>
      <c r="D13147" t="str">
        <f>HYPERLINK("http://service.sap.com/sap/support/notes/1852922","1852922")</f>
        <v>1852922</v>
      </c>
      <c r="E13147">
        <v>1</v>
      </c>
      <c r="F13147" t="s">
        <v>10585</v>
      </c>
    </row>
    <row r="13148" spans="1:6" x14ac:dyDescent="0.25">
      <c r="A13148" t="s">
        <v>13380</v>
      </c>
      <c r="B13148" t="s">
        <v>3499</v>
      </c>
      <c r="C13148" t="s">
        <v>1878</v>
      </c>
      <c r="D13148" t="str">
        <f>HYPERLINK("http://service.sap.com/sap/support/notes/1854181","1854181")</f>
        <v>1854181</v>
      </c>
      <c r="E13148">
        <v>1</v>
      </c>
      <c r="F13148" t="s">
        <v>13361</v>
      </c>
    </row>
    <row r="13149" spans="1:6" x14ac:dyDescent="0.25">
      <c r="A13149" t="s">
        <v>13380</v>
      </c>
      <c r="B13149" t="s">
        <v>3499</v>
      </c>
      <c r="C13149" t="s">
        <v>1878</v>
      </c>
      <c r="D13149" t="str">
        <f>HYPERLINK("http://service.sap.com/sap/support/notes/1856451","1856451")</f>
        <v>1856451</v>
      </c>
      <c r="E13149">
        <v>1</v>
      </c>
      <c r="F13149" t="s">
        <v>10586</v>
      </c>
    </row>
    <row r="13150" spans="1:6" x14ac:dyDescent="0.25">
      <c r="A13150" t="s">
        <v>13380</v>
      </c>
      <c r="B13150" t="s">
        <v>3499</v>
      </c>
      <c r="C13150" t="s">
        <v>1878</v>
      </c>
      <c r="D13150" t="str">
        <f>HYPERLINK("http://service.sap.com/sap/support/notes/1858103","1858103")</f>
        <v>1858103</v>
      </c>
      <c r="E13150">
        <v>1</v>
      </c>
      <c r="F13150" t="s">
        <v>10587</v>
      </c>
    </row>
    <row r="13151" spans="1:6" x14ac:dyDescent="0.25">
      <c r="A13151" t="s">
        <v>13380</v>
      </c>
      <c r="B13151" t="s">
        <v>3499</v>
      </c>
      <c r="C13151" t="s">
        <v>1878</v>
      </c>
      <c r="D13151" t="str">
        <f>HYPERLINK("http://service.sap.com/sap/support/notes/1859000","1859000")</f>
        <v>1859000</v>
      </c>
      <c r="E13151">
        <v>1</v>
      </c>
      <c r="F13151" t="s">
        <v>9177</v>
      </c>
    </row>
    <row r="13152" spans="1:6" x14ac:dyDescent="0.25">
      <c r="A13152" t="s">
        <v>13380</v>
      </c>
      <c r="B13152" t="s">
        <v>3499</v>
      </c>
      <c r="C13152" t="s">
        <v>1878</v>
      </c>
      <c r="D13152" t="str">
        <f>HYPERLINK("http://service.sap.com/sap/support/notes/1859314","1859314")</f>
        <v>1859314</v>
      </c>
      <c r="E13152">
        <v>1</v>
      </c>
      <c r="F13152" t="s">
        <v>13362</v>
      </c>
    </row>
    <row r="13153" spans="1:6" x14ac:dyDescent="0.25">
      <c r="A13153" t="s">
        <v>13380</v>
      </c>
      <c r="B13153" t="s">
        <v>3499</v>
      </c>
      <c r="C13153" t="s">
        <v>1878</v>
      </c>
      <c r="D13153" t="str">
        <f>HYPERLINK("http://service.sap.com/sap/support/notes/1859609","1859609")</f>
        <v>1859609</v>
      </c>
      <c r="E13153">
        <v>1</v>
      </c>
      <c r="F13153" t="s">
        <v>10588</v>
      </c>
    </row>
    <row r="13154" spans="1:6" x14ac:dyDescent="0.25">
      <c r="A13154" t="s">
        <v>13380</v>
      </c>
      <c r="B13154" t="s">
        <v>3499</v>
      </c>
      <c r="C13154" t="s">
        <v>1878</v>
      </c>
      <c r="D13154" t="str">
        <f>HYPERLINK("http://service.sap.com/sap/support/notes/1859897","1859897")</f>
        <v>1859897</v>
      </c>
      <c r="E13154">
        <v>1</v>
      </c>
      <c r="F13154" t="s">
        <v>10589</v>
      </c>
    </row>
    <row r="13155" spans="1:6" x14ac:dyDescent="0.25">
      <c r="A13155" t="s">
        <v>13380</v>
      </c>
      <c r="B13155" t="s">
        <v>3499</v>
      </c>
      <c r="C13155" t="s">
        <v>1878</v>
      </c>
      <c r="D13155" t="str">
        <f>HYPERLINK("http://service.sap.com/sap/support/notes/1861102","1861102")</f>
        <v>1861102</v>
      </c>
      <c r="E13155">
        <v>1</v>
      </c>
      <c r="F13155" t="s">
        <v>13363</v>
      </c>
    </row>
    <row r="13156" spans="1:6" x14ac:dyDescent="0.25">
      <c r="A13156" t="s">
        <v>13380</v>
      </c>
      <c r="B13156" t="s">
        <v>3499</v>
      </c>
      <c r="C13156" t="s">
        <v>1878</v>
      </c>
      <c r="D13156" t="str">
        <f>HYPERLINK("http://service.sap.com/sap/support/notes/1863428","1863428")</f>
        <v>1863428</v>
      </c>
      <c r="E13156">
        <v>1</v>
      </c>
      <c r="F13156" t="s">
        <v>10590</v>
      </c>
    </row>
    <row r="13157" spans="1:6" x14ac:dyDescent="0.25">
      <c r="A13157" t="s">
        <v>13380</v>
      </c>
      <c r="B13157" t="s">
        <v>3503</v>
      </c>
      <c r="C13157" t="s">
        <v>3504</v>
      </c>
      <c r="D13157" t="str">
        <f>HYPERLINK("http://service.sap.com/sap/support/notes/1822008","1822008")</f>
        <v>1822008</v>
      </c>
      <c r="E13157">
        <v>5</v>
      </c>
      <c r="F13157" t="s">
        <v>10593</v>
      </c>
    </row>
    <row r="13158" spans="1:6" x14ac:dyDescent="0.25">
      <c r="A13158" t="s">
        <v>13380</v>
      </c>
      <c r="B13158" t="s">
        <v>3503</v>
      </c>
      <c r="C13158" t="s">
        <v>3504</v>
      </c>
      <c r="D13158" t="str">
        <f>HYPERLINK("http://service.sap.com/sap/support/notes/1828495","1828495")</f>
        <v>1828495</v>
      </c>
      <c r="E13158">
        <v>3</v>
      </c>
      <c r="F13158" t="s">
        <v>10594</v>
      </c>
    </row>
    <row r="13159" spans="1:6" x14ac:dyDescent="0.25">
      <c r="A13159" t="s">
        <v>13380</v>
      </c>
      <c r="B13159" t="s">
        <v>3503</v>
      </c>
      <c r="C13159" t="s">
        <v>3504</v>
      </c>
      <c r="D13159" t="str">
        <f>HYPERLINK("http://service.sap.com/sap/support/notes/1836916","1836916")</f>
        <v>1836916</v>
      </c>
      <c r="E13159">
        <v>3</v>
      </c>
      <c r="F13159" t="s">
        <v>10596</v>
      </c>
    </row>
    <row r="13160" spans="1:6" x14ac:dyDescent="0.25">
      <c r="A13160" t="s">
        <v>13380</v>
      </c>
      <c r="B13160" t="s">
        <v>3503</v>
      </c>
      <c r="C13160" t="s">
        <v>3504</v>
      </c>
      <c r="D13160" t="str">
        <f>HYPERLINK("http://service.sap.com/sap/support/notes/1837747","1837747")</f>
        <v>1837747</v>
      </c>
      <c r="E13160">
        <v>4</v>
      </c>
      <c r="F13160" t="s">
        <v>10597</v>
      </c>
    </row>
    <row r="13161" spans="1:6" x14ac:dyDescent="0.25">
      <c r="A13161" t="s">
        <v>13380</v>
      </c>
      <c r="B13161" t="s">
        <v>3503</v>
      </c>
      <c r="C13161" t="s">
        <v>3504</v>
      </c>
      <c r="D13161" t="str">
        <f>HYPERLINK("http://service.sap.com/sap/support/notes/1859185","1859185")</f>
        <v>1859185</v>
      </c>
      <c r="E13161">
        <v>1</v>
      </c>
      <c r="F13161" t="s">
        <v>10598</v>
      </c>
    </row>
    <row r="13162" spans="1:6" x14ac:dyDescent="0.25">
      <c r="A13162" t="s">
        <v>13380</v>
      </c>
      <c r="B13162" t="s">
        <v>3503</v>
      </c>
      <c r="C13162" t="s">
        <v>3504</v>
      </c>
      <c r="D13162" t="str">
        <f>HYPERLINK("http://service.sap.com/sap/support/notes/1859429","1859429")</f>
        <v>1859429</v>
      </c>
      <c r="E13162">
        <v>1</v>
      </c>
      <c r="F13162" t="s">
        <v>10599</v>
      </c>
    </row>
    <row r="13163" spans="1:6" x14ac:dyDescent="0.25">
      <c r="A13163" t="s">
        <v>13380</v>
      </c>
      <c r="B13163" t="s">
        <v>3503</v>
      </c>
      <c r="C13163" t="s">
        <v>3504</v>
      </c>
      <c r="D13163" t="str">
        <f>HYPERLINK("http://service.sap.com/sap/support/notes/1860022","1860022")</f>
        <v>1860022</v>
      </c>
      <c r="E13163">
        <v>1</v>
      </c>
      <c r="F13163" t="s">
        <v>10600</v>
      </c>
    </row>
    <row r="13164" spans="1:6" x14ac:dyDescent="0.25">
      <c r="A13164" t="s">
        <v>13380</v>
      </c>
      <c r="B13164" t="s">
        <v>8493</v>
      </c>
      <c r="C13164" t="s">
        <v>1743</v>
      </c>
      <c r="D13164" t="str">
        <f>HYPERLINK("http://service.sap.com/sap/support/notes/1859517","1859517")</f>
        <v>1859517</v>
      </c>
      <c r="E13164">
        <v>1</v>
      </c>
      <c r="F13164" t="s">
        <v>9177</v>
      </c>
    </row>
    <row r="13165" spans="1:6" x14ac:dyDescent="0.25">
      <c r="A13165" t="s">
        <v>13380</v>
      </c>
      <c r="B13165" t="s">
        <v>3508</v>
      </c>
      <c r="C13165" t="s">
        <v>151</v>
      </c>
      <c r="D13165" t="str">
        <f>HYPERLINK("http://service.sap.com/sap/support/notes/1858812","1858812")</f>
        <v>1858812</v>
      </c>
      <c r="E13165">
        <v>3</v>
      </c>
      <c r="F13165" t="s">
        <v>13364</v>
      </c>
    </row>
    <row r="13166" spans="1:6" x14ac:dyDescent="0.25">
      <c r="A13166" t="s">
        <v>13380</v>
      </c>
      <c r="B13166" t="s">
        <v>3508</v>
      </c>
      <c r="C13166" t="s">
        <v>151</v>
      </c>
      <c r="D13166" t="str">
        <f>HYPERLINK("http://service.sap.com/sap/support/notes/1859052","1859052")</f>
        <v>1859052</v>
      </c>
      <c r="E13166">
        <v>1</v>
      </c>
      <c r="F13166" t="s">
        <v>13365</v>
      </c>
    </row>
    <row r="13167" spans="1:6" x14ac:dyDescent="0.25">
      <c r="A13167" t="s">
        <v>13380</v>
      </c>
      <c r="B13167" t="s">
        <v>6038</v>
      </c>
      <c r="C13167" t="s">
        <v>6039</v>
      </c>
      <c r="D13167" t="str">
        <f>HYPERLINK("http://service.sap.com/sap/support/notes/1798275","1798275")</f>
        <v>1798275</v>
      </c>
      <c r="E13167">
        <v>3</v>
      </c>
      <c r="F13167" t="s">
        <v>10602</v>
      </c>
    </row>
    <row r="13168" spans="1:6" x14ac:dyDescent="0.25">
      <c r="A13168" t="s">
        <v>13380</v>
      </c>
      <c r="B13168" t="s">
        <v>6044</v>
      </c>
      <c r="C13168" t="s">
        <v>6045</v>
      </c>
      <c r="D13168" t="str">
        <f>HYPERLINK("http://service.sap.com/sap/support/notes/1612183","1612183")</f>
        <v>1612183</v>
      </c>
      <c r="E13168">
        <v>5</v>
      </c>
      <c r="F13168" t="s">
        <v>10603</v>
      </c>
    </row>
    <row r="13169" spans="1:6" x14ac:dyDescent="0.25">
      <c r="A13169" t="s">
        <v>13380</v>
      </c>
      <c r="B13169" t="s">
        <v>6044</v>
      </c>
      <c r="C13169" t="s">
        <v>6045</v>
      </c>
      <c r="D13169" t="str">
        <f>HYPERLINK("http://service.sap.com/sap/support/notes/1852889","1852889")</f>
        <v>1852889</v>
      </c>
      <c r="E13169">
        <v>2</v>
      </c>
      <c r="F13169" t="s">
        <v>10604</v>
      </c>
    </row>
    <row r="13170" spans="1:6" x14ac:dyDescent="0.25">
      <c r="A13170" t="s">
        <v>13380</v>
      </c>
      <c r="B13170" t="s">
        <v>3509</v>
      </c>
      <c r="C13170" t="s">
        <v>3510</v>
      </c>
      <c r="D13170" t="str">
        <f>HYPERLINK("http://service.sap.com/sap/support/notes/1838831","1838831")</f>
        <v>1838831</v>
      </c>
      <c r="E13170">
        <v>3</v>
      </c>
      <c r="F13170" t="s">
        <v>10605</v>
      </c>
    </row>
    <row r="13171" spans="1:6" x14ac:dyDescent="0.25">
      <c r="A13171" t="s">
        <v>13380</v>
      </c>
      <c r="B13171" t="s">
        <v>3509</v>
      </c>
      <c r="C13171" t="s">
        <v>3510</v>
      </c>
      <c r="D13171" t="str">
        <f>HYPERLINK("http://service.sap.com/sap/support/notes/1841628","1841628")</f>
        <v>1841628</v>
      </c>
      <c r="E13171">
        <v>2</v>
      </c>
      <c r="F13171" t="s">
        <v>10606</v>
      </c>
    </row>
    <row r="13172" spans="1:6" x14ac:dyDescent="0.25">
      <c r="A13172" t="s">
        <v>13380</v>
      </c>
      <c r="B13172" t="s">
        <v>3509</v>
      </c>
      <c r="C13172" t="s">
        <v>3510</v>
      </c>
      <c r="D13172" t="str">
        <f>HYPERLINK("http://service.sap.com/sap/support/notes/1851664","1851664")</f>
        <v>1851664</v>
      </c>
      <c r="E13172">
        <v>2</v>
      </c>
      <c r="F13172" t="s">
        <v>10607</v>
      </c>
    </row>
    <row r="13173" spans="1:6" x14ac:dyDescent="0.25">
      <c r="A13173" t="s">
        <v>13380</v>
      </c>
      <c r="B13173" t="s">
        <v>3509</v>
      </c>
      <c r="C13173" t="s">
        <v>3510</v>
      </c>
      <c r="D13173" t="str">
        <f>HYPERLINK("http://service.sap.com/sap/support/notes/1852316","1852316")</f>
        <v>1852316</v>
      </c>
      <c r="E13173">
        <v>2</v>
      </c>
      <c r="F13173" t="s">
        <v>10608</v>
      </c>
    </row>
    <row r="13174" spans="1:6" x14ac:dyDescent="0.25">
      <c r="A13174" t="s">
        <v>13380</v>
      </c>
      <c r="B13174" t="s">
        <v>3516</v>
      </c>
      <c r="C13174" t="s">
        <v>3517</v>
      </c>
      <c r="D13174" t="str">
        <f>HYPERLINK("http://service.sap.com/sap/support/notes/1824049","1824049")</f>
        <v>1824049</v>
      </c>
      <c r="E13174">
        <v>2</v>
      </c>
      <c r="F13174" t="s">
        <v>10609</v>
      </c>
    </row>
    <row r="13175" spans="1:6" x14ac:dyDescent="0.25">
      <c r="A13175" t="s">
        <v>13380</v>
      </c>
      <c r="B13175" t="s">
        <v>3516</v>
      </c>
      <c r="C13175" t="s">
        <v>3517</v>
      </c>
      <c r="D13175" t="str">
        <f>HYPERLINK("http://service.sap.com/sap/support/notes/1844811","1844811")</f>
        <v>1844811</v>
      </c>
      <c r="E13175">
        <v>3</v>
      </c>
      <c r="F13175" t="s">
        <v>10611</v>
      </c>
    </row>
    <row r="13176" spans="1:6" x14ac:dyDescent="0.25">
      <c r="A13176" t="s">
        <v>13380</v>
      </c>
      <c r="B13176" t="s">
        <v>3516</v>
      </c>
      <c r="C13176" t="s">
        <v>3517</v>
      </c>
      <c r="D13176" t="str">
        <f>HYPERLINK("http://service.sap.com/sap/support/notes/1855539","1855539")</f>
        <v>1855539</v>
      </c>
      <c r="E13176">
        <v>1</v>
      </c>
      <c r="F13176" t="s">
        <v>10612</v>
      </c>
    </row>
    <row r="13177" spans="1:6" x14ac:dyDescent="0.25">
      <c r="A13177" t="s">
        <v>13380</v>
      </c>
      <c r="B13177" t="s">
        <v>3516</v>
      </c>
      <c r="C13177" t="s">
        <v>3517</v>
      </c>
      <c r="D13177" t="str">
        <f>HYPERLINK("http://service.sap.com/sap/support/notes/1863276","1863276")</f>
        <v>1863276</v>
      </c>
      <c r="E13177">
        <v>1</v>
      </c>
      <c r="F13177" t="s">
        <v>13366</v>
      </c>
    </row>
    <row r="13178" spans="1:6" x14ac:dyDescent="0.25">
      <c r="A13178" t="s">
        <v>13380</v>
      </c>
      <c r="B13178" t="s">
        <v>10613</v>
      </c>
      <c r="C13178" t="s">
        <v>10614</v>
      </c>
      <c r="D13178" t="str">
        <f>HYPERLINK("http://service.sap.com/sap/support/notes/1836477","1836477")</f>
        <v>1836477</v>
      </c>
      <c r="E13178">
        <v>4</v>
      </c>
      <c r="F13178" t="s">
        <v>10615</v>
      </c>
    </row>
    <row r="13179" spans="1:6" x14ac:dyDescent="0.25">
      <c r="A13179" t="s">
        <v>13380</v>
      </c>
      <c r="B13179" t="s">
        <v>3523</v>
      </c>
      <c r="C13179" t="s">
        <v>3524</v>
      </c>
      <c r="D13179" t="str">
        <f>HYPERLINK("http://service.sap.com/sap/support/notes/1835623","1835623")</f>
        <v>1835623</v>
      </c>
      <c r="E13179">
        <v>2</v>
      </c>
    </row>
    <row r="13180" spans="1:6" x14ac:dyDescent="0.25">
      <c r="A13180" t="s">
        <v>13380</v>
      </c>
      <c r="B13180" t="s">
        <v>3526</v>
      </c>
      <c r="C13180" t="s">
        <v>3527</v>
      </c>
    </row>
    <row r="13181" spans="1:6" x14ac:dyDescent="0.25">
      <c r="A13181" t="s">
        <v>13380</v>
      </c>
      <c r="B13181" t="s">
        <v>3528</v>
      </c>
      <c r="C13181" t="s">
        <v>3529</v>
      </c>
      <c r="D13181" t="str">
        <f>HYPERLINK("http://service.sap.com/sap/support/notes/1850368","1850368")</f>
        <v>1850368</v>
      </c>
      <c r="E13181">
        <v>1</v>
      </c>
      <c r="F13181" t="s">
        <v>10616</v>
      </c>
    </row>
    <row r="13182" spans="1:6" x14ac:dyDescent="0.25">
      <c r="A13182" t="s">
        <v>13380</v>
      </c>
      <c r="B13182" t="s">
        <v>3531</v>
      </c>
      <c r="C13182" t="s">
        <v>3532</v>
      </c>
      <c r="D13182" t="str">
        <f>HYPERLINK("http://service.sap.com/sap/support/notes/1774447","1774447")</f>
        <v>1774447</v>
      </c>
      <c r="E13182">
        <v>1</v>
      </c>
      <c r="F13182" t="s">
        <v>10618</v>
      </c>
    </row>
    <row r="13183" spans="1:6" x14ac:dyDescent="0.25">
      <c r="A13183" t="s">
        <v>13380</v>
      </c>
      <c r="B13183" t="s">
        <v>3531</v>
      </c>
      <c r="C13183" t="s">
        <v>3532</v>
      </c>
      <c r="D13183" t="str">
        <f>HYPERLINK("http://service.sap.com/sap/support/notes/1827887","1827887")</f>
        <v>1827887</v>
      </c>
      <c r="E13183">
        <v>6</v>
      </c>
      <c r="F13183" t="s">
        <v>10619</v>
      </c>
    </row>
    <row r="13184" spans="1:6" x14ac:dyDescent="0.25">
      <c r="A13184" t="s">
        <v>13380</v>
      </c>
      <c r="B13184" t="s">
        <v>3531</v>
      </c>
      <c r="C13184" t="s">
        <v>3532</v>
      </c>
      <c r="D13184" t="str">
        <f>HYPERLINK("http://service.sap.com/sap/support/notes/1848262","1848262")</f>
        <v>1848262</v>
      </c>
      <c r="E13184">
        <v>1</v>
      </c>
    </row>
    <row r="13185" spans="1:6" x14ac:dyDescent="0.25">
      <c r="A13185" t="s">
        <v>13380</v>
      </c>
      <c r="B13185" t="s">
        <v>3531</v>
      </c>
      <c r="C13185" t="s">
        <v>3532</v>
      </c>
      <c r="D13185" t="str">
        <f>HYPERLINK("http://service.sap.com/sap/support/notes/1861232","1861232")</f>
        <v>1861232</v>
      </c>
      <c r="E13185">
        <v>1</v>
      </c>
      <c r="F13185" t="s">
        <v>10620</v>
      </c>
    </row>
    <row r="13186" spans="1:6" x14ac:dyDescent="0.25">
      <c r="A13186" t="s">
        <v>13380</v>
      </c>
      <c r="B13186" t="s">
        <v>3538</v>
      </c>
      <c r="C13186" t="s">
        <v>3539</v>
      </c>
      <c r="D13186" t="str">
        <f>HYPERLINK("http://service.sap.com/sap/support/notes/1724484","1724484")</f>
        <v>1724484</v>
      </c>
      <c r="E13186">
        <v>3</v>
      </c>
      <c r="F13186" t="s">
        <v>10621</v>
      </c>
    </row>
    <row r="13187" spans="1:6" x14ac:dyDescent="0.25">
      <c r="A13187" t="s">
        <v>13380</v>
      </c>
      <c r="B13187" t="s">
        <v>3538</v>
      </c>
      <c r="C13187" t="s">
        <v>3539</v>
      </c>
      <c r="D13187" t="str">
        <f>HYPERLINK("http://service.sap.com/sap/support/notes/1859581","1859581")</f>
        <v>1859581</v>
      </c>
      <c r="E13187">
        <v>2</v>
      </c>
      <c r="F13187" t="s">
        <v>10622</v>
      </c>
    </row>
    <row r="13188" spans="1:6" x14ac:dyDescent="0.25">
      <c r="A13188" t="s">
        <v>13380</v>
      </c>
      <c r="B13188" t="s">
        <v>3542</v>
      </c>
      <c r="C13188" t="s">
        <v>3543</v>
      </c>
      <c r="D13188" t="str">
        <f>HYPERLINK("http://service.sap.com/sap/support/notes/1823750","1823750")</f>
        <v>1823750</v>
      </c>
      <c r="E13188">
        <v>2</v>
      </c>
    </row>
    <row r="13189" spans="1:6" x14ac:dyDescent="0.25">
      <c r="A13189" t="s">
        <v>13380</v>
      </c>
      <c r="B13189" t="s">
        <v>3542</v>
      </c>
      <c r="C13189" t="s">
        <v>3543</v>
      </c>
      <c r="D13189" t="str">
        <f>HYPERLINK("http://service.sap.com/sap/support/notes/1853222","1853222")</f>
        <v>1853222</v>
      </c>
      <c r="E13189">
        <v>1</v>
      </c>
      <c r="F13189" t="s">
        <v>10623</v>
      </c>
    </row>
    <row r="13190" spans="1:6" x14ac:dyDescent="0.25">
      <c r="A13190" t="s">
        <v>13380</v>
      </c>
      <c r="B13190" t="s">
        <v>3545</v>
      </c>
      <c r="C13190" t="s">
        <v>3546</v>
      </c>
      <c r="D13190" t="str">
        <f>HYPERLINK("http://service.sap.com/sap/support/notes/1841788","1841788")</f>
        <v>1841788</v>
      </c>
      <c r="E13190">
        <v>1</v>
      </c>
    </row>
    <row r="13191" spans="1:6" x14ac:dyDescent="0.25">
      <c r="A13191" t="s">
        <v>13380</v>
      </c>
      <c r="B13191" t="s">
        <v>3545</v>
      </c>
      <c r="C13191" t="s">
        <v>3546</v>
      </c>
      <c r="D13191" t="str">
        <f>HYPERLINK("http://service.sap.com/sap/support/notes/1854323","1854323")</f>
        <v>1854323</v>
      </c>
      <c r="E13191">
        <v>1</v>
      </c>
      <c r="F13191" t="s">
        <v>10624</v>
      </c>
    </row>
    <row r="13192" spans="1:6" x14ac:dyDescent="0.25">
      <c r="A13192" t="s">
        <v>13380</v>
      </c>
      <c r="B13192" t="s">
        <v>3549</v>
      </c>
      <c r="C13192" t="s">
        <v>3550</v>
      </c>
    </row>
    <row r="13193" spans="1:6" x14ac:dyDescent="0.25">
      <c r="A13193" t="s">
        <v>13380</v>
      </c>
      <c r="B13193" t="s">
        <v>3551</v>
      </c>
      <c r="C13193" t="s">
        <v>169</v>
      </c>
    </row>
    <row r="13194" spans="1:6" x14ac:dyDescent="0.25">
      <c r="A13194" t="s">
        <v>13380</v>
      </c>
      <c r="B13194" t="s">
        <v>3558</v>
      </c>
      <c r="C13194" t="s">
        <v>3559</v>
      </c>
    </row>
    <row r="13195" spans="1:6" x14ac:dyDescent="0.25">
      <c r="A13195" t="s">
        <v>13380</v>
      </c>
      <c r="B13195" t="s">
        <v>10627</v>
      </c>
      <c r="C13195" t="s">
        <v>10628</v>
      </c>
      <c r="D13195" t="str">
        <f>HYPERLINK("http://service.sap.com/sap/support/notes/1835778","1835778")</f>
        <v>1835778</v>
      </c>
      <c r="E13195">
        <v>4</v>
      </c>
      <c r="F13195" t="s">
        <v>10629</v>
      </c>
    </row>
    <row r="13196" spans="1:6" x14ac:dyDescent="0.25">
      <c r="A13196" t="s">
        <v>13380</v>
      </c>
      <c r="B13196" t="s">
        <v>3571</v>
      </c>
      <c r="C13196" t="s">
        <v>3572</v>
      </c>
      <c r="D13196" t="str">
        <f>HYPERLINK("http://service.sap.com/sap/support/notes/1727423","1727423")</f>
        <v>1727423</v>
      </c>
      <c r="E13196">
        <v>3</v>
      </c>
      <c r="F13196" t="s">
        <v>3573</v>
      </c>
    </row>
    <row r="13197" spans="1:6" x14ac:dyDescent="0.25">
      <c r="A13197" t="s">
        <v>13380</v>
      </c>
      <c r="B13197" t="s">
        <v>3577</v>
      </c>
      <c r="C13197" t="s">
        <v>3578</v>
      </c>
      <c r="D13197" t="str">
        <f>HYPERLINK("http://service.sap.com/sap/support/notes/1262871","1262871")</f>
        <v>1262871</v>
      </c>
      <c r="E13197">
        <v>8</v>
      </c>
      <c r="F13197" t="s">
        <v>10632</v>
      </c>
    </row>
    <row r="13198" spans="1:6" x14ac:dyDescent="0.25">
      <c r="A13198" t="s">
        <v>13380</v>
      </c>
      <c r="B13198" t="s">
        <v>3581</v>
      </c>
      <c r="C13198" t="s">
        <v>3582</v>
      </c>
      <c r="D13198" t="str">
        <f>HYPERLINK("http://service.sap.com/sap/support/notes/1842754","1842754")</f>
        <v>1842754</v>
      </c>
      <c r="E13198">
        <v>2</v>
      </c>
      <c r="F13198" t="s">
        <v>10633</v>
      </c>
    </row>
    <row r="13199" spans="1:6" x14ac:dyDescent="0.25">
      <c r="A13199" t="s">
        <v>13380</v>
      </c>
      <c r="B13199" t="s">
        <v>10636</v>
      </c>
      <c r="C13199" t="s">
        <v>10637</v>
      </c>
      <c r="D13199" t="str">
        <f>HYPERLINK("http://service.sap.com/sap/support/notes/1854420","1854420")</f>
        <v>1854420</v>
      </c>
      <c r="E13199">
        <v>2</v>
      </c>
      <c r="F13199" t="s">
        <v>10638</v>
      </c>
    </row>
    <row r="13200" spans="1:6" x14ac:dyDescent="0.25">
      <c r="A13200" t="s">
        <v>13380</v>
      </c>
      <c r="B13200" t="s">
        <v>3616</v>
      </c>
      <c r="C13200" t="s">
        <v>3617</v>
      </c>
    </row>
    <row r="13201" spans="1:6" x14ac:dyDescent="0.25">
      <c r="A13201" t="s">
        <v>13380</v>
      </c>
      <c r="B13201" t="s">
        <v>3618</v>
      </c>
      <c r="C13201" t="s">
        <v>13367</v>
      </c>
    </row>
    <row r="13202" spans="1:6" x14ac:dyDescent="0.25">
      <c r="A13202" t="s">
        <v>13380</v>
      </c>
      <c r="B13202" t="s">
        <v>3623</v>
      </c>
      <c r="C13202" t="s">
        <v>3624</v>
      </c>
      <c r="D13202" t="str">
        <f>HYPERLINK("http://service.sap.com/sap/support/notes/1851461","1851461")</f>
        <v>1851461</v>
      </c>
      <c r="E13202">
        <v>1</v>
      </c>
      <c r="F13202" t="s">
        <v>10641</v>
      </c>
    </row>
    <row r="13203" spans="1:6" x14ac:dyDescent="0.25">
      <c r="A13203" t="s">
        <v>13380</v>
      </c>
      <c r="B13203" t="s">
        <v>3623</v>
      </c>
      <c r="C13203" t="s">
        <v>3624</v>
      </c>
      <c r="D13203" t="str">
        <f>HYPERLINK("http://service.sap.com/sap/support/notes/1852132","1852132")</f>
        <v>1852132</v>
      </c>
      <c r="E13203">
        <v>1</v>
      </c>
      <c r="F13203" t="s">
        <v>10642</v>
      </c>
    </row>
    <row r="13204" spans="1:6" x14ac:dyDescent="0.25">
      <c r="A13204" t="s">
        <v>13380</v>
      </c>
      <c r="B13204" t="s">
        <v>3626</v>
      </c>
      <c r="C13204" t="s">
        <v>13368</v>
      </c>
      <c r="D13204" t="str">
        <f>HYPERLINK("http://service.sap.com/sap/support/notes/1862597","1862597")</f>
        <v>1862597</v>
      </c>
      <c r="E13204">
        <v>1</v>
      </c>
      <c r="F13204" t="s">
        <v>13369</v>
      </c>
    </row>
    <row r="13205" spans="1:6" x14ac:dyDescent="0.25">
      <c r="A13205" t="s">
        <v>13380</v>
      </c>
      <c r="B13205" t="s">
        <v>3628</v>
      </c>
      <c r="C13205" t="s">
        <v>3629</v>
      </c>
      <c r="D13205" t="str">
        <f>HYPERLINK("http://service.sap.com/sap/support/notes/1851197","1851197")</f>
        <v>1851197</v>
      </c>
      <c r="E13205">
        <v>4</v>
      </c>
      <c r="F13205" t="s">
        <v>10643</v>
      </c>
    </row>
    <row r="13206" spans="1:6" x14ac:dyDescent="0.25">
      <c r="A13206" t="s">
        <v>13380</v>
      </c>
      <c r="B13206" t="s">
        <v>3628</v>
      </c>
      <c r="C13206" t="s">
        <v>3629</v>
      </c>
      <c r="D13206" t="str">
        <f>HYPERLINK("http://service.sap.com/sap/support/notes/1852152","1852152")</f>
        <v>1852152</v>
      </c>
      <c r="E13206">
        <v>2</v>
      </c>
      <c r="F13206" t="s">
        <v>10644</v>
      </c>
    </row>
    <row r="13207" spans="1:6" x14ac:dyDescent="0.25">
      <c r="A13207" t="s">
        <v>13380</v>
      </c>
      <c r="B13207" t="s">
        <v>3631</v>
      </c>
      <c r="C13207" t="s">
        <v>3632</v>
      </c>
      <c r="D13207" t="str">
        <f>HYPERLINK("http://service.sap.com/sap/support/notes/1850642","1850642")</f>
        <v>1850642</v>
      </c>
      <c r="E13207">
        <v>1</v>
      </c>
      <c r="F13207" t="s">
        <v>10647</v>
      </c>
    </row>
    <row r="13208" spans="1:6" x14ac:dyDescent="0.25">
      <c r="A13208" t="s">
        <v>13380</v>
      </c>
      <c r="B13208" t="s">
        <v>3631</v>
      </c>
      <c r="C13208" t="s">
        <v>3632</v>
      </c>
      <c r="D13208" t="str">
        <f>HYPERLINK("http://service.sap.com/sap/support/notes/1852046","1852046")</f>
        <v>1852046</v>
      </c>
      <c r="E13208">
        <v>2</v>
      </c>
      <c r="F13208" t="s">
        <v>10648</v>
      </c>
    </row>
    <row r="13209" spans="1:6" x14ac:dyDescent="0.25">
      <c r="A13209" t="s">
        <v>13380</v>
      </c>
      <c r="B13209" t="s">
        <v>10649</v>
      </c>
      <c r="C13209" t="s">
        <v>10650</v>
      </c>
      <c r="D13209" t="str">
        <f>HYPERLINK("http://service.sap.com/sap/support/notes/1839942","1839942")</f>
        <v>1839942</v>
      </c>
      <c r="E13209">
        <v>2</v>
      </c>
      <c r="F13209" t="s">
        <v>10651</v>
      </c>
    </row>
    <row r="13210" spans="1:6" x14ac:dyDescent="0.25">
      <c r="A13210" t="s">
        <v>13380</v>
      </c>
      <c r="B13210" t="s">
        <v>10649</v>
      </c>
      <c r="C13210" t="s">
        <v>10650</v>
      </c>
      <c r="D13210" t="str">
        <f>HYPERLINK("http://service.sap.com/sap/support/notes/1840766","1840766")</f>
        <v>1840766</v>
      </c>
      <c r="E13210">
        <v>5</v>
      </c>
      <c r="F13210" t="s">
        <v>10652</v>
      </c>
    </row>
    <row r="13211" spans="1:6" x14ac:dyDescent="0.25">
      <c r="A13211" t="s">
        <v>13380</v>
      </c>
      <c r="B13211" t="s">
        <v>3649</v>
      </c>
      <c r="C13211" t="s">
        <v>3650</v>
      </c>
    </row>
    <row r="13212" spans="1:6" x14ac:dyDescent="0.25">
      <c r="A13212" t="s">
        <v>13380</v>
      </c>
      <c r="B13212" t="s">
        <v>13370</v>
      </c>
      <c r="C13212" t="s">
        <v>1445</v>
      </c>
      <c r="D13212" t="str">
        <f>HYPERLINK("http://service.sap.com/sap/support/notes/1861948","1861948")</f>
        <v>1861948</v>
      </c>
      <c r="E13212">
        <v>3</v>
      </c>
      <c r="F13212" t="s">
        <v>13145</v>
      </c>
    </row>
    <row r="13213" spans="1:6" x14ac:dyDescent="0.25">
      <c r="A13213" t="s">
        <v>13380</v>
      </c>
      <c r="B13213" t="s">
        <v>3655</v>
      </c>
      <c r="C13213" t="s">
        <v>6099</v>
      </c>
    </row>
    <row r="13214" spans="1:6" x14ac:dyDescent="0.25">
      <c r="A13214" t="s">
        <v>13380</v>
      </c>
      <c r="B13214" t="s">
        <v>3658</v>
      </c>
      <c r="C13214" t="s">
        <v>3659</v>
      </c>
    </row>
    <row r="13215" spans="1:6" x14ac:dyDescent="0.25">
      <c r="A13215" t="s">
        <v>13380</v>
      </c>
      <c r="B13215" t="s">
        <v>3669</v>
      </c>
      <c r="C13215" t="s">
        <v>11298</v>
      </c>
      <c r="D13215" t="str">
        <f>HYPERLINK("http://service.sap.com/sap/support/notes/1861621","1861621")</f>
        <v>1861621</v>
      </c>
      <c r="E13215">
        <v>1</v>
      </c>
      <c r="F13215" t="s">
        <v>13371</v>
      </c>
    </row>
    <row r="13216" spans="1:6" x14ac:dyDescent="0.25">
      <c r="A13216" t="s">
        <v>13380</v>
      </c>
      <c r="B13216" t="s">
        <v>3669</v>
      </c>
      <c r="C13216" t="s">
        <v>11298</v>
      </c>
      <c r="D13216" t="str">
        <f>HYPERLINK("http://service.sap.com/sap/support/notes/1863395","1863395")</f>
        <v>1863395</v>
      </c>
      <c r="E13216">
        <v>3</v>
      </c>
      <c r="F13216" t="s">
        <v>11304</v>
      </c>
    </row>
    <row r="13217" spans="1:6" x14ac:dyDescent="0.25">
      <c r="A13217" t="s">
        <v>13380</v>
      </c>
      <c r="B13217" t="s">
        <v>10656</v>
      </c>
      <c r="C13217" t="s">
        <v>10657</v>
      </c>
      <c r="D13217" t="str">
        <f>HYPERLINK("http://service.sap.com/sap/support/notes/1852451","1852451")</f>
        <v>1852451</v>
      </c>
      <c r="E13217">
        <v>1</v>
      </c>
      <c r="F13217" t="s">
        <v>10658</v>
      </c>
    </row>
    <row r="13218" spans="1:6" x14ac:dyDescent="0.25">
      <c r="A13218" t="s">
        <v>13380</v>
      </c>
      <c r="B13218" t="s">
        <v>3674</v>
      </c>
      <c r="C13218" t="s">
        <v>3675</v>
      </c>
      <c r="D13218" t="str">
        <f>HYPERLINK("http://service.sap.com/sap/support/notes/1838748","1838748")</f>
        <v>1838748</v>
      </c>
      <c r="E13218">
        <v>1</v>
      </c>
      <c r="F13218" t="s">
        <v>10659</v>
      </c>
    </row>
    <row r="13219" spans="1:6" x14ac:dyDescent="0.25">
      <c r="A13219" t="s">
        <v>13380</v>
      </c>
      <c r="B13219" t="s">
        <v>3674</v>
      </c>
      <c r="C13219" t="s">
        <v>3675</v>
      </c>
      <c r="D13219" t="str">
        <f>HYPERLINK("http://service.sap.com/sap/support/notes/1841884","1841884")</f>
        <v>1841884</v>
      </c>
      <c r="E13219">
        <v>3</v>
      </c>
      <c r="F13219" t="s">
        <v>10660</v>
      </c>
    </row>
    <row r="13220" spans="1:6" x14ac:dyDescent="0.25">
      <c r="A13220" t="s">
        <v>13380</v>
      </c>
      <c r="B13220" t="s">
        <v>70</v>
      </c>
      <c r="C13220" t="s">
        <v>71</v>
      </c>
    </row>
    <row r="13221" spans="1:6" x14ac:dyDescent="0.25">
      <c r="A13221" t="s">
        <v>13380</v>
      </c>
      <c r="B13221" t="s">
        <v>3693</v>
      </c>
      <c r="C13221" t="s">
        <v>3694</v>
      </c>
    </row>
    <row r="13222" spans="1:6" x14ac:dyDescent="0.25">
      <c r="A13222" t="s">
        <v>13380</v>
      </c>
      <c r="B13222" t="s">
        <v>3700</v>
      </c>
      <c r="C13222" t="s">
        <v>3701</v>
      </c>
      <c r="D13222" t="str">
        <f>HYPERLINK("http://service.sap.com/sap/support/notes/1344872","1344872")</f>
        <v>1344872</v>
      </c>
      <c r="E13222">
        <v>1</v>
      </c>
      <c r="F13222" t="s">
        <v>3702</v>
      </c>
    </row>
    <row r="13223" spans="1:6" x14ac:dyDescent="0.25">
      <c r="A13223" t="s">
        <v>13380</v>
      </c>
      <c r="B13223" t="s">
        <v>3700</v>
      </c>
      <c r="C13223" t="s">
        <v>3701</v>
      </c>
      <c r="D13223" t="str">
        <f>HYPERLINK("http://service.sap.com/sap/support/notes/1767487","1767487")</f>
        <v>1767487</v>
      </c>
      <c r="E13223">
        <v>7</v>
      </c>
      <c r="F13223" t="s">
        <v>10666</v>
      </c>
    </row>
    <row r="13224" spans="1:6" x14ac:dyDescent="0.25">
      <c r="A13224" t="s">
        <v>13380</v>
      </c>
      <c r="B13224" t="s">
        <v>3700</v>
      </c>
      <c r="C13224" t="s">
        <v>3701</v>
      </c>
      <c r="D13224" t="str">
        <f>HYPERLINK("http://service.sap.com/sap/support/notes/1856602","1856602")</f>
        <v>1856602</v>
      </c>
      <c r="E13224">
        <v>2</v>
      </c>
      <c r="F13224" t="s">
        <v>10669</v>
      </c>
    </row>
    <row r="13225" spans="1:6" x14ac:dyDescent="0.25">
      <c r="A13225" t="s">
        <v>13380</v>
      </c>
      <c r="B13225" t="s">
        <v>3719</v>
      </c>
      <c r="C13225" t="s">
        <v>2999</v>
      </c>
      <c r="D13225" t="str">
        <f>HYPERLINK("http://service.sap.com/sap/support/notes/1762825","1762825")</f>
        <v>1762825</v>
      </c>
      <c r="E13225">
        <v>6</v>
      </c>
      <c r="F13225" t="s">
        <v>10670</v>
      </c>
    </row>
    <row r="13226" spans="1:6" x14ac:dyDescent="0.25">
      <c r="A13226" t="s">
        <v>13380</v>
      </c>
      <c r="B13226" t="s">
        <v>3727</v>
      </c>
      <c r="C13226" t="s">
        <v>3728</v>
      </c>
      <c r="D13226" t="str">
        <f>HYPERLINK("http://service.sap.com/sap/support/notes/1817072","1817072")</f>
        <v>1817072</v>
      </c>
      <c r="E13226">
        <v>4</v>
      </c>
      <c r="F13226" t="s">
        <v>10674</v>
      </c>
    </row>
    <row r="13227" spans="1:6" x14ac:dyDescent="0.25">
      <c r="A13227" t="s">
        <v>13380</v>
      </c>
      <c r="B13227" t="s">
        <v>3727</v>
      </c>
      <c r="C13227" t="s">
        <v>3728</v>
      </c>
      <c r="D13227" t="str">
        <f>HYPERLINK("http://service.sap.com/sap/support/notes/1837468","1837468")</f>
        <v>1837468</v>
      </c>
      <c r="E13227">
        <v>7</v>
      </c>
      <c r="F13227" t="s">
        <v>10676</v>
      </c>
    </row>
    <row r="13228" spans="1:6" x14ac:dyDescent="0.25">
      <c r="A13228" t="s">
        <v>13380</v>
      </c>
      <c r="B13228" t="s">
        <v>3727</v>
      </c>
      <c r="C13228" t="s">
        <v>3728</v>
      </c>
      <c r="D13228" t="str">
        <f>HYPERLINK("http://service.sap.com/sap/support/notes/1849186","1849186")</f>
        <v>1849186</v>
      </c>
      <c r="E13228">
        <v>1</v>
      </c>
      <c r="F13228" t="s">
        <v>10677</v>
      </c>
    </row>
    <row r="13229" spans="1:6" x14ac:dyDescent="0.25">
      <c r="A13229" t="s">
        <v>13380</v>
      </c>
      <c r="B13229" t="s">
        <v>3727</v>
      </c>
      <c r="C13229" t="s">
        <v>3728</v>
      </c>
      <c r="D13229" t="str">
        <f>HYPERLINK("http://service.sap.com/sap/support/notes/1857221","1857221")</f>
        <v>1857221</v>
      </c>
      <c r="E13229">
        <v>2</v>
      </c>
      <c r="F13229" t="s">
        <v>10678</v>
      </c>
    </row>
    <row r="13230" spans="1:6" x14ac:dyDescent="0.25">
      <c r="A13230" t="s">
        <v>13380</v>
      </c>
      <c r="B13230" t="s">
        <v>3727</v>
      </c>
      <c r="C13230" t="s">
        <v>3728</v>
      </c>
      <c r="D13230" t="str">
        <f>HYPERLINK("http://service.sap.com/sap/support/notes/1857600","1857600")</f>
        <v>1857600</v>
      </c>
      <c r="E13230">
        <v>1</v>
      </c>
      <c r="F13230" t="s">
        <v>10679</v>
      </c>
    </row>
    <row r="13231" spans="1:6" x14ac:dyDescent="0.25">
      <c r="A13231" t="s">
        <v>13380</v>
      </c>
      <c r="B13231" t="s">
        <v>3727</v>
      </c>
      <c r="C13231" t="s">
        <v>3728</v>
      </c>
      <c r="D13231" t="str">
        <f>HYPERLINK("http://service.sap.com/sap/support/notes/1857796","1857796")</f>
        <v>1857796</v>
      </c>
      <c r="E13231">
        <v>1</v>
      </c>
      <c r="F13231" t="s">
        <v>10680</v>
      </c>
    </row>
    <row r="13232" spans="1:6" x14ac:dyDescent="0.25">
      <c r="A13232" t="s">
        <v>13380</v>
      </c>
      <c r="B13232" t="s">
        <v>3727</v>
      </c>
      <c r="C13232" t="s">
        <v>3728</v>
      </c>
      <c r="D13232" t="str">
        <f>HYPERLINK("http://service.sap.com/sap/support/notes/1861268","1861268")</f>
        <v>1861268</v>
      </c>
      <c r="E13232">
        <v>1</v>
      </c>
      <c r="F13232" t="s">
        <v>10681</v>
      </c>
    </row>
    <row r="13233" spans="1:6" x14ac:dyDescent="0.25">
      <c r="A13233" t="s">
        <v>13380</v>
      </c>
      <c r="B13233" t="s">
        <v>3751</v>
      </c>
      <c r="C13233" t="s">
        <v>218</v>
      </c>
      <c r="D13233" t="str">
        <f>HYPERLINK("http://service.sap.com/sap/support/notes/1818582","1818582")</f>
        <v>1818582</v>
      </c>
      <c r="E13233">
        <v>4</v>
      </c>
      <c r="F13233" t="s">
        <v>10684</v>
      </c>
    </row>
    <row r="13234" spans="1:6" x14ac:dyDescent="0.25">
      <c r="A13234" t="s">
        <v>13380</v>
      </c>
      <c r="B13234" t="s">
        <v>3751</v>
      </c>
      <c r="C13234" t="s">
        <v>218</v>
      </c>
      <c r="D13234" t="str">
        <f>HYPERLINK("http://service.sap.com/sap/support/notes/1818586","1818586")</f>
        <v>1818586</v>
      </c>
      <c r="E13234">
        <v>5</v>
      </c>
      <c r="F13234" t="s">
        <v>10685</v>
      </c>
    </row>
    <row r="13235" spans="1:6" x14ac:dyDescent="0.25">
      <c r="A13235" t="s">
        <v>13380</v>
      </c>
      <c r="B13235" t="s">
        <v>3751</v>
      </c>
      <c r="C13235" t="s">
        <v>218</v>
      </c>
      <c r="D13235" t="str">
        <f>HYPERLINK("http://service.sap.com/sap/support/notes/1818777","1818777")</f>
        <v>1818777</v>
      </c>
      <c r="E13235">
        <v>2</v>
      </c>
      <c r="F13235" t="s">
        <v>10689</v>
      </c>
    </row>
    <row r="13236" spans="1:6" x14ac:dyDescent="0.25">
      <c r="A13236" t="s">
        <v>13380</v>
      </c>
      <c r="B13236" t="s">
        <v>3751</v>
      </c>
      <c r="C13236" t="s">
        <v>218</v>
      </c>
      <c r="D13236" t="str">
        <f>HYPERLINK("http://service.sap.com/sap/support/notes/1832764","1832764")</f>
        <v>1832764</v>
      </c>
      <c r="E13236">
        <v>5</v>
      </c>
      <c r="F13236" t="s">
        <v>10692</v>
      </c>
    </row>
    <row r="13237" spans="1:6" x14ac:dyDescent="0.25">
      <c r="A13237" t="s">
        <v>13380</v>
      </c>
      <c r="B13237" t="s">
        <v>3751</v>
      </c>
      <c r="C13237" t="s">
        <v>218</v>
      </c>
      <c r="D13237" t="str">
        <f>HYPERLINK("http://service.sap.com/sap/support/notes/1833440","1833440")</f>
        <v>1833440</v>
      </c>
      <c r="E13237">
        <v>2</v>
      </c>
      <c r="F13237" t="s">
        <v>10693</v>
      </c>
    </row>
    <row r="13238" spans="1:6" x14ac:dyDescent="0.25">
      <c r="A13238" t="s">
        <v>13380</v>
      </c>
      <c r="B13238" t="s">
        <v>3751</v>
      </c>
      <c r="C13238" t="s">
        <v>218</v>
      </c>
      <c r="D13238" t="str">
        <f>HYPERLINK("http://service.sap.com/sap/support/notes/1836794","1836794")</f>
        <v>1836794</v>
      </c>
      <c r="E13238">
        <v>2</v>
      </c>
      <c r="F13238" t="s">
        <v>10694</v>
      </c>
    </row>
    <row r="13239" spans="1:6" x14ac:dyDescent="0.25">
      <c r="A13239" t="s">
        <v>13380</v>
      </c>
      <c r="B13239" t="s">
        <v>3751</v>
      </c>
      <c r="C13239" t="s">
        <v>218</v>
      </c>
      <c r="D13239" t="str">
        <f>HYPERLINK("http://service.sap.com/sap/support/notes/1838608","1838608")</f>
        <v>1838608</v>
      </c>
      <c r="E13239">
        <v>5</v>
      </c>
      <c r="F13239" t="s">
        <v>10696</v>
      </c>
    </row>
    <row r="13240" spans="1:6" x14ac:dyDescent="0.25">
      <c r="A13240" t="s">
        <v>13380</v>
      </c>
      <c r="B13240" t="s">
        <v>3751</v>
      </c>
      <c r="C13240" t="s">
        <v>218</v>
      </c>
      <c r="D13240" t="str">
        <f>HYPERLINK("http://service.sap.com/sap/support/notes/1839027","1839027")</f>
        <v>1839027</v>
      </c>
      <c r="E13240">
        <v>6</v>
      </c>
      <c r="F13240" t="s">
        <v>10697</v>
      </c>
    </row>
    <row r="13241" spans="1:6" x14ac:dyDescent="0.25">
      <c r="A13241" t="s">
        <v>13380</v>
      </c>
      <c r="B13241" t="s">
        <v>3751</v>
      </c>
      <c r="C13241" t="s">
        <v>218</v>
      </c>
      <c r="D13241" t="str">
        <f>HYPERLINK("http://service.sap.com/sap/support/notes/1840963","1840963")</f>
        <v>1840963</v>
      </c>
      <c r="E13241">
        <v>7</v>
      </c>
      <c r="F13241" t="s">
        <v>10698</v>
      </c>
    </row>
    <row r="13242" spans="1:6" x14ac:dyDescent="0.25">
      <c r="A13242" t="s">
        <v>13380</v>
      </c>
      <c r="B13242" t="s">
        <v>3751</v>
      </c>
      <c r="C13242" t="s">
        <v>218</v>
      </c>
      <c r="D13242" t="str">
        <f>HYPERLINK("http://service.sap.com/sap/support/notes/1845194","1845194")</f>
        <v>1845194</v>
      </c>
      <c r="E13242">
        <v>1</v>
      </c>
      <c r="F13242" t="s">
        <v>10699</v>
      </c>
    </row>
    <row r="13243" spans="1:6" x14ac:dyDescent="0.25">
      <c r="A13243" t="s">
        <v>13380</v>
      </c>
      <c r="B13243" t="s">
        <v>3751</v>
      </c>
      <c r="C13243" t="s">
        <v>218</v>
      </c>
      <c r="D13243" t="str">
        <f>HYPERLINK("http://service.sap.com/sap/support/notes/1846384","1846384")</f>
        <v>1846384</v>
      </c>
      <c r="E13243">
        <v>2</v>
      </c>
      <c r="F13243" t="s">
        <v>10700</v>
      </c>
    </row>
    <row r="13244" spans="1:6" x14ac:dyDescent="0.25">
      <c r="A13244" t="s">
        <v>13380</v>
      </c>
      <c r="B13244" t="s">
        <v>3751</v>
      </c>
      <c r="C13244" t="s">
        <v>218</v>
      </c>
      <c r="D13244" t="str">
        <f>HYPERLINK("http://service.sap.com/sap/support/notes/1846669","1846669")</f>
        <v>1846669</v>
      </c>
      <c r="E13244">
        <v>4</v>
      </c>
      <c r="F13244" t="s">
        <v>10701</v>
      </c>
    </row>
    <row r="13245" spans="1:6" x14ac:dyDescent="0.25">
      <c r="A13245" t="s">
        <v>13380</v>
      </c>
      <c r="B13245" t="s">
        <v>3751</v>
      </c>
      <c r="C13245" t="s">
        <v>218</v>
      </c>
      <c r="D13245" t="str">
        <f>HYPERLINK("http://service.sap.com/sap/support/notes/1849741","1849741")</f>
        <v>1849741</v>
      </c>
      <c r="E13245">
        <v>1</v>
      </c>
      <c r="F13245" t="s">
        <v>10702</v>
      </c>
    </row>
    <row r="13246" spans="1:6" x14ac:dyDescent="0.25">
      <c r="A13246" t="s">
        <v>13380</v>
      </c>
      <c r="B13246" t="s">
        <v>3751</v>
      </c>
      <c r="C13246" t="s">
        <v>218</v>
      </c>
      <c r="D13246" t="str">
        <f>HYPERLINK("http://service.sap.com/sap/support/notes/1855393","1855393")</f>
        <v>1855393</v>
      </c>
      <c r="E13246">
        <v>1</v>
      </c>
      <c r="F13246" t="s">
        <v>10704</v>
      </c>
    </row>
    <row r="13247" spans="1:6" x14ac:dyDescent="0.25">
      <c r="A13247" t="s">
        <v>13380</v>
      </c>
      <c r="B13247" t="s">
        <v>3764</v>
      </c>
      <c r="C13247" t="s">
        <v>3765</v>
      </c>
      <c r="D13247" t="str">
        <f>HYPERLINK("http://service.sap.com/sap/support/notes/1674280","1674280")</f>
        <v>1674280</v>
      </c>
      <c r="E13247">
        <v>1</v>
      </c>
      <c r="F13247" t="s">
        <v>10705</v>
      </c>
    </row>
    <row r="13248" spans="1:6" x14ac:dyDescent="0.25">
      <c r="A13248" t="s">
        <v>13380</v>
      </c>
      <c r="B13248" t="s">
        <v>3764</v>
      </c>
      <c r="C13248" t="s">
        <v>3765</v>
      </c>
      <c r="D13248" t="str">
        <f>HYPERLINK("http://service.sap.com/sap/support/notes/1836742","1836742")</f>
        <v>1836742</v>
      </c>
      <c r="E13248">
        <v>4</v>
      </c>
      <c r="F13248" t="s">
        <v>10713</v>
      </c>
    </row>
    <row r="13249" spans="1:6" x14ac:dyDescent="0.25">
      <c r="A13249" t="s">
        <v>13380</v>
      </c>
      <c r="B13249" t="s">
        <v>3764</v>
      </c>
      <c r="C13249" t="s">
        <v>3765</v>
      </c>
      <c r="D13249" t="str">
        <f>HYPERLINK("http://service.sap.com/sap/support/notes/1836801","1836801")</f>
        <v>1836801</v>
      </c>
      <c r="E13249">
        <v>1</v>
      </c>
      <c r="F13249" t="s">
        <v>10714</v>
      </c>
    </row>
    <row r="13250" spans="1:6" x14ac:dyDescent="0.25">
      <c r="A13250" t="s">
        <v>13380</v>
      </c>
      <c r="B13250" t="s">
        <v>3764</v>
      </c>
      <c r="C13250" t="s">
        <v>3765</v>
      </c>
      <c r="D13250" t="str">
        <f>HYPERLINK("http://service.sap.com/sap/support/notes/1837444","1837444")</f>
        <v>1837444</v>
      </c>
      <c r="E13250">
        <v>3</v>
      </c>
      <c r="F13250" t="s">
        <v>10715</v>
      </c>
    </row>
    <row r="13251" spans="1:6" x14ac:dyDescent="0.25">
      <c r="A13251" t="s">
        <v>13380</v>
      </c>
      <c r="B13251" t="s">
        <v>3764</v>
      </c>
      <c r="C13251" t="s">
        <v>3765</v>
      </c>
      <c r="D13251" t="str">
        <f>HYPERLINK("http://service.sap.com/sap/support/notes/1838557","1838557")</f>
        <v>1838557</v>
      </c>
      <c r="E13251">
        <v>2</v>
      </c>
      <c r="F13251" t="s">
        <v>10716</v>
      </c>
    </row>
    <row r="13252" spans="1:6" x14ac:dyDescent="0.25">
      <c r="A13252" t="s">
        <v>13380</v>
      </c>
      <c r="B13252" t="s">
        <v>3764</v>
      </c>
      <c r="C13252" t="s">
        <v>3765</v>
      </c>
      <c r="D13252" t="str">
        <f>HYPERLINK("http://service.sap.com/sap/support/notes/1840188","1840188")</f>
        <v>1840188</v>
      </c>
      <c r="E13252">
        <v>2</v>
      </c>
      <c r="F13252" t="s">
        <v>10718</v>
      </c>
    </row>
    <row r="13253" spans="1:6" x14ac:dyDescent="0.25">
      <c r="A13253" t="s">
        <v>13380</v>
      </c>
      <c r="B13253" t="s">
        <v>3764</v>
      </c>
      <c r="C13253" t="s">
        <v>3765</v>
      </c>
      <c r="D13253" t="str">
        <f>HYPERLINK("http://service.sap.com/sap/support/notes/1842481","1842481")</f>
        <v>1842481</v>
      </c>
      <c r="E13253">
        <v>3</v>
      </c>
      <c r="F13253" t="s">
        <v>10719</v>
      </c>
    </row>
    <row r="13254" spans="1:6" x14ac:dyDescent="0.25">
      <c r="A13254" t="s">
        <v>13380</v>
      </c>
      <c r="B13254" t="s">
        <v>3764</v>
      </c>
      <c r="C13254" t="s">
        <v>3765</v>
      </c>
      <c r="D13254" t="str">
        <f>HYPERLINK("http://service.sap.com/sap/support/notes/1842651","1842651")</f>
        <v>1842651</v>
      </c>
      <c r="E13254">
        <v>2</v>
      </c>
      <c r="F13254" t="s">
        <v>10720</v>
      </c>
    </row>
    <row r="13255" spans="1:6" x14ac:dyDescent="0.25">
      <c r="A13255" t="s">
        <v>13380</v>
      </c>
      <c r="B13255" t="s">
        <v>3764</v>
      </c>
      <c r="C13255" t="s">
        <v>3765</v>
      </c>
      <c r="D13255" t="str">
        <f>HYPERLINK("http://service.sap.com/sap/support/notes/1842924","1842924")</f>
        <v>1842924</v>
      </c>
      <c r="E13255">
        <v>2</v>
      </c>
    </row>
    <row r="13256" spans="1:6" x14ac:dyDescent="0.25">
      <c r="A13256" t="s">
        <v>13380</v>
      </c>
      <c r="B13256" t="s">
        <v>3764</v>
      </c>
      <c r="C13256" t="s">
        <v>3765</v>
      </c>
      <c r="D13256" t="str">
        <f>HYPERLINK("http://service.sap.com/sap/support/notes/1847110","1847110")</f>
        <v>1847110</v>
      </c>
      <c r="E13256">
        <v>1</v>
      </c>
      <c r="F13256" t="s">
        <v>10721</v>
      </c>
    </row>
    <row r="13257" spans="1:6" x14ac:dyDescent="0.25">
      <c r="A13257" t="s">
        <v>13380</v>
      </c>
      <c r="B13257" t="s">
        <v>3764</v>
      </c>
      <c r="C13257" t="s">
        <v>3765</v>
      </c>
      <c r="D13257" t="str">
        <f>HYPERLINK("http://service.sap.com/sap/support/notes/1847673","1847673")</f>
        <v>1847673</v>
      </c>
      <c r="E13257">
        <v>2</v>
      </c>
    </row>
    <row r="13258" spans="1:6" x14ac:dyDescent="0.25">
      <c r="A13258" t="s">
        <v>13380</v>
      </c>
      <c r="B13258" t="s">
        <v>3764</v>
      </c>
      <c r="C13258" t="s">
        <v>3765</v>
      </c>
      <c r="D13258" t="str">
        <f>HYPERLINK("http://service.sap.com/sap/support/notes/1847904","1847904")</f>
        <v>1847904</v>
      </c>
      <c r="E13258">
        <v>2</v>
      </c>
      <c r="F13258" t="s">
        <v>10722</v>
      </c>
    </row>
    <row r="13259" spans="1:6" x14ac:dyDescent="0.25">
      <c r="A13259" t="s">
        <v>13380</v>
      </c>
      <c r="B13259" t="s">
        <v>3764</v>
      </c>
      <c r="C13259" t="s">
        <v>3765</v>
      </c>
      <c r="D13259" t="str">
        <f>HYPERLINK("http://service.sap.com/sap/support/notes/1851184","1851184")</f>
        <v>1851184</v>
      </c>
      <c r="E13259">
        <v>1</v>
      </c>
      <c r="F13259" t="s">
        <v>10723</v>
      </c>
    </row>
    <row r="13260" spans="1:6" x14ac:dyDescent="0.25">
      <c r="A13260" t="s">
        <v>13380</v>
      </c>
      <c r="B13260" t="s">
        <v>3764</v>
      </c>
      <c r="C13260" t="s">
        <v>3765</v>
      </c>
      <c r="D13260" t="str">
        <f>HYPERLINK("http://service.sap.com/sap/support/notes/1853104","1853104")</f>
        <v>1853104</v>
      </c>
      <c r="E13260">
        <v>2</v>
      </c>
      <c r="F13260" t="s">
        <v>10724</v>
      </c>
    </row>
    <row r="13261" spans="1:6" x14ac:dyDescent="0.25">
      <c r="A13261" t="s">
        <v>13380</v>
      </c>
      <c r="B13261" t="s">
        <v>3764</v>
      </c>
      <c r="C13261" t="s">
        <v>3765</v>
      </c>
      <c r="D13261" t="str">
        <f>HYPERLINK("http://service.sap.com/sap/support/notes/1857286","1857286")</f>
        <v>1857286</v>
      </c>
      <c r="E13261">
        <v>2</v>
      </c>
      <c r="F13261" t="s">
        <v>13372</v>
      </c>
    </row>
    <row r="13262" spans="1:6" x14ac:dyDescent="0.25">
      <c r="A13262" t="s">
        <v>13380</v>
      </c>
      <c r="B13262" t="s">
        <v>3764</v>
      </c>
      <c r="C13262" t="s">
        <v>3765</v>
      </c>
      <c r="D13262" t="str">
        <f>HYPERLINK("http://service.sap.com/sap/support/notes/1859516","1859516")</f>
        <v>1859516</v>
      </c>
      <c r="E13262">
        <v>1</v>
      </c>
      <c r="F13262" t="s">
        <v>13373</v>
      </c>
    </row>
    <row r="13263" spans="1:6" x14ac:dyDescent="0.25">
      <c r="A13263" t="s">
        <v>13380</v>
      </c>
      <c r="B13263" t="s">
        <v>3764</v>
      </c>
      <c r="C13263" t="s">
        <v>3765</v>
      </c>
      <c r="D13263" t="str">
        <f>HYPERLINK("http://service.sap.com/sap/support/notes/1860005","1860005")</f>
        <v>1860005</v>
      </c>
      <c r="E13263">
        <v>1</v>
      </c>
      <c r="F13263" t="s">
        <v>10725</v>
      </c>
    </row>
    <row r="13264" spans="1:6" x14ac:dyDescent="0.25">
      <c r="A13264" t="s">
        <v>13380</v>
      </c>
      <c r="B13264" t="s">
        <v>3797</v>
      </c>
      <c r="C13264" t="s">
        <v>3798</v>
      </c>
      <c r="D13264" t="str">
        <f>HYPERLINK("http://service.sap.com/sap/support/notes/1741438","1741438")</f>
        <v>1741438</v>
      </c>
      <c r="E13264">
        <v>1</v>
      </c>
      <c r="F13264" t="s">
        <v>10727</v>
      </c>
    </row>
    <row r="13265" spans="1:6" x14ac:dyDescent="0.25">
      <c r="A13265" t="s">
        <v>13380</v>
      </c>
      <c r="B13265" t="s">
        <v>3797</v>
      </c>
      <c r="C13265" t="s">
        <v>3798</v>
      </c>
      <c r="D13265" t="str">
        <f>HYPERLINK("http://service.sap.com/sap/support/notes/1822053","1822053")</f>
        <v>1822053</v>
      </c>
      <c r="E13265">
        <v>1</v>
      </c>
    </row>
    <row r="13266" spans="1:6" x14ac:dyDescent="0.25">
      <c r="A13266" t="s">
        <v>13380</v>
      </c>
      <c r="B13266" t="s">
        <v>3797</v>
      </c>
      <c r="C13266" t="s">
        <v>3798</v>
      </c>
      <c r="D13266" t="str">
        <f>HYPERLINK("http://service.sap.com/sap/support/notes/1835300","1835300")</f>
        <v>1835300</v>
      </c>
      <c r="E13266">
        <v>1</v>
      </c>
      <c r="F13266" t="s">
        <v>10729</v>
      </c>
    </row>
    <row r="13267" spans="1:6" x14ac:dyDescent="0.25">
      <c r="A13267" t="s">
        <v>13380</v>
      </c>
      <c r="B13267" t="s">
        <v>3797</v>
      </c>
      <c r="C13267" t="s">
        <v>3798</v>
      </c>
      <c r="D13267" t="str">
        <f>HYPERLINK("http://service.sap.com/sap/support/notes/1836028","1836028")</f>
        <v>1836028</v>
      </c>
      <c r="E13267">
        <v>2</v>
      </c>
      <c r="F13267" t="s">
        <v>10730</v>
      </c>
    </row>
    <row r="13268" spans="1:6" x14ac:dyDescent="0.25">
      <c r="A13268" t="s">
        <v>13380</v>
      </c>
      <c r="B13268" t="s">
        <v>3797</v>
      </c>
      <c r="C13268" t="s">
        <v>3798</v>
      </c>
      <c r="D13268" t="str">
        <f>HYPERLINK("http://service.sap.com/sap/support/notes/1841858","1841858")</f>
        <v>1841858</v>
      </c>
      <c r="E13268">
        <v>1</v>
      </c>
      <c r="F13268" t="s">
        <v>10731</v>
      </c>
    </row>
    <row r="13269" spans="1:6" x14ac:dyDescent="0.25">
      <c r="A13269" t="s">
        <v>13380</v>
      </c>
      <c r="B13269" t="s">
        <v>3797</v>
      </c>
      <c r="C13269" t="s">
        <v>3798</v>
      </c>
      <c r="D13269" t="str">
        <f>HYPERLINK("http://service.sap.com/sap/support/notes/1842348","1842348")</f>
        <v>1842348</v>
      </c>
      <c r="E13269">
        <v>1</v>
      </c>
      <c r="F13269" t="s">
        <v>10732</v>
      </c>
    </row>
    <row r="13270" spans="1:6" x14ac:dyDescent="0.25">
      <c r="A13270" t="s">
        <v>13380</v>
      </c>
      <c r="B13270" t="s">
        <v>3797</v>
      </c>
      <c r="C13270" t="s">
        <v>3798</v>
      </c>
      <c r="D13270" t="str">
        <f>HYPERLINK("http://service.sap.com/sap/support/notes/1844835","1844835")</f>
        <v>1844835</v>
      </c>
      <c r="E13270">
        <v>3</v>
      </c>
      <c r="F13270" t="s">
        <v>10733</v>
      </c>
    </row>
    <row r="13271" spans="1:6" x14ac:dyDescent="0.25">
      <c r="A13271" t="s">
        <v>13380</v>
      </c>
      <c r="B13271" t="s">
        <v>3797</v>
      </c>
      <c r="C13271" t="s">
        <v>3798</v>
      </c>
      <c r="D13271" t="str">
        <f>HYPERLINK("http://service.sap.com/sap/support/notes/1845705","1845705")</f>
        <v>1845705</v>
      </c>
      <c r="E13271">
        <v>2</v>
      </c>
      <c r="F13271" t="s">
        <v>3813</v>
      </c>
    </row>
    <row r="13272" spans="1:6" x14ac:dyDescent="0.25">
      <c r="A13272" t="s">
        <v>13380</v>
      </c>
      <c r="B13272" t="s">
        <v>3797</v>
      </c>
      <c r="C13272" t="s">
        <v>3798</v>
      </c>
      <c r="D13272" t="str">
        <f>HYPERLINK("http://service.sap.com/sap/support/notes/1847677","1847677")</f>
        <v>1847677</v>
      </c>
      <c r="E13272">
        <v>2</v>
      </c>
    </row>
    <row r="13273" spans="1:6" x14ac:dyDescent="0.25">
      <c r="A13273" t="s">
        <v>13380</v>
      </c>
      <c r="B13273" t="s">
        <v>3797</v>
      </c>
      <c r="C13273" t="s">
        <v>3798</v>
      </c>
      <c r="D13273" t="str">
        <f>HYPERLINK("http://service.sap.com/sap/support/notes/1857417","1857417")</f>
        <v>1857417</v>
      </c>
      <c r="E13273">
        <v>1</v>
      </c>
      <c r="F13273" t="s">
        <v>10680</v>
      </c>
    </row>
    <row r="13274" spans="1:6" x14ac:dyDescent="0.25">
      <c r="A13274" t="s">
        <v>13380</v>
      </c>
      <c r="B13274" t="s">
        <v>3797</v>
      </c>
      <c r="C13274" t="s">
        <v>3798</v>
      </c>
      <c r="D13274" t="str">
        <f>HYPERLINK("http://service.sap.com/sap/support/notes/1857765","1857765")</f>
        <v>1857765</v>
      </c>
      <c r="E13274">
        <v>2</v>
      </c>
      <c r="F13274" t="s">
        <v>10734</v>
      </c>
    </row>
    <row r="13275" spans="1:6" x14ac:dyDescent="0.25">
      <c r="A13275" t="s">
        <v>13380</v>
      </c>
      <c r="B13275" t="s">
        <v>3797</v>
      </c>
      <c r="C13275" t="s">
        <v>3798</v>
      </c>
      <c r="D13275" t="str">
        <f>HYPERLINK("http://service.sap.com/sap/support/notes/1861615","1861615")</f>
        <v>1861615</v>
      </c>
      <c r="E13275">
        <v>3</v>
      </c>
      <c r="F13275" t="s">
        <v>10735</v>
      </c>
    </row>
    <row r="13276" spans="1:6" x14ac:dyDescent="0.25">
      <c r="A13276" t="s">
        <v>13380</v>
      </c>
      <c r="B13276" t="s">
        <v>3817</v>
      </c>
      <c r="C13276" t="s">
        <v>2477</v>
      </c>
      <c r="D13276" t="str">
        <f>HYPERLINK("http://service.sap.com/sap/support/notes/1826051","1826051")</f>
        <v>1826051</v>
      </c>
      <c r="E13276">
        <v>3</v>
      </c>
      <c r="F13276" t="s">
        <v>10737</v>
      </c>
    </row>
    <row r="13277" spans="1:6" x14ac:dyDescent="0.25">
      <c r="A13277" t="s">
        <v>13380</v>
      </c>
      <c r="B13277" t="s">
        <v>3817</v>
      </c>
      <c r="C13277" t="s">
        <v>2477</v>
      </c>
      <c r="D13277" t="str">
        <f>HYPERLINK("http://service.sap.com/sap/support/notes/1831671","1831671")</f>
        <v>1831671</v>
      </c>
      <c r="E13277">
        <v>4</v>
      </c>
      <c r="F13277" t="s">
        <v>10739</v>
      </c>
    </row>
    <row r="13278" spans="1:6" x14ac:dyDescent="0.25">
      <c r="A13278" t="s">
        <v>13380</v>
      </c>
      <c r="B13278" t="s">
        <v>3817</v>
      </c>
      <c r="C13278" t="s">
        <v>2477</v>
      </c>
      <c r="D13278" t="str">
        <f>HYPERLINK("http://service.sap.com/sap/support/notes/1834532","1834532")</f>
        <v>1834532</v>
      </c>
      <c r="E13278">
        <v>2</v>
      </c>
      <c r="F13278" t="s">
        <v>10740</v>
      </c>
    </row>
    <row r="13279" spans="1:6" x14ac:dyDescent="0.25">
      <c r="A13279" t="s">
        <v>13380</v>
      </c>
      <c r="B13279" t="s">
        <v>3817</v>
      </c>
      <c r="C13279" t="s">
        <v>2477</v>
      </c>
      <c r="D13279" t="str">
        <f>HYPERLINK("http://service.sap.com/sap/support/notes/1836481","1836481")</f>
        <v>1836481</v>
      </c>
      <c r="E13279">
        <v>1</v>
      </c>
      <c r="F13279" t="s">
        <v>10741</v>
      </c>
    </row>
    <row r="13280" spans="1:6" x14ac:dyDescent="0.25">
      <c r="A13280" t="s">
        <v>13380</v>
      </c>
      <c r="B13280" t="s">
        <v>3817</v>
      </c>
      <c r="C13280" t="s">
        <v>2477</v>
      </c>
      <c r="D13280" t="str">
        <f>HYPERLINK("http://service.sap.com/sap/support/notes/1836741","1836741")</f>
        <v>1836741</v>
      </c>
      <c r="E13280">
        <v>2</v>
      </c>
      <c r="F13280" t="s">
        <v>10742</v>
      </c>
    </row>
    <row r="13281" spans="1:6" x14ac:dyDescent="0.25">
      <c r="A13281" t="s">
        <v>13380</v>
      </c>
      <c r="B13281" t="s">
        <v>3817</v>
      </c>
      <c r="C13281" t="s">
        <v>2477</v>
      </c>
      <c r="D13281" t="str">
        <f>HYPERLINK("http://service.sap.com/sap/support/notes/1842056","1842056")</f>
        <v>1842056</v>
      </c>
      <c r="E13281">
        <v>4</v>
      </c>
      <c r="F13281" t="s">
        <v>10743</v>
      </c>
    </row>
    <row r="13282" spans="1:6" x14ac:dyDescent="0.25">
      <c r="A13282" t="s">
        <v>13380</v>
      </c>
      <c r="B13282" t="s">
        <v>3817</v>
      </c>
      <c r="C13282" t="s">
        <v>2477</v>
      </c>
      <c r="D13282" t="str">
        <f>HYPERLINK("http://service.sap.com/sap/support/notes/1842662","1842662")</f>
        <v>1842662</v>
      </c>
      <c r="E13282">
        <v>3</v>
      </c>
      <c r="F13282" t="s">
        <v>10744</v>
      </c>
    </row>
    <row r="13283" spans="1:6" x14ac:dyDescent="0.25">
      <c r="A13283" t="s">
        <v>13380</v>
      </c>
      <c r="B13283" t="s">
        <v>3817</v>
      </c>
      <c r="C13283" t="s">
        <v>2477</v>
      </c>
      <c r="D13283" t="str">
        <f>HYPERLINK("http://service.sap.com/sap/support/notes/1850490","1850490")</f>
        <v>1850490</v>
      </c>
      <c r="E13283">
        <v>2</v>
      </c>
      <c r="F13283" t="s">
        <v>10745</v>
      </c>
    </row>
    <row r="13284" spans="1:6" x14ac:dyDescent="0.25">
      <c r="A13284" t="s">
        <v>13380</v>
      </c>
      <c r="B13284" t="s">
        <v>3817</v>
      </c>
      <c r="C13284" t="s">
        <v>2477</v>
      </c>
      <c r="D13284" t="str">
        <f>HYPERLINK("http://service.sap.com/sap/support/notes/1861737","1861737")</f>
        <v>1861737</v>
      </c>
      <c r="E13284">
        <v>1</v>
      </c>
      <c r="F13284" t="s">
        <v>10746</v>
      </c>
    </row>
    <row r="13285" spans="1:6" x14ac:dyDescent="0.25">
      <c r="A13285" t="s">
        <v>13380</v>
      </c>
      <c r="B13285" t="s">
        <v>3845</v>
      </c>
      <c r="C13285" t="s">
        <v>1762</v>
      </c>
      <c r="D13285" t="str">
        <f>HYPERLINK("http://service.sap.com/sap/support/notes/1848611","1848611")</f>
        <v>1848611</v>
      </c>
      <c r="E13285">
        <v>2</v>
      </c>
      <c r="F13285" t="s">
        <v>10747</v>
      </c>
    </row>
    <row r="13286" spans="1:6" x14ac:dyDescent="0.25">
      <c r="A13286" t="s">
        <v>13380</v>
      </c>
      <c r="B13286" t="s">
        <v>3845</v>
      </c>
      <c r="C13286" t="s">
        <v>1762</v>
      </c>
      <c r="D13286" t="str">
        <f>HYPERLINK("http://service.sap.com/sap/support/notes/1862980","1862980")</f>
        <v>1862980</v>
      </c>
      <c r="E13286">
        <v>1</v>
      </c>
      <c r="F13286" t="s">
        <v>13374</v>
      </c>
    </row>
    <row r="13287" spans="1:6" x14ac:dyDescent="0.25">
      <c r="A13287" t="s">
        <v>13380</v>
      </c>
      <c r="B13287" t="s">
        <v>3853</v>
      </c>
      <c r="C13287" t="s">
        <v>3854</v>
      </c>
      <c r="D13287" t="str">
        <f>HYPERLINK("http://service.sap.com/sap/support/notes/1831999","1831999")</f>
        <v>1831999</v>
      </c>
      <c r="E13287">
        <v>2</v>
      </c>
      <c r="F13287" t="s">
        <v>10749</v>
      </c>
    </row>
    <row r="13288" spans="1:6" x14ac:dyDescent="0.25">
      <c r="A13288" t="s">
        <v>13380</v>
      </c>
      <c r="B13288" t="s">
        <v>3857</v>
      </c>
      <c r="C13288" t="s">
        <v>3858</v>
      </c>
    </row>
    <row r="13289" spans="1:6" x14ac:dyDescent="0.25">
      <c r="A13289" t="s">
        <v>13380</v>
      </c>
      <c r="B13289" t="s">
        <v>3882</v>
      </c>
      <c r="C13289" t="s">
        <v>3883</v>
      </c>
      <c r="D13289" t="str">
        <f>HYPERLINK("http://service.sap.com/sap/support/notes/1849478","1849478")</f>
        <v>1849478</v>
      </c>
      <c r="E13289">
        <v>1</v>
      </c>
      <c r="F13289" t="s">
        <v>10783</v>
      </c>
    </row>
    <row r="13290" spans="1:6" x14ac:dyDescent="0.25">
      <c r="A13290" t="s">
        <v>13380</v>
      </c>
      <c r="B13290" t="s">
        <v>3882</v>
      </c>
      <c r="C13290" t="s">
        <v>3883</v>
      </c>
      <c r="D13290" t="str">
        <f>HYPERLINK("http://service.sap.com/sap/support/notes/1849524","1849524")</f>
        <v>1849524</v>
      </c>
      <c r="E13290">
        <v>2</v>
      </c>
      <c r="F13290" t="s">
        <v>10784</v>
      </c>
    </row>
    <row r="13291" spans="1:6" x14ac:dyDescent="0.25">
      <c r="A13291" t="s">
        <v>13380</v>
      </c>
      <c r="B13291" t="s">
        <v>3882</v>
      </c>
      <c r="C13291" t="s">
        <v>3883</v>
      </c>
      <c r="D13291" t="str">
        <f>HYPERLINK("http://service.sap.com/sap/support/notes/1849669","1849669")</f>
        <v>1849669</v>
      </c>
      <c r="E13291">
        <v>2</v>
      </c>
      <c r="F13291" t="s">
        <v>10785</v>
      </c>
    </row>
    <row r="13292" spans="1:6" x14ac:dyDescent="0.25">
      <c r="A13292" t="s">
        <v>13380</v>
      </c>
      <c r="B13292" t="s">
        <v>3882</v>
      </c>
      <c r="C13292" t="s">
        <v>3883</v>
      </c>
      <c r="D13292" t="str">
        <f>HYPERLINK("http://service.sap.com/sap/support/notes/1850179","1850179")</f>
        <v>1850179</v>
      </c>
      <c r="E13292">
        <v>2</v>
      </c>
      <c r="F13292" t="s">
        <v>10786</v>
      </c>
    </row>
    <row r="13293" spans="1:6" x14ac:dyDescent="0.25">
      <c r="A13293" t="s">
        <v>13380</v>
      </c>
      <c r="B13293" t="s">
        <v>3882</v>
      </c>
      <c r="C13293" t="s">
        <v>3883</v>
      </c>
      <c r="D13293" t="str">
        <f>HYPERLINK("http://service.sap.com/sap/support/notes/1853389","1853389")</f>
        <v>1853389</v>
      </c>
      <c r="E13293">
        <v>2</v>
      </c>
      <c r="F13293" t="s">
        <v>10787</v>
      </c>
    </row>
    <row r="13294" spans="1:6" x14ac:dyDescent="0.25">
      <c r="A13294" t="s">
        <v>13380</v>
      </c>
      <c r="B13294" t="s">
        <v>3882</v>
      </c>
      <c r="C13294" t="s">
        <v>3883</v>
      </c>
      <c r="D13294" t="str">
        <f>HYPERLINK("http://service.sap.com/sap/support/notes/1854374","1854374")</f>
        <v>1854374</v>
      </c>
      <c r="E13294">
        <v>1</v>
      </c>
      <c r="F13294" t="s">
        <v>10788</v>
      </c>
    </row>
    <row r="13295" spans="1:6" x14ac:dyDescent="0.25">
      <c r="A13295" t="s">
        <v>13380</v>
      </c>
      <c r="B13295" t="s">
        <v>3882</v>
      </c>
      <c r="C13295" t="s">
        <v>3883</v>
      </c>
      <c r="D13295" t="str">
        <f>HYPERLINK("http://service.sap.com/sap/support/notes/1854823","1854823")</f>
        <v>1854823</v>
      </c>
      <c r="E13295">
        <v>4</v>
      </c>
      <c r="F13295" t="s">
        <v>10789</v>
      </c>
    </row>
    <row r="13296" spans="1:6" x14ac:dyDescent="0.25">
      <c r="A13296" t="s">
        <v>13380</v>
      </c>
      <c r="B13296" t="s">
        <v>3882</v>
      </c>
      <c r="C13296" t="s">
        <v>3883</v>
      </c>
      <c r="D13296" t="str">
        <f>HYPERLINK("http://service.sap.com/sap/support/notes/1855401","1855401")</f>
        <v>1855401</v>
      </c>
      <c r="E13296">
        <v>1</v>
      </c>
      <c r="F13296" t="s">
        <v>10790</v>
      </c>
    </row>
    <row r="13297" spans="1:6" x14ac:dyDescent="0.25">
      <c r="A13297" t="s">
        <v>13380</v>
      </c>
      <c r="B13297" t="s">
        <v>3882</v>
      </c>
      <c r="C13297" t="s">
        <v>3883</v>
      </c>
      <c r="D13297" t="str">
        <f>HYPERLINK("http://service.sap.com/sap/support/notes/1856123","1856123")</f>
        <v>1856123</v>
      </c>
      <c r="E13297">
        <v>1</v>
      </c>
      <c r="F13297" t="s">
        <v>10791</v>
      </c>
    </row>
    <row r="13298" spans="1:6" x14ac:dyDescent="0.25">
      <c r="A13298" t="s">
        <v>13380</v>
      </c>
      <c r="B13298" t="s">
        <v>3882</v>
      </c>
      <c r="C13298" t="s">
        <v>3883</v>
      </c>
      <c r="D13298" t="str">
        <f>HYPERLINK("http://service.sap.com/sap/support/notes/1856791","1856791")</f>
        <v>1856791</v>
      </c>
      <c r="E13298">
        <v>1</v>
      </c>
      <c r="F13298" t="s">
        <v>10792</v>
      </c>
    </row>
    <row r="13299" spans="1:6" x14ac:dyDescent="0.25">
      <c r="A13299" t="s">
        <v>13380</v>
      </c>
      <c r="B13299" t="s">
        <v>3882</v>
      </c>
      <c r="C13299" t="s">
        <v>3883</v>
      </c>
      <c r="D13299" t="str">
        <f>HYPERLINK("http://service.sap.com/sap/support/notes/1857327","1857327")</f>
        <v>1857327</v>
      </c>
      <c r="E13299">
        <v>1</v>
      </c>
      <c r="F13299" t="s">
        <v>10793</v>
      </c>
    </row>
    <row r="13300" spans="1:6" x14ac:dyDescent="0.25">
      <c r="A13300" t="s">
        <v>13380</v>
      </c>
      <c r="B13300" t="s">
        <v>3882</v>
      </c>
      <c r="C13300" t="s">
        <v>3883</v>
      </c>
      <c r="D13300" t="str">
        <f>HYPERLINK("http://service.sap.com/sap/support/notes/1859069","1859069")</f>
        <v>1859069</v>
      </c>
      <c r="E13300">
        <v>1</v>
      </c>
      <c r="F13300" t="s">
        <v>10794</v>
      </c>
    </row>
    <row r="13301" spans="1:6" x14ac:dyDescent="0.25">
      <c r="A13301" t="s">
        <v>13380</v>
      </c>
      <c r="B13301" t="s">
        <v>3882</v>
      </c>
      <c r="C13301" t="s">
        <v>3883</v>
      </c>
      <c r="D13301" t="str">
        <f>HYPERLINK("http://service.sap.com/sap/support/notes/1859278","1859278")</f>
        <v>1859278</v>
      </c>
      <c r="E13301">
        <v>2</v>
      </c>
      <c r="F13301" t="s">
        <v>10795</v>
      </c>
    </row>
    <row r="13302" spans="1:6" x14ac:dyDescent="0.25">
      <c r="A13302" t="s">
        <v>13380</v>
      </c>
      <c r="B13302" t="s">
        <v>3882</v>
      </c>
      <c r="C13302" t="s">
        <v>3883</v>
      </c>
      <c r="D13302" t="str">
        <f>HYPERLINK("http://service.sap.com/sap/support/notes/1861407","1861407")</f>
        <v>1861407</v>
      </c>
      <c r="E13302">
        <v>1</v>
      </c>
      <c r="F13302" t="s">
        <v>10798</v>
      </c>
    </row>
    <row r="13303" spans="1:6" x14ac:dyDescent="0.25">
      <c r="A13303" t="s">
        <v>13380</v>
      </c>
      <c r="B13303" t="s">
        <v>3882</v>
      </c>
      <c r="C13303" t="s">
        <v>3883</v>
      </c>
      <c r="D13303" t="str">
        <f>HYPERLINK("http://service.sap.com/sap/support/notes/1862214","1862214")</f>
        <v>1862214</v>
      </c>
      <c r="E13303">
        <v>1</v>
      </c>
      <c r="F13303" t="s">
        <v>10799</v>
      </c>
    </row>
    <row r="13304" spans="1:6" x14ac:dyDescent="0.25">
      <c r="A13304" t="s">
        <v>13380</v>
      </c>
      <c r="B13304" t="s">
        <v>3882</v>
      </c>
      <c r="C13304" t="s">
        <v>3883</v>
      </c>
      <c r="D13304" t="str">
        <f>HYPERLINK("http://service.sap.com/sap/support/notes/1862379","1862379")</f>
        <v>1862379</v>
      </c>
      <c r="E13304">
        <v>2</v>
      </c>
      <c r="F13304" t="s">
        <v>10800</v>
      </c>
    </row>
    <row r="13305" spans="1:6" x14ac:dyDescent="0.25">
      <c r="A13305" t="s">
        <v>13380</v>
      </c>
      <c r="B13305" t="s">
        <v>3908</v>
      </c>
      <c r="C13305" t="s">
        <v>3909</v>
      </c>
    </row>
    <row r="13306" spans="1:6" x14ac:dyDescent="0.25">
      <c r="A13306" t="s">
        <v>13380</v>
      </c>
      <c r="B13306" t="s">
        <v>3914</v>
      </c>
      <c r="C13306" t="s">
        <v>3915</v>
      </c>
      <c r="D13306" t="str">
        <f>HYPERLINK("http://service.sap.com/sap/support/notes/1640508","1640508")</f>
        <v>1640508</v>
      </c>
      <c r="E13306">
        <v>3</v>
      </c>
      <c r="F13306" t="s">
        <v>13375</v>
      </c>
    </row>
    <row r="13307" spans="1:6" x14ac:dyDescent="0.25">
      <c r="A13307" t="s">
        <v>13380</v>
      </c>
      <c r="B13307" t="s">
        <v>3914</v>
      </c>
      <c r="C13307" t="s">
        <v>3915</v>
      </c>
      <c r="D13307" t="str">
        <f>HYPERLINK("http://service.sap.com/sap/support/notes/1849009","1849009")</f>
        <v>1849009</v>
      </c>
      <c r="E13307">
        <v>1</v>
      </c>
      <c r="F13307" t="s">
        <v>13376</v>
      </c>
    </row>
    <row r="13308" spans="1:6" x14ac:dyDescent="0.25">
      <c r="A13308" t="s">
        <v>13380</v>
      </c>
      <c r="B13308" t="s">
        <v>3914</v>
      </c>
      <c r="C13308" t="s">
        <v>3915</v>
      </c>
      <c r="D13308" t="str">
        <f>HYPERLINK("http://service.sap.com/sap/support/notes/1857697","1857697")</f>
        <v>1857697</v>
      </c>
      <c r="E13308">
        <v>1</v>
      </c>
      <c r="F13308" t="s">
        <v>10819</v>
      </c>
    </row>
    <row r="13309" spans="1:6" x14ac:dyDescent="0.25">
      <c r="A13309" t="s">
        <v>13380</v>
      </c>
      <c r="B13309" t="s">
        <v>3938</v>
      </c>
      <c r="C13309" t="s">
        <v>3939</v>
      </c>
      <c r="D13309" t="str">
        <f>HYPERLINK("http://service.sap.com/sap/support/notes/1774892","1774892")</f>
        <v>1774892</v>
      </c>
      <c r="E13309">
        <v>6</v>
      </c>
      <c r="F13309" t="s">
        <v>10820</v>
      </c>
    </row>
    <row r="13310" spans="1:6" x14ac:dyDescent="0.25">
      <c r="A13310" t="s">
        <v>13380</v>
      </c>
      <c r="B13310" t="s">
        <v>3938</v>
      </c>
      <c r="C13310" t="s">
        <v>3939</v>
      </c>
      <c r="D13310" t="str">
        <f>HYPERLINK("http://service.sap.com/sap/support/notes/1779356","1779356")</f>
        <v>1779356</v>
      </c>
      <c r="E13310">
        <v>2</v>
      </c>
      <c r="F13310" t="s">
        <v>10821</v>
      </c>
    </row>
    <row r="13311" spans="1:6" x14ac:dyDescent="0.25">
      <c r="A13311" t="s">
        <v>13380</v>
      </c>
      <c r="B13311" t="s">
        <v>3938</v>
      </c>
      <c r="C13311" t="s">
        <v>3939</v>
      </c>
      <c r="D13311" t="str">
        <f>HYPERLINK("http://service.sap.com/sap/support/notes/1804676","1804676")</f>
        <v>1804676</v>
      </c>
      <c r="E13311">
        <v>4</v>
      </c>
      <c r="F13311" t="s">
        <v>10822</v>
      </c>
    </row>
    <row r="13312" spans="1:6" x14ac:dyDescent="0.25">
      <c r="A13312" t="s">
        <v>13380</v>
      </c>
      <c r="B13312" t="s">
        <v>3938</v>
      </c>
      <c r="C13312" t="s">
        <v>3939</v>
      </c>
      <c r="D13312" t="str">
        <f>HYPERLINK("http://service.sap.com/sap/support/notes/1820567","1820567")</f>
        <v>1820567</v>
      </c>
      <c r="E13312">
        <v>7</v>
      </c>
      <c r="F13312" t="s">
        <v>10823</v>
      </c>
    </row>
    <row r="13313" spans="1:6" x14ac:dyDescent="0.25">
      <c r="A13313" t="s">
        <v>13380</v>
      </c>
      <c r="B13313" t="s">
        <v>3938</v>
      </c>
      <c r="C13313" t="s">
        <v>3939</v>
      </c>
      <c r="D13313" t="str">
        <f>HYPERLINK("http://service.sap.com/sap/support/notes/1830591","1830591")</f>
        <v>1830591</v>
      </c>
      <c r="E13313">
        <v>2</v>
      </c>
      <c r="F13313" t="s">
        <v>10824</v>
      </c>
    </row>
    <row r="13314" spans="1:6" x14ac:dyDescent="0.25">
      <c r="A13314" t="s">
        <v>13380</v>
      </c>
      <c r="B13314" t="s">
        <v>3938</v>
      </c>
      <c r="C13314" t="s">
        <v>3939</v>
      </c>
      <c r="D13314" t="str">
        <f>HYPERLINK("http://service.sap.com/sap/support/notes/1832439","1832439")</f>
        <v>1832439</v>
      </c>
      <c r="E13314">
        <v>3</v>
      </c>
      <c r="F13314" t="s">
        <v>10825</v>
      </c>
    </row>
    <row r="13315" spans="1:6" x14ac:dyDescent="0.25">
      <c r="A13315" t="s">
        <v>13380</v>
      </c>
      <c r="B13315" t="s">
        <v>3938</v>
      </c>
      <c r="C13315" t="s">
        <v>3939</v>
      </c>
      <c r="D13315" t="str">
        <f>HYPERLINK("http://service.sap.com/sap/support/notes/1857884","1857884")</f>
        <v>1857884</v>
      </c>
      <c r="E13315">
        <v>2</v>
      </c>
      <c r="F13315" t="s">
        <v>10827</v>
      </c>
    </row>
    <row r="13316" spans="1:6" x14ac:dyDescent="0.25">
      <c r="A13316" t="s">
        <v>13380</v>
      </c>
      <c r="B13316" t="s">
        <v>3938</v>
      </c>
      <c r="C13316" t="s">
        <v>3939</v>
      </c>
      <c r="D13316" t="str">
        <f>HYPERLINK("http://service.sap.com/sap/support/notes/1860010","1860010")</f>
        <v>1860010</v>
      </c>
      <c r="E13316">
        <v>1</v>
      </c>
      <c r="F13316" t="s">
        <v>13377</v>
      </c>
    </row>
    <row r="13317" spans="1:6" x14ac:dyDescent="0.25">
      <c r="A13317" t="s">
        <v>13380</v>
      </c>
      <c r="B13317" t="s">
        <v>3958</v>
      </c>
      <c r="C13317" t="s">
        <v>3959</v>
      </c>
      <c r="D13317" t="str">
        <f>HYPERLINK("http://service.sap.com/sap/support/notes/1816058","1816058")</f>
        <v>1816058</v>
      </c>
      <c r="E13317">
        <v>5</v>
      </c>
      <c r="F13317" t="s">
        <v>10828</v>
      </c>
    </row>
    <row r="13318" spans="1:6" x14ac:dyDescent="0.25">
      <c r="A13318" t="s">
        <v>13380</v>
      </c>
      <c r="B13318" t="s">
        <v>4005</v>
      </c>
      <c r="C13318" t="s">
        <v>4006</v>
      </c>
      <c r="D13318" t="str">
        <f>HYPERLINK("http://service.sap.com/sap/support/notes/1778538","1778538")</f>
        <v>1778538</v>
      </c>
      <c r="E13318">
        <v>3</v>
      </c>
      <c r="F13318" t="s">
        <v>10839</v>
      </c>
    </row>
    <row r="13319" spans="1:6" x14ac:dyDescent="0.25">
      <c r="A13319" t="s">
        <v>13380</v>
      </c>
      <c r="B13319" t="s">
        <v>4005</v>
      </c>
      <c r="C13319" t="s">
        <v>4006</v>
      </c>
      <c r="D13319" t="str">
        <f>HYPERLINK("http://service.sap.com/sap/support/notes/1810053","1810053")</f>
        <v>1810053</v>
      </c>
      <c r="E13319">
        <v>3</v>
      </c>
      <c r="F13319" t="s">
        <v>10840</v>
      </c>
    </row>
    <row r="13320" spans="1:6" x14ac:dyDescent="0.25">
      <c r="A13320" t="s">
        <v>13380</v>
      </c>
      <c r="B13320" t="s">
        <v>4005</v>
      </c>
      <c r="C13320" t="s">
        <v>4006</v>
      </c>
      <c r="D13320" t="str">
        <f>HYPERLINK("http://service.sap.com/sap/support/notes/1826122","1826122")</f>
        <v>1826122</v>
      </c>
      <c r="E13320">
        <v>5</v>
      </c>
      <c r="F13320" t="s">
        <v>10841</v>
      </c>
    </row>
    <row r="13321" spans="1:6" x14ac:dyDescent="0.25">
      <c r="A13321" t="s">
        <v>13380</v>
      </c>
      <c r="B13321" t="s">
        <v>4005</v>
      </c>
      <c r="C13321" t="s">
        <v>4006</v>
      </c>
      <c r="D13321" t="str">
        <f>HYPERLINK("http://service.sap.com/sap/support/notes/1835436","1835436")</f>
        <v>1835436</v>
      </c>
      <c r="E13321">
        <v>3</v>
      </c>
      <c r="F13321" t="s">
        <v>10842</v>
      </c>
    </row>
    <row r="13322" spans="1:6" x14ac:dyDescent="0.25">
      <c r="A13322" t="s">
        <v>13380</v>
      </c>
      <c r="B13322" t="s">
        <v>4048</v>
      </c>
      <c r="C13322" t="s">
        <v>4049</v>
      </c>
      <c r="D13322" t="str">
        <f>HYPERLINK("http://service.sap.com/sap/support/notes/1851416","1851416")</f>
        <v>1851416</v>
      </c>
      <c r="E13322">
        <v>1</v>
      </c>
      <c r="F13322" t="s">
        <v>10851</v>
      </c>
    </row>
    <row r="13323" spans="1:6" x14ac:dyDescent="0.25">
      <c r="A13323" t="s">
        <v>13380</v>
      </c>
      <c r="B13323" t="s">
        <v>4053</v>
      </c>
      <c r="C13323" t="s">
        <v>4054</v>
      </c>
      <c r="D13323" t="str">
        <f>HYPERLINK("http://service.sap.com/sap/support/notes/1857118","1857118")</f>
        <v>1857118</v>
      </c>
      <c r="E13323">
        <v>3</v>
      </c>
      <c r="F13323" t="s">
        <v>10856</v>
      </c>
    </row>
    <row r="13324" spans="1:6" x14ac:dyDescent="0.25">
      <c r="A13324" t="s">
        <v>13380</v>
      </c>
      <c r="B13324" t="s">
        <v>4060</v>
      </c>
      <c r="C13324" t="s">
        <v>198</v>
      </c>
      <c r="D13324" t="str">
        <f>HYPERLINK("http://service.sap.com/sap/support/notes/1840007","1840007")</f>
        <v>1840007</v>
      </c>
      <c r="E13324">
        <v>4</v>
      </c>
      <c r="F13324" t="s">
        <v>10885</v>
      </c>
    </row>
    <row r="13325" spans="1:6" x14ac:dyDescent="0.25">
      <c r="A13325" t="s">
        <v>13380</v>
      </c>
      <c r="B13325" t="s">
        <v>4060</v>
      </c>
      <c r="C13325" t="s">
        <v>198</v>
      </c>
      <c r="D13325" t="str">
        <f>HYPERLINK("http://service.sap.com/sap/support/notes/1840575","1840575")</f>
        <v>1840575</v>
      </c>
      <c r="E13325">
        <v>6</v>
      </c>
      <c r="F13325" t="s">
        <v>10888</v>
      </c>
    </row>
    <row r="13326" spans="1:6" x14ac:dyDescent="0.25">
      <c r="A13326" t="s">
        <v>13380</v>
      </c>
      <c r="B13326" t="s">
        <v>4060</v>
      </c>
      <c r="C13326" t="s">
        <v>198</v>
      </c>
      <c r="D13326" t="str">
        <f>HYPERLINK("http://service.sap.com/sap/support/notes/1841062","1841062")</f>
        <v>1841062</v>
      </c>
      <c r="E13326">
        <v>2</v>
      </c>
      <c r="F13326" t="s">
        <v>10890</v>
      </c>
    </row>
    <row r="13327" spans="1:6" x14ac:dyDescent="0.25">
      <c r="A13327" t="s">
        <v>13380</v>
      </c>
      <c r="B13327" t="s">
        <v>4060</v>
      </c>
      <c r="C13327" t="s">
        <v>198</v>
      </c>
      <c r="D13327" t="str">
        <f>HYPERLINK("http://service.sap.com/sap/support/notes/1851340","1851340")</f>
        <v>1851340</v>
      </c>
      <c r="E13327">
        <v>2</v>
      </c>
      <c r="F13327" t="s">
        <v>10903</v>
      </c>
    </row>
    <row r="13328" spans="1:6" x14ac:dyDescent="0.25">
      <c r="A13328" t="s">
        <v>13380</v>
      </c>
      <c r="B13328" t="s">
        <v>4142</v>
      </c>
      <c r="C13328" t="s">
        <v>2999</v>
      </c>
      <c r="D13328" t="str">
        <f>HYPERLINK("http://service.sap.com/sap/support/notes/1856167","1856167")</f>
        <v>1856167</v>
      </c>
      <c r="E13328">
        <v>3</v>
      </c>
      <c r="F13328" t="s">
        <v>10917</v>
      </c>
    </row>
    <row r="13329" spans="1:6" x14ac:dyDescent="0.25">
      <c r="A13329" t="s">
        <v>13380</v>
      </c>
      <c r="B13329" t="s">
        <v>4142</v>
      </c>
      <c r="C13329" t="s">
        <v>2999</v>
      </c>
      <c r="D13329" t="str">
        <f>HYPERLINK("http://service.sap.com/sap/support/notes/1860088","1860088")</f>
        <v>1860088</v>
      </c>
      <c r="E13329">
        <v>1</v>
      </c>
      <c r="F13329" t="s">
        <v>13378</v>
      </c>
    </row>
    <row r="13330" spans="1:6" x14ac:dyDescent="0.25">
      <c r="A13330" t="s">
        <v>13380</v>
      </c>
      <c r="B13330" t="s">
        <v>4171</v>
      </c>
      <c r="C13330" t="s">
        <v>4172</v>
      </c>
      <c r="D13330" t="str">
        <f>HYPERLINK("http://service.sap.com/sap/support/notes/1862070","1862070")</f>
        <v>1862070</v>
      </c>
      <c r="E13330">
        <v>1</v>
      </c>
      <c r="F13330" t="s">
        <v>13379</v>
      </c>
    </row>
    <row r="13331" spans="1:6" x14ac:dyDescent="0.25">
      <c r="A13331" t="s">
        <v>13380</v>
      </c>
      <c r="B13331" t="s">
        <v>72</v>
      </c>
      <c r="C13331" t="s">
        <v>73</v>
      </c>
    </row>
    <row r="13332" spans="1:6" x14ac:dyDescent="0.25">
      <c r="A13332" t="s">
        <v>13380</v>
      </c>
      <c r="B13332" t="s">
        <v>74</v>
      </c>
      <c r="C13332" t="s">
        <v>75</v>
      </c>
    </row>
    <row r="13333" spans="1:6" x14ac:dyDescent="0.25">
      <c r="A13333" t="s">
        <v>13380</v>
      </c>
      <c r="B13333" t="s">
        <v>76</v>
      </c>
      <c r="C13333" t="s">
        <v>77</v>
      </c>
      <c r="D13333" t="str">
        <f>HYPERLINK("http://service.sap.com/sap/support/notes/1834048","1834048")</f>
        <v>1834048</v>
      </c>
      <c r="E13333">
        <v>3</v>
      </c>
      <c r="F13333" t="s">
        <v>10926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notes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gmcgrath</dc:creator>
  <cp:lastModifiedBy>gmcgrath</cp:lastModifiedBy>
  <dcterms:created xsi:type="dcterms:W3CDTF">2013-09-30T18:12:53Z</dcterms:created>
  <dcterms:modified xsi:type="dcterms:W3CDTF">2013-11-15T19:20:17Z</dcterms:modified>
</cp:coreProperties>
</file>